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A4" i="34" l="1"/>
  <c r="A5" i="34"/>
  <c r="A6" i="34"/>
  <c r="A7" i="34"/>
  <c r="A3" i="34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A8" i="34"/>
  <c r="A9" i="34"/>
  <c r="A10" i="34"/>
  <c r="A11" i="34"/>
  <c r="A12" i="34"/>
  <c r="A13" i="34"/>
  <c r="A14" i="34"/>
  <c r="A287" i="34"/>
  <c r="A288" i="34"/>
  <c r="A289" i="34"/>
  <c r="A290" i="34"/>
  <c r="A291" i="34"/>
  <c r="A292" i="34"/>
  <c r="A295" i="34"/>
  <c r="A296" i="34"/>
  <c r="A297" i="34"/>
  <c r="A298" i="34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M92" i="1"/>
  <c r="M102" i="1"/>
  <c r="M109" i="1"/>
  <c r="L92" i="1"/>
  <c r="L102" i="1"/>
  <c r="L109" i="1"/>
  <c r="L126" i="1"/>
  <c r="L135" i="1"/>
  <c r="L140" i="1"/>
  <c r="M126" i="1"/>
  <c r="M135" i="1"/>
  <c r="M140" i="1"/>
  <c r="E21" i="37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E78" i="34" s="1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I104" i="1" s="1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E167" i="34"/>
  <c r="A168" i="34"/>
  <c r="A169" i="34"/>
  <c r="A170" i="34"/>
  <c r="A171" i="34"/>
  <c r="A172" i="34"/>
  <c r="A173" i="34"/>
  <c r="A174" i="34"/>
  <c r="A175" i="34"/>
  <c r="E175" i="34" s="1"/>
  <c r="C58" i="2" s="1"/>
  <c r="A176" i="34"/>
  <c r="A177" i="34"/>
  <c r="A178" i="34"/>
  <c r="A179" i="34"/>
  <c r="E179" i="34" s="1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E195" i="34" s="1"/>
  <c r="A196" i="34"/>
  <c r="A197" i="34"/>
  <c r="A198" i="34"/>
  <c r="F198" i="34" s="1"/>
  <c r="A199" i="34"/>
  <c r="A200" i="34"/>
  <c r="A201" i="34"/>
  <c r="A202" i="34"/>
  <c r="F202" i="34" s="1"/>
  <c r="D85" i="2" s="1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E254" i="34" s="1"/>
  <c r="C21" i="36" s="1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I37" i="36" s="1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93" i="34"/>
  <c r="A294" i="34"/>
  <c r="A299" i="34"/>
  <c r="I44" i="8" s="1"/>
  <c r="A300" i="34"/>
  <c r="A301" i="34"/>
  <c r="A302" i="34"/>
  <c r="A303" i="34"/>
  <c r="A304" i="34"/>
  <c r="A305" i="34"/>
  <c r="A306" i="34"/>
  <c r="A307" i="34"/>
  <c r="E307" i="34" s="1"/>
  <c r="A308" i="34"/>
  <c r="A309" i="34"/>
  <c r="A310" i="34"/>
  <c r="A311" i="34"/>
  <c r="A312" i="34"/>
  <c r="A313" i="34"/>
  <c r="A314" i="34"/>
  <c r="A315" i="34"/>
  <c r="A325" i="34"/>
  <c r="A316" i="34"/>
  <c r="A317" i="34"/>
  <c r="A318" i="34"/>
  <c r="A319" i="34"/>
  <c r="A320" i="34"/>
  <c r="A321" i="34"/>
  <c r="A322" i="34"/>
  <c r="A323" i="34"/>
  <c r="A324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F347" i="34" s="1"/>
  <c r="D43" i="14" s="1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25" i="1"/>
  <c r="I44" i="1"/>
  <c r="I101" i="2"/>
  <c r="I47" i="2"/>
  <c r="I58" i="8"/>
  <c r="I30" i="8"/>
  <c r="K67" i="14"/>
  <c r="J67" i="14"/>
  <c r="K57" i="14"/>
  <c r="J57" i="14"/>
  <c r="K37" i="14"/>
  <c r="J37" i="14"/>
  <c r="I54" i="14"/>
  <c r="J20" i="8"/>
  <c r="J24" i="8"/>
  <c r="J33" i="8"/>
  <c r="J40" i="8"/>
  <c r="J48" i="8"/>
  <c r="J53" i="8"/>
  <c r="K48" i="8"/>
  <c r="K53" i="8"/>
  <c r="K20" i="8"/>
  <c r="K24" i="8"/>
  <c r="K40" i="8"/>
  <c r="K33" i="8"/>
  <c r="J27" i="1"/>
  <c r="J40" i="1"/>
  <c r="K27" i="1"/>
  <c r="M27" i="1"/>
  <c r="M40" i="1"/>
  <c r="J51" i="1"/>
  <c r="J59" i="1"/>
  <c r="J66" i="1"/>
  <c r="J75" i="1"/>
  <c r="K51" i="1"/>
  <c r="K21" i="2"/>
  <c r="K25" i="2"/>
  <c r="K38" i="2"/>
  <c r="K42" i="2"/>
  <c r="K51" i="2"/>
  <c r="K58" i="2"/>
  <c r="K67" i="2"/>
  <c r="K78" i="2"/>
  <c r="M59" i="1"/>
  <c r="L62" i="1"/>
  <c r="M75" i="1"/>
  <c r="M51" i="1"/>
  <c r="M66" i="1"/>
  <c r="L28" i="1"/>
  <c r="L77" i="1"/>
  <c r="L55" i="1"/>
  <c r="L30" i="1"/>
  <c r="L29" i="1"/>
  <c r="L54" i="1"/>
  <c r="L52" i="1"/>
  <c r="L41" i="1"/>
  <c r="L65" i="1"/>
  <c r="L79" i="1"/>
  <c r="L61" i="1"/>
  <c r="L60" i="1"/>
  <c r="L73" i="1"/>
  <c r="L78" i="1"/>
  <c r="G30" i="10"/>
  <c r="H21" i="10"/>
  <c r="H29" i="10" s="1"/>
  <c r="H32" i="10" s="1"/>
  <c r="I21" i="10"/>
  <c r="I29" i="10" s="1"/>
  <c r="K21" i="10"/>
  <c r="K29" i="10" s="1"/>
  <c r="K32" i="10" s="1"/>
  <c r="K40" i="10" s="1"/>
  <c r="L21" i="10"/>
  <c r="L29" i="10" s="1"/>
  <c r="L32" i="10" s="1"/>
  <c r="L40" i="10" s="1"/>
  <c r="M113" i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/>
  <c r="H40" i="31"/>
  <c r="F40" i="31"/>
  <c r="C12" i="33"/>
  <c r="K102" i="2"/>
  <c r="K92" i="2"/>
  <c r="K113" i="2" s="1"/>
  <c r="K27" i="36"/>
  <c r="K35" i="36" s="1"/>
  <c r="K20" i="36"/>
  <c r="M116" i="1"/>
  <c r="L84" i="1"/>
  <c r="L82" i="1"/>
  <c r="L80" i="1"/>
  <c r="L76" i="1"/>
  <c r="L74" i="1"/>
  <c r="L72" i="1"/>
  <c r="L71" i="1"/>
  <c r="L70" i="1"/>
  <c r="L69" i="1"/>
  <c r="L68" i="1"/>
  <c r="L67" i="1"/>
  <c r="L64" i="1"/>
  <c r="L63" i="1"/>
  <c r="L57" i="1"/>
  <c r="L56" i="1"/>
  <c r="L53" i="1"/>
  <c r="L49" i="1"/>
  <c r="L48" i="1"/>
  <c r="L47" i="1"/>
  <c r="L46" i="1"/>
  <c r="L45" i="1"/>
  <c r="L44" i="1"/>
  <c r="L43" i="1"/>
  <c r="L42" i="1"/>
  <c r="L39" i="1"/>
  <c r="L38" i="1"/>
  <c r="L37" i="1"/>
  <c r="L36" i="1"/>
  <c r="L35" i="1"/>
  <c r="L33" i="1"/>
  <c r="L32" i="1"/>
  <c r="L31" i="1"/>
  <c r="L26" i="1"/>
  <c r="L25" i="1"/>
  <c r="L24" i="1"/>
  <c r="L23" i="1"/>
  <c r="L22" i="1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92" i="2"/>
  <c r="J78" i="2"/>
  <c r="J67" i="2"/>
  <c r="J58" i="2"/>
  <c r="J51" i="2"/>
  <c r="J38" i="2"/>
  <c r="J42" i="2"/>
  <c r="J25" i="2"/>
  <c r="J21" i="2"/>
  <c r="L113" i="1"/>
  <c r="L116" i="1"/>
  <c r="K75" i="1"/>
  <c r="K66" i="1"/>
  <c r="L66" i="1" s="1"/>
  <c r="K59" i="1"/>
  <c r="K40" i="1"/>
  <c r="M34" i="1"/>
  <c r="K34" i="1"/>
  <c r="M21" i="1"/>
  <c r="K21" i="1"/>
  <c r="J34" i="1"/>
  <c r="J21" i="1"/>
  <c r="Y10" i="32"/>
  <c r="Y8" i="32"/>
  <c r="Z8" i="32" s="1"/>
  <c r="AA10" i="32"/>
  <c r="AA8" i="32"/>
  <c r="B69" i="32"/>
  <c r="F94" i="31"/>
  <c r="G94" i="31"/>
  <c r="H94" i="31"/>
  <c r="AA37" i="32"/>
  <c r="Z37" i="32" s="1"/>
  <c r="AB37" i="32" s="1"/>
  <c r="AA35" i="32"/>
  <c r="Z35" i="32" s="1"/>
  <c r="AA33" i="32"/>
  <c r="Z33" i="32" s="1"/>
  <c r="AB33" i="32" s="1"/>
  <c r="AA31" i="32"/>
  <c r="Z31" i="32" s="1"/>
  <c r="AB31" i="32" s="1"/>
  <c r="AA29" i="32"/>
  <c r="AA27" i="32"/>
  <c r="Y27" i="32" s="1"/>
  <c r="C1" i="33"/>
  <c r="H1" i="33"/>
  <c r="H9" i="37" s="1"/>
  <c r="Y1" i="33"/>
  <c r="V3" i="33"/>
  <c r="U3" i="33"/>
  <c r="X1" i="33"/>
  <c r="C53" i="31" s="1"/>
  <c r="F53" i="31" s="1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B47" i="32" s="1"/>
  <c r="AA45" i="32"/>
  <c r="Y45" i="32" s="1"/>
  <c r="AA40" i="32"/>
  <c r="Y40" i="32" s="1"/>
  <c r="AA22" i="32"/>
  <c r="AA20" i="32"/>
  <c r="Y20" i="32"/>
  <c r="AB20" i="32" s="1"/>
  <c r="AA17" i="32"/>
  <c r="Y17" i="32" s="1"/>
  <c r="AB17" i="32" s="1"/>
  <c r="D6" i="1" s="1"/>
  <c r="F20" i="31"/>
  <c r="B12" i="32"/>
  <c r="G20" i="31"/>
  <c r="H20" i="31"/>
  <c r="F25" i="31"/>
  <c r="G25" i="31"/>
  <c r="H25" i="31"/>
  <c r="U1" i="33"/>
  <c r="W4" i="33"/>
  <c r="X4" i="33" s="1"/>
  <c r="W5" i="33"/>
  <c r="X5" i="33" s="1"/>
  <c r="H404" i="34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7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/>
  <c r="AB72" i="32" s="1"/>
  <c r="AA70" i="32"/>
  <c r="Y70" i="32" s="1"/>
  <c r="AB70" i="32" s="1"/>
  <c r="AA60" i="32"/>
  <c r="Y60" i="32"/>
  <c r="AB60" i="32" s="1"/>
  <c r="AA58" i="32"/>
  <c r="Y58" i="32" s="1"/>
  <c r="AB58" i="32" s="1"/>
  <c r="AA56" i="32"/>
  <c r="Y56" i="32" s="1"/>
  <c r="Y52" i="32"/>
  <c r="Y43" i="32"/>
  <c r="Z43" i="32" s="1"/>
  <c r="AA43" i="32" s="1"/>
  <c r="AB43" i="32" s="1"/>
  <c r="Y37" i="32"/>
  <c r="AA15" i="32"/>
  <c r="Y15" i="32" s="1"/>
  <c r="AA24" i="32"/>
  <c r="Y24" i="32"/>
  <c r="Y22" i="32"/>
  <c r="F90" i="31"/>
  <c r="G90" i="31"/>
  <c r="H90" i="31"/>
  <c r="F89" i="31"/>
  <c r="G89" i="31"/>
  <c r="H89" i="31"/>
  <c r="F2" i="31"/>
  <c r="B14" i="32" s="1"/>
  <c r="F3" i="31"/>
  <c r="B39" i="32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 s="1"/>
  <c r="F23" i="31"/>
  <c r="J5" i="33" s="1"/>
  <c r="F24" i="31"/>
  <c r="J6" i="33" s="1"/>
  <c r="F26" i="31"/>
  <c r="B119" i="32"/>
  <c r="B67" i="32"/>
  <c r="F27" i="31"/>
  <c r="F28" i="31"/>
  <c r="C7" i="36"/>
  <c r="B121" i="32"/>
  <c r="F29" i="31"/>
  <c r="B124" i="32"/>
  <c r="B72" i="32"/>
  <c r="F30" i="31"/>
  <c r="B126" i="32"/>
  <c r="F31" i="31"/>
  <c r="F33" i="31"/>
  <c r="B118" i="32"/>
  <c r="F34" i="31"/>
  <c r="B40" i="32" s="1"/>
  <c r="F35" i="31"/>
  <c r="F36" i="31"/>
  <c r="F38" i="31"/>
  <c r="F39" i="31"/>
  <c r="G159" i="1" s="1"/>
  <c r="F41" i="31"/>
  <c r="C12" i="1" s="1"/>
  <c r="F42" i="31"/>
  <c r="C13" i="1" s="1"/>
  <c r="F43" i="31"/>
  <c r="C12" i="2" s="1"/>
  <c r="F44" i="31"/>
  <c r="C13" i="2"/>
  <c r="F45" i="31"/>
  <c r="F46" i="31"/>
  <c r="C13" i="36" s="1"/>
  <c r="F47" i="31"/>
  <c r="C12" i="8" s="1"/>
  <c r="F48" i="31"/>
  <c r="C13" i="8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F67" i="31"/>
  <c r="D16" i="36" s="1"/>
  <c r="F68" i="31"/>
  <c r="F69" i="31"/>
  <c r="C16" i="8" s="1"/>
  <c r="F70" i="31"/>
  <c r="J16" i="1" s="1"/>
  <c r="F71" i="31"/>
  <c r="J17" i="1" s="1"/>
  <c r="F72" i="31"/>
  <c r="K17" i="1"/>
  <c r="F73" i="31"/>
  <c r="L17" i="1"/>
  <c r="F74" i="31"/>
  <c r="M87" i="1"/>
  <c r="F75" i="31"/>
  <c r="F76" i="31"/>
  <c r="F77" i="31"/>
  <c r="K17" i="36" s="1"/>
  <c r="F78" i="31"/>
  <c r="K15" i="14" s="1"/>
  <c r="F79" i="31"/>
  <c r="G15" i="10"/>
  <c r="F80" i="31"/>
  <c r="D15" i="10" s="1"/>
  <c r="F81" i="31"/>
  <c r="H16" i="10" s="1"/>
  <c r="F82" i="31"/>
  <c r="I16" i="10"/>
  <c r="F83" i="31"/>
  <c r="J16" i="10" s="1"/>
  <c r="F84" i="31"/>
  <c r="K16" i="10" s="1"/>
  <c r="F85" i="31"/>
  <c r="L16" i="10" s="1"/>
  <c r="F86" i="31"/>
  <c r="M16" i="10" s="1"/>
  <c r="F87" i="31"/>
  <c r="N15" i="10"/>
  <c r="F88" i="31"/>
  <c r="O15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/>
  <c r="M37" i="10"/>
  <c r="O37" i="10" s="1"/>
  <c r="M36" i="10"/>
  <c r="O36" i="10" s="1"/>
  <c r="M35" i="10"/>
  <c r="O35" i="10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J21" i="10"/>
  <c r="J29" i="10" s="1"/>
  <c r="J32" i="10" s="1"/>
  <c r="J40" i="10" s="1"/>
  <c r="M18" i="10"/>
  <c r="O18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A2" i="34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54" i="8"/>
  <c r="D81" i="2"/>
  <c r="C99" i="1"/>
  <c r="D16" i="1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J16" i="2"/>
  <c r="D16" i="14"/>
  <c r="K17" i="14"/>
  <c r="K17" i="8"/>
  <c r="C11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C62" i="2"/>
  <c r="J17" i="36"/>
  <c r="M16" i="1"/>
  <c r="J17" i="8"/>
  <c r="I16" i="8"/>
  <c r="C6" i="8"/>
  <c r="K5" i="1"/>
  <c r="C6" i="1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C5" i="10"/>
  <c r="C7" i="10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Z29" i="32"/>
  <c r="AB29" i="32" s="1"/>
  <c r="AB52" i="32"/>
  <c r="K15" i="2"/>
  <c r="AA64" i="32"/>
  <c r="Y64" i="32"/>
  <c r="AB64" i="32" s="1"/>
  <c r="G42" i="32"/>
  <c r="H13" i="37"/>
  <c r="G14" i="35"/>
  <c r="G26" i="35"/>
  <c r="G34" i="35"/>
  <c r="G58" i="35"/>
  <c r="G67" i="35"/>
  <c r="G77" i="35"/>
  <c r="G97" i="35"/>
  <c r="G109" i="35"/>
  <c r="G121" i="35"/>
  <c r="G140" i="35"/>
  <c r="G152" i="35"/>
  <c r="G161" i="35"/>
  <c r="G195" i="35"/>
  <c r="G205" i="35"/>
  <c r="G218" i="35"/>
  <c r="G234" i="35"/>
  <c r="G247" i="35"/>
  <c r="G264" i="35"/>
  <c r="G283" i="35"/>
  <c r="G294" i="35"/>
  <c r="G302" i="35"/>
  <c r="H18" i="37"/>
  <c r="G7" i="35"/>
  <c r="G19" i="35"/>
  <c r="G39" i="35"/>
  <c r="G51" i="35"/>
  <c r="G63" i="35"/>
  <c r="G86" i="35"/>
  <c r="G98" i="35"/>
  <c r="G106" i="35"/>
  <c r="G131" i="35"/>
  <c r="G141" i="35"/>
  <c r="G153" i="35"/>
  <c r="G176" i="35"/>
  <c r="G187" i="35"/>
  <c r="G199" i="35"/>
  <c r="G235" i="35"/>
  <c r="G248" i="35"/>
  <c r="G255" i="35"/>
  <c r="G284" i="35"/>
  <c r="G295" i="35"/>
  <c r="H3" i="37"/>
  <c r="G4" i="35"/>
  <c r="G16" i="35"/>
  <c r="G28" i="35"/>
  <c r="G48" i="35"/>
  <c r="G60" i="35"/>
  <c r="G71" i="35"/>
  <c r="G95" i="35"/>
  <c r="G103" i="35"/>
  <c r="G115" i="35"/>
  <c r="G134" i="35"/>
  <c r="G146" i="35"/>
  <c r="G159" i="35"/>
  <c r="G177" i="35"/>
  <c r="G188" i="35"/>
  <c r="G197" i="35"/>
  <c r="G221" i="35"/>
  <c r="G229" i="35"/>
  <c r="G240" i="35"/>
  <c r="G260" i="35"/>
  <c r="G270" i="35"/>
  <c r="G281" i="35"/>
  <c r="G300" i="35"/>
  <c r="H8" i="37"/>
  <c r="H16" i="37"/>
  <c r="G21" i="35"/>
  <c r="G29" i="35"/>
  <c r="G41" i="35"/>
  <c r="G61" i="35"/>
  <c r="G72" i="35"/>
  <c r="G84" i="35"/>
  <c r="G104" i="35"/>
  <c r="G116" i="35"/>
  <c r="G124" i="35"/>
  <c r="G151" i="35"/>
  <c r="G160" i="35"/>
  <c r="G170" i="35"/>
  <c r="G189" i="35"/>
  <c r="G201" i="35"/>
  <c r="G212" i="35"/>
  <c r="G233" i="35"/>
  <c r="G245" i="35"/>
  <c r="G257" i="35"/>
  <c r="G282" i="35"/>
  <c r="G289" i="35"/>
  <c r="G301" i="35"/>
  <c r="G319" i="35"/>
  <c r="G331" i="35"/>
  <c r="G344" i="35"/>
  <c r="G334" i="35"/>
  <c r="G312" i="35"/>
  <c r="G320" i="35"/>
  <c r="G345" i="35"/>
  <c r="G318" i="35"/>
  <c r="G351" i="35"/>
  <c r="G325" i="35"/>
  <c r="G337" i="35"/>
  <c r="G350" i="35"/>
  <c r="G354" i="35"/>
  <c r="B74" i="32"/>
  <c r="Y31" i="32"/>
  <c r="Y35" i="32"/>
  <c r="I1" i="33"/>
  <c r="Y6" i="33"/>
  <c r="I393" i="34"/>
  <c r="Y4" i="33"/>
  <c r="I407" i="34" s="1"/>
  <c r="B108" i="32"/>
  <c r="AB22" i="32"/>
  <c r="D10" i="10" s="1"/>
  <c r="Y29" i="32"/>
  <c r="J6" i="36"/>
  <c r="O3" i="33" a="1"/>
  <c r="O3" i="33" s="1"/>
  <c r="O7" i="33" a="1"/>
  <c r="O7" i="33" s="1"/>
  <c r="P6" i="33" a="1"/>
  <c r="P6" i="33" s="1"/>
  <c r="O9" i="33" a="1"/>
  <c r="O9" i="33" s="1"/>
  <c r="F7" i="37"/>
  <c r="F11" i="37"/>
  <c r="F19" i="37"/>
  <c r="B12" i="37"/>
  <c r="B16" i="37"/>
  <c r="B2" i="37"/>
  <c r="B10" i="37"/>
  <c r="B11" i="37"/>
  <c r="F8" i="37"/>
  <c r="F16" i="37"/>
  <c r="B5" i="37"/>
  <c r="B9" i="37"/>
  <c r="B17" i="37"/>
  <c r="F13" i="37"/>
  <c r="B6" i="37"/>
  <c r="F14" i="37"/>
  <c r="B3" i="37"/>
  <c r="B19" i="37"/>
  <c r="F18" i="37"/>
  <c r="B15" i="37"/>
  <c r="H3" i="35"/>
  <c r="H7" i="35"/>
  <c r="H19" i="35"/>
  <c r="H27" i="35"/>
  <c r="H31" i="35"/>
  <c r="H39" i="35"/>
  <c r="H43" i="35"/>
  <c r="H55" i="35"/>
  <c r="H8" i="35"/>
  <c r="H12" i="35"/>
  <c r="H20" i="35"/>
  <c r="H28" i="35"/>
  <c r="H36" i="35"/>
  <c r="H44" i="35"/>
  <c r="H48" i="35"/>
  <c r="H6" i="35"/>
  <c r="H10" i="35"/>
  <c r="H18" i="35"/>
  <c r="H26" i="35"/>
  <c r="H30" i="35"/>
  <c r="H42" i="35"/>
  <c r="H46" i="35"/>
  <c r="H54" i="35"/>
  <c r="H62" i="35"/>
  <c r="H69" i="35"/>
  <c r="H77" i="35"/>
  <c r="H81" i="35"/>
  <c r="H89" i="35"/>
  <c r="H101" i="35"/>
  <c r="H105" i="35"/>
  <c r="H113" i="35"/>
  <c r="H117" i="35"/>
  <c r="H125" i="35"/>
  <c r="H136" i="35"/>
  <c r="H140" i="35"/>
  <c r="H148" i="35"/>
  <c r="H152" i="35"/>
  <c r="H167" i="35"/>
  <c r="H182" i="35"/>
  <c r="H186" i="35"/>
  <c r="H195" i="35"/>
  <c r="H202" i="35"/>
  <c r="H213" i="35"/>
  <c r="H223" i="35"/>
  <c r="H226" i="35"/>
  <c r="H231" i="35"/>
  <c r="H238" i="35"/>
  <c r="H247" i="35"/>
  <c r="H258" i="35"/>
  <c r="H264" i="35"/>
  <c r="H45" i="35"/>
  <c r="H59" i="35"/>
  <c r="H68" i="35"/>
  <c r="H79" i="35"/>
  <c r="H84" i="35"/>
  <c r="H100" i="35"/>
  <c r="H106" i="35"/>
  <c r="H116" i="35"/>
  <c r="H127" i="35"/>
  <c r="H142" i="35"/>
  <c r="H153" i="35"/>
  <c r="H159" i="35"/>
  <c r="H168" i="35"/>
  <c r="H183" i="35"/>
  <c r="H188" i="35"/>
  <c r="H199" i="35"/>
  <c r="H203" i="35"/>
  <c r="H214" i="35"/>
  <c r="H232" i="35"/>
  <c r="H237" i="35"/>
  <c r="H250" i="35"/>
  <c r="H259" i="35"/>
  <c r="H271" i="35"/>
  <c r="H278" i="35"/>
  <c r="H282" i="35"/>
  <c r="H289" i="35"/>
  <c r="H293" i="35"/>
  <c r="H305" i="35"/>
  <c r="H313" i="35"/>
  <c r="H317" i="35"/>
  <c r="H325" i="35"/>
  <c r="H333" i="35"/>
  <c r="H342" i="35"/>
  <c r="H350" i="35"/>
  <c r="H353" i="35"/>
  <c r="P9" i="33" a="1"/>
  <c r="P9" i="33" s="1"/>
  <c r="H33" i="35"/>
  <c r="H60" i="35"/>
  <c r="H65" i="35"/>
  <c r="H80" i="35"/>
  <c r="H86" i="35"/>
  <c r="H96" i="35"/>
  <c r="H107" i="35"/>
  <c r="H118" i="35"/>
  <c r="H129" i="35"/>
  <c r="H138" i="35"/>
  <c r="H149" i="35"/>
  <c r="H164" i="35"/>
  <c r="H169" i="35"/>
  <c r="H179" i="35"/>
  <c r="H184" i="35"/>
  <c r="H196" i="35"/>
  <c r="H210" i="35"/>
  <c r="H215" i="35"/>
  <c r="H233" i="35"/>
  <c r="H239" i="35"/>
  <c r="H255" i="35"/>
  <c r="H268" i="35"/>
  <c r="H273" i="35"/>
  <c r="H279" i="35"/>
  <c r="H283" i="35"/>
  <c r="H294" i="35"/>
  <c r="H302" i="35"/>
  <c r="H306" i="35"/>
  <c r="H314" i="35"/>
  <c r="H322" i="35"/>
  <c r="H330" i="35"/>
  <c r="H338" i="35"/>
  <c r="H343" i="35"/>
  <c r="H354" i="35"/>
  <c r="H358" i="35"/>
  <c r="P8" i="33" a="1"/>
  <c r="P8" i="33" s="1"/>
  <c r="H5" i="35"/>
  <c r="H21" i="35"/>
  <c r="H61" i="35"/>
  <c r="H71" i="35"/>
  <c r="H82" i="35"/>
  <c r="H92" i="35"/>
  <c r="H103" i="35"/>
  <c r="H114" i="35"/>
  <c r="H119" i="35"/>
  <c r="H131" i="35"/>
  <c r="H145" i="35"/>
  <c r="H150" i="35"/>
  <c r="H165" i="35"/>
  <c r="H170" i="35"/>
  <c r="H180" i="35"/>
  <c r="H197" i="35"/>
  <c r="H201" i="35"/>
  <c r="H211" i="35"/>
  <c r="H217" i="35"/>
  <c r="H240" i="35"/>
  <c r="H252" i="35"/>
  <c r="H256" i="35"/>
  <c r="H265" i="35"/>
  <c r="H269" i="35"/>
  <c r="H291" i="35"/>
  <c r="H299" i="35"/>
  <c r="H303" i="35"/>
  <c r="H311" i="35"/>
  <c r="H319" i="35"/>
  <c r="H327" i="35"/>
  <c r="H335" i="35"/>
  <c r="H339" i="35"/>
  <c r="H352" i="35"/>
  <c r="H355" i="35"/>
  <c r="H9" i="35"/>
  <c r="H41" i="35"/>
  <c r="H57" i="35"/>
  <c r="H78" i="35"/>
  <c r="H83" i="35"/>
  <c r="H94" i="35"/>
  <c r="H104" i="35"/>
  <c r="H115" i="35"/>
  <c r="H126" i="35"/>
  <c r="H132" i="35"/>
  <c r="H141" i="35"/>
  <c r="H158" i="35"/>
  <c r="H162" i="35"/>
  <c r="H173" i="35"/>
  <c r="H177" i="35"/>
  <c r="H187" i="35"/>
  <c r="H207" i="35"/>
  <c r="H212" i="35"/>
  <c r="H224" i="35"/>
  <c r="H227" i="35"/>
  <c r="H248" i="35"/>
  <c r="H257" i="35"/>
  <c r="H262" i="35"/>
  <c r="H270" i="35"/>
  <c r="H274" i="35"/>
  <c r="H285" i="35"/>
  <c r="H292" i="35"/>
  <c r="H296" i="35"/>
  <c r="H304" i="35"/>
  <c r="H312" i="35"/>
  <c r="H320" i="35"/>
  <c r="H328" i="35"/>
  <c r="H332" i="35"/>
  <c r="H345" i="35"/>
  <c r="H349" i="35"/>
  <c r="H360" i="35"/>
  <c r="J43" i="10"/>
  <c r="F91" i="14"/>
  <c r="F72" i="8"/>
  <c r="F41" i="36"/>
  <c r="C42" i="10"/>
  <c r="C90" i="14"/>
  <c r="C71" i="8"/>
  <c r="C40" i="36"/>
  <c r="C136" i="2"/>
  <c r="C158" i="1"/>
  <c r="B49" i="32"/>
  <c r="J160" i="1"/>
  <c r="H138" i="2"/>
  <c r="H73" i="8"/>
  <c r="H71" i="8"/>
  <c r="L42" i="10"/>
  <c r="H90" i="14"/>
  <c r="B43" i="32"/>
  <c r="C73" i="8"/>
  <c r="C44" i="10"/>
  <c r="C160" i="1"/>
  <c r="O8" i="33" a="1"/>
  <c r="O8" i="33" s="1"/>
  <c r="J102" i="2"/>
  <c r="J113" i="2" s="1"/>
  <c r="J7" i="14"/>
  <c r="J7" i="2"/>
  <c r="N7" i="10"/>
  <c r="J8" i="8"/>
  <c r="N8" i="10"/>
  <c r="C65" i="35"/>
  <c r="C175" i="35"/>
  <c r="C10" i="35"/>
  <c r="J10" i="2"/>
  <c r="J10" i="36"/>
  <c r="G360" i="35"/>
  <c r="G356" i="35"/>
  <c r="J33" i="36"/>
  <c r="G359" i="35"/>
  <c r="G355" i="35"/>
  <c r="G362" i="35"/>
  <c r="G358" i="35"/>
  <c r="G361" i="35"/>
  <c r="C192" i="35"/>
  <c r="C176" i="35"/>
  <c r="C230" i="35"/>
  <c r="J6" i="14"/>
  <c r="C265" i="35"/>
  <c r="C296" i="35"/>
  <c r="C198" i="35"/>
  <c r="I3" i="37"/>
  <c r="C12" i="35"/>
  <c r="C312" i="35"/>
  <c r="K112" i="2"/>
  <c r="K33" i="36"/>
  <c r="C283" i="35"/>
  <c r="C59" i="35"/>
  <c r="C33" i="35"/>
  <c r="C68" i="35"/>
  <c r="C40" i="35"/>
  <c r="C298" i="35"/>
  <c r="D10" i="2"/>
  <c r="AB15" i="32"/>
  <c r="D10" i="1"/>
  <c r="C118" i="35"/>
  <c r="I396" i="34"/>
  <c r="C195" i="35"/>
  <c r="C122" i="35"/>
  <c r="C12" i="36"/>
  <c r="C12" i="14"/>
  <c r="C12" i="10"/>
  <c r="D10" i="14"/>
  <c r="H40" i="10"/>
  <c r="L21" i="1"/>
  <c r="Z74" i="32"/>
  <c r="AB74" i="32"/>
  <c r="L87" i="1"/>
  <c r="K15" i="8"/>
  <c r="F137" i="2"/>
  <c r="M15" i="1"/>
  <c r="D10" i="36"/>
  <c r="D10" i="8"/>
  <c r="K15" i="36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C379" i="35"/>
  <c r="C364" i="35"/>
  <c r="C369" i="35"/>
  <c r="C11" i="10"/>
  <c r="K17" i="2"/>
  <c r="D42" i="32"/>
  <c r="D6" i="10"/>
  <c r="AB56" i="32"/>
  <c r="AB40" i="32"/>
  <c r="Z27" i="32"/>
  <c r="AB27" i="32" s="1"/>
  <c r="Z24" i="32"/>
  <c r="AB24" i="32" s="1"/>
  <c r="E154" i="35" s="1"/>
  <c r="Y33" i="32"/>
  <c r="H272" i="35"/>
  <c r="H249" i="35"/>
  <c r="H246" i="35"/>
  <c r="H219" i="35"/>
  <c r="H216" i="35"/>
  <c r="H194" i="35"/>
  <c r="H171" i="35"/>
  <c r="H157" i="35"/>
  <c r="H128" i="35"/>
  <c r="H66" i="35"/>
  <c r="H340" i="35"/>
  <c r="D6" i="36"/>
  <c r="AB49" i="32"/>
  <c r="C249" i="35"/>
  <c r="C157" i="35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J8" i="14"/>
  <c r="N10" i="10"/>
  <c r="J10" i="14"/>
  <c r="H393" i="34"/>
  <c r="G393" i="34"/>
  <c r="F393" i="34" s="1"/>
  <c r="D18" i="10" s="1"/>
  <c r="C191" i="35"/>
  <c r="C330" i="35"/>
  <c r="D6" i="2"/>
  <c r="D6" i="8"/>
  <c r="D6" i="14"/>
  <c r="C9" i="14"/>
  <c r="C9" i="8"/>
  <c r="C9" i="36"/>
  <c r="C9" i="10"/>
  <c r="C9" i="2"/>
  <c r="C9" i="1"/>
  <c r="D297" i="35"/>
  <c r="F11" i="34"/>
  <c r="D28" i="1" s="1"/>
  <c r="E14" i="34"/>
  <c r="C31" i="1" s="1"/>
  <c r="D340" i="35"/>
  <c r="J16" i="36"/>
  <c r="W3" i="33"/>
  <c r="X3" i="33" s="1"/>
  <c r="Z10" i="32"/>
  <c r="I26" i="1"/>
  <c r="I31" i="1"/>
  <c r="I39" i="1"/>
  <c r="I48" i="1"/>
  <c r="I59" i="1"/>
  <c r="I67" i="1"/>
  <c r="F35" i="34"/>
  <c r="D52" i="1" s="1"/>
  <c r="C19" i="37"/>
  <c r="D75" i="35"/>
  <c r="D235" i="35"/>
  <c r="D132" i="35"/>
  <c r="Y5" i="33"/>
  <c r="I404" i="34" s="1"/>
  <c r="G322" i="35"/>
  <c r="G346" i="35"/>
  <c r="G329" i="35"/>
  <c r="G313" i="35"/>
  <c r="G330" i="35"/>
  <c r="G341" i="35"/>
  <c r="G324" i="35"/>
  <c r="G308" i="35"/>
  <c r="G310" i="35"/>
  <c r="G339" i="35"/>
  <c r="G323" i="35"/>
  <c r="G307" i="35"/>
  <c r="G293" i="35"/>
  <c r="G278" i="35"/>
  <c r="G261" i="35"/>
  <c r="G241" i="35"/>
  <c r="G227" i="35"/>
  <c r="G208" i="35"/>
  <c r="G193" i="35"/>
  <c r="G178" i="35"/>
  <c r="G163" i="35"/>
  <c r="G147" i="35"/>
  <c r="G129" i="35"/>
  <c r="G112" i="35"/>
  <c r="G96" i="35"/>
  <c r="G80" i="35"/>
  <c r="G65" i="35"/>
  <c r="G49" i="35"/>
  <c r="G33" i="35"/>
  <c r="G17" i="35"/>
  <c r="H20" i="37"/>
  <c r="H4" i="37"/>
  <c r="G292" i="35"/>
  <c r="G277" i="35"/>
  <c r="G263" i="35"/>
  <c r="G250" i="35"/>
  <c r="G232" i="35"/>
  <c r="G215" i="35"/>
  <c r="G200" i="35"/>
  <c r="G184" i="35"/>
  <c r="G169" i="35"/>
  <c r="G154" i="35"/>
  <c r="G138" i="35"/>
  <c r="G123" i="35"/>
  <c r="G107" i="35"/>
  <c r="G91" i="35"/>
  <c r="G75" i="35"/>
  <c r="G56" i="35"/>
  <c r="G40" i="35"/>
  <c r="G24" i="35"/>
  <c r="G8" i="35"/>
  <c r="H11" i="37"/>
  <c r="G299" i="35"/>
  <c r="G280" i="35"/>
  <c r="G259" i="35"/>
  <c r="G243" i="35"/>
  <c r="G214" i="35"/>
  <c r="G196" i="35"/>
  <c r="G179" i="35"/>
  <c r="G164" i="35"/>
  <c r="G145" i="35"/>
  <c r="G126" i="35"/>
  <c r="G110" i="35"/>
  <c r="G94" i="35"/>
  <c r="G78" i="35"/>
  <c r="G59" i="35"/>
  <c r="G43" i="35"/>
  <c r="G27" i="35"/>
  <c r="G11" i="35"/>
  <c r="H14" i="37"/>
  <c r="G306" i="35"/>
  <c r="G290" i="35"/>
  <c r="G276" i="35"/>
  <c r="G258" i="35"/>
  <c r="G238" i="35"/>
  <c r="G226" i="35"/>
  <c r="G209" i="35"/>
  <c r="G190" i="35"/>
  <c r="G167" i="35"/>
  <c r="G148" i="35"/>
  <c r="G133" i="35"/>
  <c r="G117" i="35"/>
  <c r="G101" i="35"/>
  <c r="G85" i="35"/>
  <c r="G69" i="35"/>
  <c r="G54" i="35"/>
  <c r="G38" i="35"/>
  <c r="G22" i="35"/>
  <c r="G6" i="35"/>
  <c r="I24" i="1"/>
  <c r="I30" i="1"/>
  <c r="I36" i="1"/>
  <c r="I47" i="1"/>
  <c r="I56" i="1"/>
  <c r="I64" i="1"/>
  <c r="E50" i="34"/>
  <c r="C67" i="1" s="1"/>
  <c r="E34" i="34"/>
  <c r="C51" i="1" s="1"/>
  <c r="E18" i="34"/>
  <c r="C35" i="1" s="1"/>
  <c r="F19" i="34"/>
  <c r="D36" i="1" s="1"/>
  <c r="AB8" i="32"/>
  <c r="D358" i="35"/>
  <c r="D162" i="35"/>
  <c r="D140" i="35"/>
  <c r="D56" i="35"/>
  <c r="D66" i="35"/>
  <c r="D314" i="35"/>
  <c r="D221" i="35"/>
  <c r="D343" i="35"/>
  <c r="D191" i="35"/>
  <c r="D86" i="35"/>
  <c r="D184" i="35"/>
  <c r="D378" i="35"/>
  <c r="D301" i="35"/>
  <c r="D96" i="35"/>
  <c r="D192" i="35"/>
  <c r="D161" i="35"/>
  <c r="D110" i="35"/>
  <c r="D25" i="35"/>
  <c r="D204" i="35"/>
  <c r="D111" i="35"/>
  <c r="D160" i="35"/>
  <c r="I92" i="14"/>
  <c r="D90" i="14"/>
  <c r="D324" i="35"/>
  <c r="D143" i="35"/>
  <c r="D63" i="35"/>
  <c r="D123" i="35"/>
  <c r="D294" i="35"/>
  <c r="D15" i="35"/>
  <c r="D179" i="35"/>
  <c r="D71" i="8"/>
  <c r="D246" i="35"/>
  <c r="D334" i="35"/>
  <c r="D254" i="35"/>
  <c r="D236" i="35"/>
  <c r="D189" i="35"/>
  <c r="D295" i="35"/>
  <c r="D321" i="35"/>
  <c r="D196" i="35"/>
  <c r="D109" i="35"/>
  <c r="D229" i="35"/>
  <c r="D18" i="35"/>
  <c r="D369" i="35"/>
  <c r="D151" i="35"/>
  <c r="D332" i="35"/>
  <c r="D36" i="35"/>
  <c r="D190" i="35"/>
  <c r="D119" i="35"/>
  <c r="D152" i="35"/>
  <c r="D113" i="35"/>
  <c r="D226" i="35"/>
  <c r="D136" i="35"/>
  <c r="D43" i="35"/>
  <c r="D174" i="35"/>
  <c r="D54" i="35"/>
  <c r="D64" i="35"/>
  <c r="D266" i="35"/>
  <c r="E26" i="34"/>
  <c r="C43" i="1" s="1"/>
  <c r="C7" i="1"/>
  <c r="C5" i="36"/>
  <c r="C7" i="2"/>
  <c r="J42" i="32"/>
  <c r="I43" i="1"/>
  <c r="I51" i="1"/>
  <c r="F15" i="34"/>
  <c r="D32" i="1" s="1"/>
  <c r="F39" i="34"/>
  <c r="D56" i="1" s="1"/>
  <c r="E22" i="34"/>
  <c r="C39" i="1" s="1"/>
  <c r="D42" i="10"/>
  <c r="D177" i="35"/>
  <c r="D354" i="35"/>
  <c r="D349" i="35"/>
  <c r="D50" i="35"/>
  <c r="D58" i="35"/>
  <c r="D267" i="35"/>
  <c r="D241" i="35"/>
  <c r="D194" i="35"/>
  <c r="D76" i="35"/>
  <c r="D225" i="35"/>
  <c r="D5" i="2"/>
  <c r="D207" i="35"/>
  <c r="D232" i="35"/>
  <c r="D231" i="35"/>
  <c r="D360" i="35"/>
  <c r="D125" i="35"/>
  <c r="D68" i="35"/>
  <c r="D368" i="35"/>
  <c r="D363" i="35"/>
  <c r="D279" i="35"/>
  <c r="D356" i="35"/>
  <c r="D302" i="35"/>
  <c r="D259" i="35"/>
  <c r="D317" i="35"/>
  <c r="D53" i="35"/>
  <c r="D134" i="35"/>
  <c r="D333" i="35"/>
  <c r="D304" i="35"/>
  <c r="D107" i="35"/>
  <c r="D141" i="35"/>
  <c r="D19" i="35"/>
  <c r="B15" i="32"/>
  <c r="C5" i="8"/>
  <c r="C5" i="1"/>
  <c r="C7" i="8"/>
  <c r="F27" i="34"/>
  <c r="D44" i="1" s="1"/>
  <c r="F34" i="34"/>
  <c r="D51" i="1" s="1"/>
  <c r="F30" i="34"/>
  <c r="D47" i="1" s="1"/>
  <c r="F22" i="34"/>
  <c r="D39" i="1" s="1"/>
  <c r="F18" i="34"/>
  <c r="D35" i="1" s="1"/>
  <c r="F7" i="34"/>
  <c r="D24" i="1" s="1"/>
  <c r="F23" i="34"/>
  <c r="D40" i="1" s="1"/>
  <c r="E10" i="34"/>
  <c r="C27" i="1" s="1"/>
  <c r="E242" i="35"/>
  <c r="E329" i="35"/>
  <c r="E277" i="35"/>
  <c r="E170" i="35"/>
  <c r="D7" i="37"/>
  <c r="E368" i="35"/>
  <c r="E318" i="35"/>
  <c r="E337" i="35"/>
  <c r="E296" i="35"/>
  <c r="E86" i="35"/>
  <c r="E108" i="35"/>
  <c r="E11" i="35"/>
  <c r="E264" i="35"/>
  <c r="E364" i="35"/>
  <c r="E344" i="35"/>
  <c r="E259" i="35"/>
  <c r="E151" i="35"/>
  <c r="E110" i="35"/>
  <c r="E207" i="35"/>
  <c r="D13" i="37"/>
  <c r="E157" i="35"/>
  <c r="E61" i="35"/>
  <c r="E67" i="35"/>
  <c r="D2" i="37"/>
  <c r="E46" i="35"/>
  <c r="E286" i="35"/>
  <c r="E13" i="35"/>
  <c r="E131" i="35"/>
  <c r="E149" i="35"/>
  <c r="E255" i="35"/>
  <c r="E43" i="35"/>
  <c r="E75" i="35"/>
  <c r="E24" i="35"/>
  <c r="E79" i="35"/>
  <c r="E312" i="35"/>
  <c r="D23" i="37"/>
  <c r="E240" i="35"/>
  <c r="E73" i="35"/>
  <c r="E357" i="35"/>
  <c r="E266" i="35"/>
  <c r="E321" i="35"/>
  <c r="E39" i="35"/>
  <c r="E137" i="35"/>
  <c r="E206" i="35"/>
  <c r="E324" i="35"/>
  <c r="D19" i="37"/>
  <c r="E94" i="35"/>
  <c r="E293" i="35"/>
  <c r="E251" i="35"/>
  <c r="E15" i="35"/>
  <c r="E338" i="35"/>
  <c r="G396" i="34"/>
  <c r="F396" i="34" s="1"/>
  <c r="D21" i="10" s="1"/>
  <c r="H396" i="34"/>
  <c r="J112" i="2"/>
  <c r="J7" i="36"/>
  <c r="L7" i="1"/>
  <c r="J7" i="8"/>
  <c r="L10" i="1"/>
  <c r="J10" i="8"/>
  <c r="J5" i="8"/>
  <c r="J8" i="2"/>
  <c r="L8" i="1"/>
  <c r="J8" i="36"/>
  <c r="C5" i="38"/>
  <c r="C8" i="38"/>
  <c r="C10" i="38"/>
  <c r="C12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5" i="38"/>
  <c r="C179" i="38"/>
  <c r="C183" i="38"/>
  <c r="C187" i="38"/>
  <c r="C191" i="38"/>
  <c r="C195" i="38"/>
  <c r="C199" i="38"/>
  <c r="C203" i="38"/>
  <c r="C207" i="38"/>
  <c r="C211" i="38"/>
  <c r="C215" i="38"/>
  <c r="C219" i="38"/>
  <c r="C223" i="38"/>
  <c r="C227" i="38"/>
  <c r="C231" i="38"/>
  <c r="C235" i="38"/>
  <c r="C239" i="38"/>
  <c r="C243" i="38"/>
  <c r="C247" i="38"/>
  <c r="C251" i="38"/>
  <c r="C255" i="38"/>
  <c r="C259" i="38"/>
  <c r="C263" i="38"/>
  <c r="C267" i="38"/>
  <c r="C271" i="38"/>
  <c r="C281" i="38"/>
  <c r="C289" i="38"/>
  <c r="C293" i="38"/>
  <c r="C297" i="38"/>
  <c r="C301" i="38"/>
  <c r="C305" i="38"/>
  <c r="C309" i="38"/>
  <c r="C313" i="38"/>
  <c r="C317" i="38"/>
  <c r="C321" i="38"/>
  <c r="C325" i="38"/>
  <c r="C329" i="38"/>
  <c r="C333" i="38"/>
  <c r="C337" i="38"/>
  <c r="C341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294" i="35"/>
  <c r="B298" i="35"/>
  <c r="B302" i="35"/>
  <c r="B306" i="35"/>
  <c r="B310" i="35"/>
  <c r="B314" i="35"/>
  <c r="B318" i="35"/>
  <c r="B322" i="35"/>
  <c r="B326" i="35"/>
  <c r="B330" i="35"/>
  <c r="B334" i="35"/>
  <c r="B338" i="35"/>
  <c r="B342" i="35"/>
  <c r="B346" i="35"/>
  <c r="B350" i="35"/>
  <c r="B354" i="35"/>
  <c r="B358" i="35"/>
  <c r="B362" i="35"/>
  <c r="B366" i="35"/>
  <c r="B370" i="35"/>
  <c r="B374" i="35"/>
  <c r="B378" i="35"/>
  <c r="O4" i="33" a="1"/>
  <c r="O4" i="33" s="1"/>
  <c r="C4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102" i="38"/>
  <c r="C106" i="38"/>
  <c r="C110" i="38"/>
  <c r="C114" i="38"/>
  <c r="C118" i="38"/>
  <c r="C122" i="38"/>
  <c r="C126" i="38"/>
  <c r="C130" i="38"/>
  <c r="C134" i="38"/>
  <c r="C138" i="38"/>
  <c r="C142" i="38"/>
  <c r="C146" i="38"/>
  <c r="C150" i="38"/>
  <c r="C154" i="38"/>
  <c r="C158" i="38"/>
  <c r="C162" i="38"/>
  <c r="C166" i="38"/>
  <c r="C170" i="38"/>
  <c r="C174" i="38"/>
  <c r="C178" i="38"/>
  <c r="C182" i="38"/>
  <c r="C186" i="38"/>
  <c r="C190" i="38"/>
  <c r="C194" i="38"/>
  <c r="C198" i="38"/>
  <c r="C202" i="38"/>
  <c r="C206" i="38"/>
  <c r="C210" i="38"/>
  <c r="C214" i="38"/>
  <c r="C218" i="38"/>
  <c r="C222" i="38"/>
  <c r="C226" i="38"/>
  <c r="C230" i="38"/>
  <c r="C234" i="38"/>
  <c r="C238" i="38"/>
  <c r="C242" i="38"/>
  <c r="C246" i="38"/>
  <c r="C250" i="38"/>
  <c r="C254" i="38"/>
  <c r="C258" i="38"/>
  <c r="C262" i="38"/>
  <c r="C266" i="38"/>
  <c r="C270" i="38"/>
  <c r="C274" i="38"/>
  <c r="C276" i="38"/>
  <c r="C278" i="38"/>
  <c r="C280" i="38"/>
  <c r="C283" i="38"/>
  <c r="C285" i="38"/>
  <c r="C288" i="38"/>
  <c r="C292" i="38"/>
  <c r="C296" i="38"/>
  <c r="C300" i="38"/>
  <c r="C304" i="38"/>
  <c r="C308" i="38"/>
  <c r="C312" i="38"/>
  <c r="C316" i="38"/>
  <c r="C320" i="38"/>
  <c r="C324" i="38"/>
  <c r="C328" i="38"/>
  <c r="C332" i="38"/>
  <c r="C336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H2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3" i="35"/>
  <c r="B157" i="35"/>
  <c r="B161" i="35"/>
  <c r="B165" i="35"/>
  <c r="B169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57" i="35"/>
  <c r="B261" i="35"/>
  <c r="B265" i="35"/>
  <c r="B269" i="35"/>
  <c r="B273" i="35"/>
  <c r="B277" i="35"/>
  <c r="B281" i="35"/>
  <c r="B285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1" i="35"/>
  <c r="B345" i="35"/>
  <c r="B349" i="35"/>
  <c r="B353" i="35"/>
  <c r="B357" i="35"/>
  <c r="B361" i="35"/>
  <c r="B365" i="35"/>
  <c r="B369" i="35"/>
  <c r="B373" i="35"/>
  <c r="B377" i="35"/>
  <c r="B24" i="37"/>
  <c r="F24" i="37"/>
  <c r="H377" i="35"/>
  <c r="H363" i="35"/>
  <c r="H367" i="35"/>
  <c r="H371" i="35"/>
  <c r="H375" i="35"/>
  <c r="C6" i="38"/>
  <c r="C3" i="38"/>
  <c r="C7" i="38"/>
  <c r="C9" i="38"/>
  <c r="C11" i="38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105" i="38"/>
  <c r="C109" i="38"/>
  <c r="C113" i="38"/>
  <c r="C117" i="38"/>
  <c r="C121" i="38"/>
  <c r="C125" i="38"/>
  <c r="C129" i="38"/>
  <c r="C133" i="38"/>
  <c r="C137" i="38"/>
  <c r="C141" i="38"/>
  <c r="C145" i="38"/>
  <c r="C149" i="38"/>
  <c r="C153" i="38"/>
  <c r="C157" i="38"/>
  <c r="C161" i="38"/>
  <c r="C165" i="38"/>
  <c r="C169" i="38"/>
  <c r="C173" i="38"/>
  <c r="C177" i="38"/>
  <c r="C181" i="38"/>
  <c r="C185" i="38"/>
  <c r="C189" i="38"/>
  <c r="C193" i="38"/>
  <c r="C197" i="38"/>
  <c r="C201" i="38"/>
  <c r="C205" i="38"/>
  <c r="C209" i="38"/>
  <c r="C213" i="38"/>
  <c r="C217" i="38"/>
  <c r="C221" i="38"/>
  <c r="C225" i="38"/>
  <c r="C229" i="38"/>
  <c r="C233" i="38"/>
  <c r="C237" i="38"/>
  <c r="C241" i="38"/>
  <c r="C245" i="38"/>
  <c r="C249" i="38"/>
  <c r="C253" i="38"/>
  <c r="C257" i="38"/>
  <c r="C261" i="38"/>
  <c r="C265" i="38"/>
  <c r="C269" i="38"/>
  <c r="C273" i="38"/>
  <c r="C287" i="38"/>
  <c r="C291" i="38"/>
  <c r="C295" i="38"/>
  <c r="C299" i="38"/>
  <c r="C303" i="38"/>
  <c r="C307" i="38"/>
  <c r="C311" i="38"/>
  <c r="C315" i="38"/>
  <c r="C319" i="38"/>
  <c r="C323" i="38"/>
  <c r="C327" i="38"/>
  <c r="C331" i="38"/>
  <c r="C335" i="38"/>
  <c r="C339" i="38"/>
  <c r="C343" i="38"/>
  <c r="C347" i="38"/>
  <c r="C351" i="38"/>
  <c r="C355" i="38"/>
  <c r="C359" i="38"/>
  <c r="C363" i="38"/>
  <c r="C367" i="38"/>
  <c r="C371" i="38"/>
  <c r="C375" i="38"/>
  <c r="C379" i="38"/>
  <c r="C383" i="38"/>
  <c r="C387" i="38"/>
  <c r="C391" i="38"/>
  <c r="C395" i="38"/>
  <c r="C399" i="38"/>
  <c r="M2" i="38"/>
  <c r="B4" i="35"/>
  <c r="B8" i="35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8" i="35"/>
  <c r="B132" i="35"/>
  <c r="B136" i="35"/>
  <c r="B140" i="35"/>
  <c r="B144" i="35"/>
  <c r="B148" i="35"/>
  <c r="B152" i="35"/>
  <c r="B156" i="35"/>
  <c r="B160" i="35"/>
  <c r="B164" i="35"/>
  <c r="B168" i="35"/>
  <c r="B172" i="35"/>
  <c r="B176" i="35"/>
  <c r="B180" i="35"/>
  <c r="B184" i="35"/>
  <c r="B188" i="35"/>
  <c r="B192" i="35"/>
  <c r="B196" i="35"/>
  <c r="B200" i="35"/>
  <c r="B204" i="35"/>
  <c r="B208" i="35"/>
  <c r="B212" i="35"/>
  <c r="B216" i="35"/>
  <c r="B220" i="35"/>
  <c r="B224" i="35"/>
  <c r="B228" i="35"/>
  <c r="B232" i="35"/>
  <c r="B236" i="35"/>
  <c r="B240" i="35"/>
  <c r="B244" i="35"/>
  <c r="B248" i="35"/>
  <c r="B252" i="35"/>
  <c r="B256" i="35"/>
  <c r="B260" i="35"/>
  <c r="B264" i="35"/>
  <c r="B268" i="35"/>
  <c r="B272" i="35"/>
  <c r="B276" i="35"/>
  <c r="B280" i="35"/>
  <c r="B284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0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C2" i="38"/>
  <c r="C16" i="38"/>
  <c r="C20" i="38"/>
  <c r="C24" i="38"/>
  <c r="C28" i="38"/>
  <c r="C32" i="38"/>
  <c r="C36" i="38"/>
  <c r="C40" i="38"/>
  <c r="C44" i="38"/>
  <c r="C48" i="38"/>
  <c r="C52" i="38"/>
  <c r="C56" i="38"/>
  <c r="C60" i="38"/>
  <c r="C64" i="38"/>
  <c r="C68" i="38"/>
  <c r="C72" i="38"/>
  <c r="C76" i="38"/>
  <c r="C80" i="38"/>
  <c r="C84" i="38"/>
  <c r="C88" i="38"/>
  <c r="C92" i="38"/>
  <c r="C96" i="38"/>
  <c r="C100" i="38"/>
  <c r="C104" i="38"/>
  <c r="C108" i="38"/>
  <c r="C112" i="38"/>
  <c r="C116" i="38"/>
  <c r="C120" i="38"/>
  <c r="C124" i="38"/>
  <c r="C128" i="38"/>
  <c r="C132" i="38"/>
  <c r="C136" i="38"/>
  <c r="C140" i="38"/>
  <c r="C144" i="38"/>
  <c r="C148" i="38"/>
  <c r="C152" i="38"/>
  <c r="C156" i="38"/>
  <c r="C160" i="38"/>
  <c r="C164" i="38"/>
  <c r="C168" i="38"/>
  <c r="C172" i="38"/>
  <c r="C176" i="38"/>
  <c r="C180" i="38"/>
  <c r="C184" i="38"/>
  <c r="C188" i="38"/>
  <c r="C192" i="38"/>
  <c r="C196" i="38"/>
  <c r="C200" i="38"/>
  <c r="C204" i="38"/>
  <c r="C208" i="38"/>
  <c r="C212" i="38"/>
  <c r="C216" i="38"/>
  <c r="C220" i="38"/>
  <c r="C224" i="38"/>
  <c r="C228" i="38"/>
  <c r="C232" i="38"/>
  <c r="C236" i="38"/>
  <c r="C240" i="38"/>
  <c r="C244" i="38"/>
  <c r="C248" i="38"/>
  <c r="C252" i="38"/>
  <c r="C256" i="38"/>
  <c r="C260" i="38"/>
  <c r="C264" i="38"/>
  <c r="C268" i="38"/>
  <c r="C272" i="38"/>
  <c r="C275" i="38"/>
  <c r="C277" i="38"/>
  <c r="C279" i="38"/>
  <c r="C282" i="38"/>
  <c r="C284" i="38"/>
  <c r="C286" i="38"/>
  <c r="C290" i="38"/>
  <c r="C294" i="38"/>
  <c r="C298" i="38"/>
  <c r="C302" i="38"/>
  <c r="C306" i="38"/>
  <c r="C310" i="38"/>
  <c r="C314" i="38"/>
  <c r="C318" i="38"/>
  <c r="C322" i="38"/>
  <c r="C326" i="38"/>
  <c r="C330" i="38"/>
  <c r="C334" i="38"/>
  <c r="C338" i="38"/>
  <c r="C342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B3" i="35"/>
  <c r="B7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5" i="35"/>
  <c r="B159" i="35"/>
  <c r="B163" i="35"/>
  <c r="B167" i="35"/>
  <c r="B171" i="35"/>
  <c r="B175" i="35"/>
  <c r="B179" i="35"/>
  <c r="B183" i="35"/>
  <c r="B187" i="35"/>
  <c r="B191" i="35"/>
  <c r="B195" i="35"/>
  <c r="B199" i="35"/>
  <c r="B203" i="35"/>
  <c r="B207" i="35"/>
  <c r="B211" i="35"/>
  <c r="B215" i="35"/>
  <c r="B219" i="35"/>
  <c r="B223" i="35"/>
  <c r="B227" i="35"/>
  <c r="B231" i="35"/>
  <c r="B235" i="35"/>
  <c r="B239" i="35"/>
  <c r="B243" i="35"/>
  <c r="B247" i="35"/>
  <c r="B251" i="35"/>
  <c r="B255" i="35"/>
  <c r="B259" i="35"/>
  <c r="B263" i="35"/>
  <c r="B267" i="35"/>
  <c r="B271" i="35"/>
  <c r="B275" i="35"/>
  <c r="B279" i="35"/>
  <c r="B283" i="35"/>
  <c r="B287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3" i="35"/>
  <c r="B347" i="35"/>
  <c r="B351" i="35"/>
  <c r="B355" i="35"/>
  <c r="B359" i="35"/>
  <c r="B363" i="35"/>
  <c r="B367" i="35"/>
  <c r="B371" i="35"/>
  <c r="B375" i="35"/>
  <c r="B379" i="35"/>
  <c r="B22" i="37"/>
  <c r="F22" i="37"/>
  <c r="H379" i="35"/>
  <c r="H365" i="35"/>
  <c r="H369" i="35"/>
  <c r="H373" i="35"/>
  <c r="F23" i="37"/>
  <c r="H378" i="35"/>
  <c r="H368" i="35"/>
  <c r="H376" i="35"/>
  <c r="F21" i="37"/>
  <c r="H366" i="35"/>
  <c r="H374" i="35"/>
  <c r="F2" i="34"/>
  <c r="D19" i="1" s="1"/>
  <c r="B23" i="37"/>
  <c r="H364" i="35"/>
  <c r="H372" i="35"/>
  <c r="B21" i="37"/>
  <c r="H370" i="35"/>
  <c r="F3" i="34"/>
  <c r="D20" i="1" s="1"/>
  <c r="I20" i="1"/>
  <c r="E2" i="34"/>
  <c r="C19" i="1"/>
  <c r="AB35" i="32"/>
  <c r="K58" i="1"/>
  <c r="I21" i="14"/>
  <c r="I25" i="14"/>
  <c r="I29" i="14"/>
  <c r="I33" i="14"/>
  <c r="I37" i="14"/>
  <c r="I41" i="14"/>
  <c r="I45" i="14"/>
  <c r="I49" i="14"/>
  <c r="I53" i="14"/>
  <c r="I57" i="14"/>
  <c r="I62" i="14"/>
  <c r="I68" i="14"/>
  <c r="I73" i="14"/>
  <c r="I78" i="14"/>
  <c r="I84" i="14"/>
  <c r="I60" i="8"/>
  <c r="I65" i="8"/>
  <c r="E414" i="34"/>
  <c r="C39" i="10" s="1"/>
  <c r="F410" i="34"/>
  <c r="D35" i="10" s="1"/>
  <c r="E406" i="34"/>
  <c r="C31" i="10" s="1"/>
  <c r="E402" i="34"/>
  <c r="C27" i="10" s="1"/>
  <c r="E398" i="34"/>
  <c r="C23" i="10" s="1"/>
  <c r="F394" i="34"/>
  <c r="D19" i="10" s="1"/>
  <c r="E390" i="34"/>
  <c r="C86" i="14" s="1"/>
  <c r="F386" i="34"/>
  <c r="D82" i="14" s="1"/>
  <c r="E382" i="34"/>
  <c r="C78" i="14" s="1"/>
  <c r="F378" i="34"/>
  <c r="D74" i="14" s="1"/>
  <c r="E374" i="34"/>
  <c r="C70" i="14" s="1"/>
  <c r="E370" i="34"/>
  <c r="C66" i="14" s="1"/>
  <c r="E366" i="34"/>
  <c r="C62" i="14" s="1"/>
  <c r="E358" i="34"/>
  <c r="C54" i="14" s="1"/>
  <c r="E354" i="34"/>
  <c r="C50" i="14" s="1"/>
  <c r="E350" i="34"/>
  <c r="C46" i="14" s="1"/>
  <c r="E342" i="34"/>
  <c r="C38" i="14" s="1"/>
  <c r="E338" i="34"/>
  <c r="C34" i="14" s="1"/>
  <c r="E334" i="34"/>
  <c r="C30" i="14" s="1"/>
  <c r="E326" i="34"/>
  <c r="C22" i="14" s="1"/>
  <c r="E322" i="34"/>
  <c r="C69" i="8" s="1"/>
  <c r="E318" i="34"/>
  <c r="C65" i="8" s="1"/>
  <c r="E310" i="34"/>
  <c r="C57" i="8" s="1"/>
  <c r="E306" i="34"/>
  <c r="C53" i="8" s="1"/>
  <c r="E302" i="34"/>
  <c r="C49" i="8" s="1"/>
  <c r="E294" i="34"/>
  <c r="C41" i="8" s="1"/>
  <c r="E284" i="34"/>
  <c r="C31" i="8" s="1"/>
  <c r="E280" i="34"/>
  <c r="C27" i="8" s="1"/>
  <c r="F276" i="34"/>
  <c r="D23" i="8"/>
  <c r="E272" i="34"/>
  <c r="C19" i="8" s="1"/>
  <c r="E268" i="34"/>
  <c r="C35" i="36" s="1"/>
  <c r="E264" i="34"/>
  <c r="C31" i="36"/>
  <c r="F260" i="34"/>
  <c r="D27" i="36" s="1"/>
  <c r="E256" i="34"/>
  <c r="C23" i="36" s="1"/>
  <c r="E252" i="34"/>
  <c r="C19" i="36" s="1"/>
  <c r="E248" i="34"/>
  <c r="C131" i="2" s="1"/>
  <c r="F244" i="34"/>
  <c r="D127" i="2" s="1"/>
  <c r="E240" i="34"/>
  <c r="C123" i="2" s="1"/>
  <c r="E236" i="34"/>
  <c r="C119" i="2" s="1"/>
  <c r="E232" i="34"/>
  <c r="C115" i="2" s="1"/>
  <c r="F228" i="34"/>
  <c r="D111" i="2" s="1"/>
  <c r="E224" i="34"/>
  <c r="C107" i="2" s="1"/>
  <c r="E220" i="34"/>
  <c r="C103" i="2" s="1"/>
  <c r="E216" i="34"/>
  <c r="C99" i="2" s="1"/>
  <c r="E212" i="34"/>
  <c r="C95" i="2" s="1"/>
  <c r="E204" i="34"/>
  <c r="C87" i="2" s="1"/>
  <c r="E200" i="34"/>
  <c r="C83" i="2" s="1"/>
  <c r="E196" i="34"/>
  <c r="C79" i="2" s="1"/>
  <c r="E192" i="34"/>
  <c r="C75" i="2" s="1"/>
  <c r="E188" i="34"/>
  <c r="C71" i="2" s="1"/>
  <c r="E184" i="34"/>
  <c r="C67" i="2" s="1"/>
  <c r="E180" i="34"/>
  <c r="C63" i="2" s="1"/>
  <c r="E176" i="34"/>
  <c r="C59" i="2" s="1"/>
  <c r="E172" i="34"/>
  <c r="C55" i="2" s="1"/>
  <c r="E168" i="34"/>
  <c r="C51" i="2" s="1"/>
  <c r="E164" i="34"/>
  <c r="C47" i="2" s="1"/>
  <c r="E160" i="34"/>
  <c r="C43" i="2"/>
  <c r="E156" i="34"/>
  <c r="C39" i="2" s="1"/>
  <c r="E152" i="34"/>
  <c r="C35" i="2" s="1"/>
  <c r="E148" i="34"/>
  <c r="C31" i="2" s="1"/>
  <c r="E144" i="34"/>
  <c r="C27" i="2" s="1"/>
  <c r="E140" i="34"/>
  <c r="C23" i="2" s="1"/>
  <c r="E136" i="34"/>
  <c r="C19" i="2" s="1"/>
  <c r="E132" i="34"/>
  <c r="C153" i="1" s="1"/>
  <c r="E128" i="34"/>
  <c r="C149" i="1" s="1"/>
  <c r="E124" i="34"/>
  <c r="C145" i="1" s="1"/>
  <c r="E120" i="34"/>
  <c r="C141" i="1" s="1"/>
  <c r="E116" i="34"/>
  <c r="C137" i="1" s="1"/>
  <c r="E112" i="34"/>
  <c r="C133" i="1" s="1"/>
  <c r="E108" i="34"/>
  <c r="C129" i="1" s="1"/>
  <c r="E104" i="34"/>
  <c r="C125" i="1" s="1"/>
  <c r="E100" i="34"/>
  <c r="C121" i="1" s="1"/>
  <c r="E96" i="34"/>
  <c r="C117" i="1" s="1"/>
  <c r="E92" i="34"/>
  <c r="C113" i="1" s="1"/>
  <c r="E88" i="34"/>
  <c r="C109" i="1" s="1"/>
  <c r="E84" i="34"/>
  <c r="C105" i="1" s="1"/>
  <c r="E80" i="34"/>
  <c r="C101" i="1" s="1"/>
  <c r="E76" i="34"/>
  <c r="C97" i="1"/>
  <c r="E72" i="34"/>
  <c r="C93" i="1" s="1"/>
  <c r="E68" i="34"/>
  <c r="C85" i="1" s="1"/>
  <c r="E64" i="34"/>
  <c r="C81" i="1" s="1"/>
  <c r="E60" i="34"/>
  <c r="C77" i="1" s="1"/>
  <c r="E56" i="34"/>
  <c r="C73" i="1" s="1"/>
  <c r="E52" i="34"/>
  <c r="C69" i="1" s="1"/>
  <c r="E48" i="34"/>
  <c r="C65" i="1" s="1"/>
  <c r="E44" i="34"/>
  <c r="C61" i="1" s="1"/>
  <c r="E40" i="34"/>
  <c r="C57" i="1" s="1"/>
  <c r="E36" i="34"/>
  <c r="C53" i="1" s="1"/>
  <c r="E32" i="34"/>
  <c r="C49" i="1" s="1"/>
  <c r="E28" i="34"/>
  <c r="C45" i="1" s="1"/>
  <c r="E24" i="34"/>
  <c r="C41" i="1" s="1"/>
  <c r="E20" i="34"/>
  <c r="C37" i="1"/>
  <c r="E16" i="34"/>
  <c r="C33" i="1" s="1"/>
  <c r="F43" i="34"/>
  <c r="D60" i="1" s="1"/>
  <c r="F59" i="34"/>
  <c r="D76" i="1" s="1"/>
  <c r="F75" i="34"/>
  <c r="D96" i="1" s="1"/>
  <c r="F107" i="34"/>
  <c r="D128" i="1"/>
  <c r="F123" i="34"/>
  <c r="D144" i="1" s="1"/>
  <c r="F155" i="34"/>
  <c r="D38" i="2" s="1"/>
  <c r="F171" i="34"/>
  <c r="D54" i="2" s="1"/>
  <c r="F219" i="34"/>
  <c r="D102" i="2" s="1"/>
  <c r="F251" i="34"/>
  <c r="D134" i="2" s="1"/>
  <c r="F267" i="34"/>
  <c r="D34" i="36" s="1"/>
  <c r="F283" i="34"/>
  <c r="D30" i="8" s="1"/>
  <c r="F299" i="34"/>
  <c r="D46" i="8" s="1"/>
  <c r="F397" i="34"/>
  <c r="D22" i="10" s="1"/>
  <c r="E162" i="34"/>
  <c r="C45" i="2" s="1"/>
  <c r="E210" i="34"/>
  <c r="C93" i="2" s="1"/>
  <c r="E403" i="34"/>
  <c r="C28" i="10" s="1"/>
  <c r="F403" i="34"/>
  <c r="D28" i="10" s="1"/>
  <c r="E399" i="34"/>
  <c r="C24" i="10" s="1"/>
  <c r="F399" i="34"/>
  <c r="D24" i="10" s="1"/>
  <c r="E395" i="34"/>
  <c r="C20" i="10" s="1"/>
  <c r="F395" i="34"/>
  <c r="D20" i="10" s="1"/>
  <c r="E298" i="34"/>
  <c r="C45" i="8" s="1"/>
  <c r="E299" i="34"/>
  <c r="C46" i="8" s="1"/>
  <c r="E285" i="34"/>
  <c r="C32" i="8" s="1"/>
  <c r="F285" i="34"/>
  <c r="D32" i="8" s="1"/>
  <c r="E281" i="34"/>
  <c r="C28" i="8" s="1"/>
  <c r="F281" i="34"/>
  <c r="D28" i="8" s="1"/>
  <c r="E277" i="34"/>
  <c r="C24" i="8" s="1"/>
  <c r="F277" i="34"/>
  <c r="D24" i="8" s="1"/>
  <c r="E273" i="34"/>
  <c r="C20" i="8" s="1"/>
  <c r="F273" i="34"/>
  <c r="D20" i="8" s="1"/>
  <c r="E269" i="34"/>
  <c r="C36" i="36" s="1"/>
  <c r="F269" i="34"/>
  <c r="D36" i="36"/>
  <c r="E265" i="34"/>
  <c r="C32" i="36" s="1"/>
  <c r="F265" i="34"/>
  <c r="D32" i="36" s="1"/>
  <c r="E261" i="34"/>
  <c r="C28" i="36" s="1"/>
  <c r="F261" i="34"/>
  <c r="D28" i="36" s="1"/>
  <c r="E257" i="34"/>
  <c r="C24" i="36" s="1"/>
  <c r="F257" i="34"/>
  <c r="D24" i="36" s="1"/>
  <c r="E253" i="34"/>
  <c r="C20" i="36" s="1"/>
  <c r="F253" i="34"/>
  <c r="D20" i="36" s="1"/>
  <c r="E249" i="34"/>
  <c r="C132" i="2" s="1"/>
  <c r="F249" i="34"/>
  <c r="D132" i="2" s="1"/>
  <c r="E245" i="34"/>
  <c r="C128" i="2" s="1"/>
  <c r="F245" i="34"/>
  <c r="D128" i="2" s="1"/>
  <c r="E241" i="34"/>
  <c r="C124" i="2" s="1"/>
  <c r="F241" i="34"/>
  <c r="D124" i="2" s="1"/>
  <c r="E237" i="34"/>
  <c r="C120" i="2" s="1"/>
  <c r="F237" i="34"/>
  <c r="D120" i="2" s="1"/>
  <c r="E233" i="34"/>
  <c r="C116" i="2" s="1"/>
  <c r="F233" i="34"/>
  <c r="D116" i="2" s="1"/>
  <c r="E229" i="34"/>
  <c r="C112" i="2" s="1"/>
  <c r="F229" i="34"/>
  <c r="D112" i="2" s="1"/>
  <c r="E225" i="34"/>
  <c r="C108" i="2" s="1"/>
  <c r="F225" i="34"/>
  <c r="D108" i="2" s="1"/>
  <c r="E221" i="34"/>
  <c r="C104" i="2" s="1"/>
  <c r="F221" i="34"/>
  <c r="D104" i="2" s="1"/>
  <c r="F217" i="34"/>
  <c r="D100" i="2" s="1"/>
  <c r="E217" i="34"/>
  <c r="C100" i="2" s="1"/>
  <c r="F213" i="34"/>
  <c r="D96" i="2" s="1"/>
  <c r="E213" i="34"/>
  <c r="C96" i="2" s="1"/>
  <c r="F209" i="34"/>
  <c r="D92" i="2" s="1"/>
  <c r="E209" i="34"/>
  <c r="C92" i="2" s="1"/>
  <c r="F205" i="34"/>
  <c r="D88" i="2" s="1"/>
  <c r="E205" i="34"/>
  <c r="C88" i="2" s="1"/>
  <c r="F201" i="34"/>
  <c r="D84" i="2" s="1"/>
  <c r="E201" i="34"/>
  <c r="C84" i="2" s="1"/>
  <c r="F197" i="34"/>
  <c r="D80" i="2" s="1"/>
  <c r="E197" i="34"/>
  <c r="C80" i="2" s="1"/>
  <c r="F193" i="34"/>
  <c r="D76" i="2" s="1"/>
  <c r="E193" i="34"/>
  <c r="C76" i="2" s="1"/>
  <c r="F189" i="34"/>
  <c r="D72" i="2" s="1"/>
  <c r="E189" i="34"/>
  <c r="C72" i="2" s="1"/>
  <c r="F185" i="34"/>
  <c r="D68" i="2" s="1"/>
  <c r="E185" i="34"/>
  <c r="C68" i="2" s="1"/>
  <c r="F181" i="34"/>
  <c r="D64" i="2" s="1"/>
  <c r="E181" i="34"/>
  <c r="C64" i="2" s="1"/>
  <c r="F177" i="34"/>
  <c r="D60" i="2" s="1"/>
  <c r="E177" i="34"/>
  <c r="C60" i="2" s="1"/>
  <c r="F173" i="34"/>
  <c r="D56" i="2" s="1"/>
  <c r="E173" i="34"/>
  <c r="C56" i="2" s="1"/>
  <c r="F169" i="34"/>
  <c r="D52" i="2" s="1"/>
  <c r="E169" i="34"/>
  <c r="C52" i="2" s="1"/>
  <c r="F165" i="34"/>
  <c r="D48" i="2" s="1"/>
  <c r="E165" i="34"/>
  <c r="C48" i="2" s="1"/>
  <c r="F161" i="34"/>
  <c r="D44" i="2" s="1"/>
  <c r="E161" i="34"/>
  <c r="C44" i="2" s="1"/>
  <c r="F157" i="34"/>
  <c r="D40" i="2" s="1"/>
  <c r="E157" i="34"/>
  <c r="C40" i="2" s="1"/>
  <c r="F153" i="34"/>
  <c r="D36" i="2" s="1"/>
  <c r="E153" i="34"/>
  <c r="C36" i="2" s="1"/>
  <c r="F149" i="34"/>
  <c r="D32" i="2" s="1"/>
  <c r="E149" i="34"/>
  <c r="C32" i="2" s="1"/>
  <c r="F145" i="34"/>
  <c r="D28" i="2" s="1"/>
  <c r="E145" i="34"/>
  <c r="C28" i="2" s="1"/>
  <c r="F141" i="34"/>
  <c r="D24" i="2" s="1"/>
  <c r="E141" i="34"/>
  <c r="C24" i="2" s="1"/>
  <c r="F137" i="34"/>
  <c r="D20" i="2" s="1"/>
  <c r="E137" i="34"/>
  <c r="C20" i="2" s="1"/>
  <c r="F133" i="34"/>
  <c r="D154" i="1" s="1"/>
  <c r="E133" i="34"/>
  <c r="C154" i="1" s="1"/>
  <c r="F129" i="34"/>
  <c r="D150" i="1" s="1"/>
  <c r="E129" i="34"/>
  <c r="C150" i="1" s="1"/>
  <c r="F125" i="34"/>
  <c r="D146" i="1" s="1"/>
  <c r="E125" i="34"/>
  <c r="C146" i="1" s="1"/>
  <c r="F121" i="34"/>
  <c r="D142" i="1" s="1"/>
  <c r="E121" i="34"/>
  <c r="C142" i="1" s="1"/>
  <c r="F117" i="34"/>
  <c r="D138" i="1" s="1"/>
  <c r="E117" i="34"/>
  <c r="C138" i="1" s="1"/>
  <c r="F113" i="34"/>
  <c r="D134" i="1" s="1"/>
  <c r="E113" i="34"/>
  <c r="C134" i="1" s="1"/>
  <c r="F109" i="34"/>
  <c r="D130" i="1" s="1"/>
  <c r="E109" i="34"/>
  <c r="C130" i="1" s="1"/>
  <c r="F105" i="34"/>
  <c r="D126" i="1" s="1"/>
  <c r="E105" i="34"/>
  <c r="C126" i="1" s="1"/>
  <c r="F101" i="34"/>
  <c r="D122" i="1" s="1"/>
  <c r="E101" i="34"/>
  <c r="C122" i="1" s="1"/>
  <c r="F97" i="34"/>
  <c r="D118" i="1" s="1"/>
  <c r="E97" i="34"/>
  <c r="C118" i="1" s="1"/>
  <c r="F93" i="34"/>
  <c r="D114" i="1" s="1"/>
  <c r="E93" i="34"/>
  <c r="C114" i="1" s="1"/>
  <c r="F89" i="34"/>
  <c r="D110" i="1" s="1"/>
  <c r="E89" i="34"/>
  <c r="C110" i="1" s="1"/>
  <c r="F85" i="34"/>
  <c r="D106" i="1" s="1"/>
  <c r="E85" i="34"/>
  <c r="C106" i="1" s="1"/>
  <c r="F81" i="34"/>
  <c r="D102" i="1" s="1"/>
  <c r="E81" i="34"/>
  <c r="C102" i="1" s="1"/>
  <c r="F77" i="34"/>
  <c r="D98" i="1" s="1"/>
  <c r="E77" i="34"/>
  <c r="C98" i="1" s="1"/>
  <c r="F73" i="34"/>
  <c r="D94" i="1" s="1"/>
  <c r="E73" i="34"/>
  <c r="C94" i="1" s="1"/>
  <c r="F69" i="34"/>
  <c r="D90" i="1" s="1"/>
  <c r="E69" i="34"/>
  <c r="C90" i="1"/>
  <c r="F65" i="34"/>
  <c r="D82" i="1" s="1"/>
  <c r="I95" i="1"/>
  <c r="I91" i="1"/>
  <c r="I82" i="1"/>
  <c r="I78" i="1"/>
  <c r="I74" i="1"/>
  <c r="I70" i="1"/>
  <c r="E65" i="34"/>
  <c r="C82" i="1" s="1"/>
  <c r="F61" i="34"/>
  <c r="D78" i="1" s="1"/>
  <c r="E61" i="34"/>
  <c r="C78" i="1" s="1"/>
  <c r="F57" i="34"/>
  <c r="D74" i="1" s="1"/>
  <c r="E57" i="34"/>
  <c r="C74" i="1" s="1"/>
  <c r="F53" i="34"/>
  <c r="D70" i="1" s="1"/>
  <c r="E53" i="34"/>
  <c r="C70" i="1" s="1"/>
  <c r="I69" i="1"/>
  <c r="F49" i="34"/>
  <c r="D66" i="1" s="1"/>
  <c r="E49" i="34"/>
  <c r="C66" i="1" s="1"/>
  <c r="F45" i="34"/>
  <c r="D62" i="1" s="1"/>
  <c r="I66" i="1"/>
  <c r="I62" i="1"/>
  <c r="I58" i="1"/>
  <c r="E45" i="34"/>
  <c r="C62" i="1" s="1"/>
  <c r="F41" i="34"/>
  <c r="D58" i="1" s="1"/>
  <c r="E41" i="34"/>
  <c r="C58" i="1" s="1"/>
  <c r="F37" i="34"/>
  <c r="D54" i="1" s="1"/>
  <c r="I54" i="1"/>
  <c r="E37" i="34"/>
  <c r="C54" i="1" s="1"/>
  <c r="F33" i="34"/>
  <c r="D50" i="1" s="1"/>
  <c r="I50" i="1"/>
  <c r="E33" i="34"/>
  <c r="C50" i="1" s="1"/>
  <c r="F29" i="34"/>
  <c r="D46" i="1" s="1"/>
  <c r="I46" i="1"/>
  <c r="E29" i="34"/>
  <c r="C46" i="1" s="1"/>
  <c r="F25" i="34"/>
  <c r="D42" i="1" s="1"/>
  <c r="I42" i="1"/>
  <c r="E25" i="34"/>
  <c r="C42" i="1" s="1"/>
  <c r="F21" i="34"/>
  <c r="D38" i="1" s="1"/>
  <c r="I38" i="1"/>
  <c r="E21" i="34"/>
  <c r="C38" i="1" s="1"/>
  <c r="F17" i="34"/>
  <c r="D34" i="1" s="1"/>
  <c r="I34" i="1"/>
  <c r="E17" i="34"/>
  <c r="C34" i="1" s="1"/>
  <c r="J69" i="8"/>
  <c r="I20" i="14"/>
  <c r="I24" i="14"/>
  <c r="I28" i="14"/>
  <c r="I32" i="14"/>
  <c r="I36" i="14"/>
  <c r="I40" i="14"/>
  <c r="I44" i="14"/>
  <c r="I48" i="14"/>
  <c r="I52" i="14"/>
  <c r="I56" i="14"/>
  <c r="I61" i="14"/>
  <c r="I66" i="14"/>
  <c r="I72" i="14"/>
  <c r="I77" i="14"/>
  <c r="I82" i="14"/>
  <c r="I88" i="14"/>
  <c r="I64" i="8"/>
  <c r="E415" i="34"/>
  <c r="C40" i="10" s="1"/>
  <c r="E411" i="34"/>
  <c r="C36" i="10" s="1"/>
  <c r="E407" i="34"/>
  <c r="C32" i="10" s="1"/>
  <c r="E391" i="34"/>
  <c r="C87" i="14" s="1"/>
  <c r="E387" i="34"/>
  <c r="C83" i="14" s="1"/>
  <c r="E383" i="34"/>
  <c r="C79" i="14"/>
  <c r="E379" i="34"/>
  <c r="C75" i="14" s="1"/>
  <c r="E375" i="34"/>
  <c r="C71" i="14" s="1"/>
  <c r="E371" i="34"/>
  <c r="C67" i="14" s="1"/>
  <c r="E367" i="34"/>
  <c r="C63" i="14" s="1"/>
  <c r="E363" i="34"/>
  <c r="C59" i="14" s="1"/>
  <c r="E359" i="34"/>
  <c r="C55" i="14" s="1"/>
  <c r="E355" i="34"/>
  <c r="C51" i="14" s="1"/>
  <c r="E351" i="34"/>
  <c r="C47" i="14" s="1"/>
  <c r="E347" i="34"/>
  <c r="C43" i="14" s="1"/>
  <c r="E343" i="34"/>
  <c r="C39" i="14" s="1"/>
  <c r="E339" i="34"/>
  <c r="C35" i="14" s="1"/>
  <c r="E335" i="34"/>
  <c r="C31" i="14" s="1"/>
  <c r="E331" i="34"/>
  <c r="C27" i="14" s="1"/>
  <c r="E327" i="34"/>
  <c r="C23" i="14" s="1"/>
  <c r="E323" i="34"/>
  <c r="C19" i="14" s="1"/>
  <c r="E319" i="34"/>
  <c r="C66" i="8" s="1"/>
  <c r="E315" i="34"/>
  <c r="C62" i="8" s="1"/>
  <c r="F55" i="34"/>
  <c r="D72" i="1" s="1"/>
  <c r="F71" i="34"/>
  <c r="D92" i="1" s="1"/>
  <c r="F103" i="34"/>
  <c r="D124" i="1" s="1"/>
  <c r="F119" i="34"/>
  <c r="D140" i="1" s="1"/>
  <c r="F135" i="34"/>
  <c r="D156" i="1" s="1"/>
  <c r="F151" i="34"/>
  <c r="D34" i="2" s="1"/>
  <c r="F167" i="34"/>
  <c r="D50" i="2" s="1"/>
  <c r="F183" i="34"/>
  <c r="D66" i="2" s="1"/>
  <c r="F199" i="34"/>
  <c r="D82" i="2" s="1"/>
  <c r="F215" i="34"/>
  <c r="D98" i="2" s="1"/>
  <c r="F231" i="34"/>
  <c r="D114" i="2" s="1"/>
  <c r="F263" i="34"/>
  <c r="D30" i="36" s="1"/>
  <c r="F279" i="34"/>
  <c r="D26" i="8" s="1"/>
  <c r="F295" i="34"/>
  <c r="D42" i="8" s="1"/>
  <c r="F311" i="34"/>
  <c r="D58" i="8" s="1"/>
  <c r="F327" i="34"/>
  <c r="D23" i="14" s="1"/>
  <c r="F343" i="34"/>
  <c r="D39" i="14" s="1"/>
  <c r="F359" i="34"/>
  <c r="D55" i="14" s="1"/>
  <c r="F375" i="34"/>
  <c r="D71" i="14" s="1"/>
  <c r="F391" i="34"/>
  <c r="D87" i="14" s="1"/>
  <c r="F411" i="34"/>
  <c r="D36" i="10" s="1"/>
  <c r="E30" i="34"/>
  <c r="C47" i="1" s="1"/>
  <c r="E46" i="34"/>
  <c r="C63" i="1" s="1"/>
  <c r="E62" i="34"/>
  <c r="C79" i="1" s="1"/>
  <c r="E94" i="34"/>
  <c r="C115" i="1" s="1"/>
  <c r="E110" i="34"/>
  <c r="C131" i="1" s="1"/>
  <c r="E126" i="34"/>
  <c r="C147" i="1" s="1"/>
  <c r="E142" i="34"/>
  <c r="C25" i="2" s="1"/>
  <c r="E158" i="34"/>
  <c r="C41" i="2" s="1"/>
  <c r="E174" i="34"/>
  <c r="C57" i="2" s="1"/>
  <c r="E190" i="34"/>
  <c r="C73" i="2" s="1"/>
  <c r="E206" i="34"/>
  <c r="C89" i="2" s="1"/>
  <c r="E223" i="34"/>
  <c r="C106" i="2" s="1"/>
  <c r="E244" i="34"/>
  <c r="C127" i="2" s="1"/>
  <c r="E266" i="34"/>
  <c r="C33" i="36"/>
  <c r="E287" i="34"/>
  <c r="C34" i="8" s="1"/>
  <c r="E412" i="34"/>
  <c r="C37" i="10" s="1"/>
  <c r="F412" i="34"/>
  <c r="D37" i="10" s="1"/>
  <c r="E408" i="34"/>
  <c r="C33" i="10" s="1"/>
  <c r="F408" i="34"/>
  <c r="D33" i="10" s="1"/>
  <c r="F400" i="34"/>
  <c r="D25" i="10" s="1"/>
  <c r="E400" i="34"/>
  <c r="C25" i="10" s="1"/>
  <c r="E392" i="34"/>
  <c r="C88" i="14" s="1"/>
  <c r="F392" i="34"/>
  <c r="D88" i="14" s="1"/>
  <c r="E388" i="34"/>
  <c r="C84" i="14" s="1"/>
  <c r="F388" i="34"/>
  <c r="D84" i="14" s="1"/>
  <c r="E384" i="34"/>
  <c r="C80" i="14" s="1"/>
  <c r="F384" i="34"/>
  <c r="D80" i="14" s="1"/>
  <c r="E380" i="34"/>
  <c r="C76" i="14" s="1"/>
  <c r="F380" i="34"/>
  <c r="D76" i="14" s="1"/>
  <c r="E376" i="34"/>
  <c r="C72" i="14" s="1"/>
  <c r="F376" i="34"/>
  <c r="D72" i="14" s="1"/>
  <c r="E372" i="34"/>
  <c r="C68" i="14" s="1"/>
  <c r="F372" i="34"/>
  <c r="D68" i="14" s="1"/>
  <c r="E368" i="34"/>
  <c r="C64" i="14" s="1"/>
  <c r="F368" i="34"/>
  <c r="D64" i="14" s="1"/>
  <c r="E364" i="34"/>
  <c r="C60" i="14" s="1"/>
  <c r="F364" i="34"/>
  <c r="D60" i="14" s="1"/>
  <c r="I59" i="14"/>
  <c r="E360" i="34"/>
  <c r="C56" i="14" s="1"/>
  <c r="F360" i="34"/>
  <c r="D56" i="14" s="1"/>
  <c r="E356" i="34"/>
  <c r="C52" i="14" s="1"/>
  <c r="F356" i="34"/>
  <c r="D52" i="14" s="1"/>
  <c r="E352" i="34"/>
  <c r="C48" i="14" s="1"/>
  <c r="F352" i="34"/>
  <c r="D48" i="14" s="1"/>
  <c r="E348" i="34"/>
  <c r="C44" i="14" s="1"/>
  <c r="F348" i="34"/>
  <c r="D44" i="14" s="1"/>
  <c r="E344" i="34"/>
  <c r="C40" i="14" s="1"/>
  <c r="F344" i="34"/>
  <c r="D40" i="14"/>
  <c r="E340" i="34"/>
  <c r="C36" i="14" s="1"/>
  <c r="F340" i="34"/>
  <c r="D36" i="14" s="1"/>
  <c r="E336" i="34"/>
  <c r="C32" i="14" s="1"/>
  <c r="F336" i="34"/>
  <c r="D32" i="14" s="1"/>
  <c r="E332" i="34"/>
  <c r="C28" i="14" s="1"/>
  <c r="F332" i="34"/>
  <c r="D28" i="14"/>
  <c r="E328" i="34"/>
  <c r="C24" i="14" s="1"/>
  <c r="F328" i="34"/>
  <c r="D24" i="14" s="1"/>
  <c r="E324" i="34"/>
  <c r="C20" i="14" s="1"/>
  <c r="F324" i="34"/>
  <c r="D20" i="14" s="1"/>
  <c r="E320" i="34"/>
  <c r="C67" i="8" s="1"/>
  <c r="E316" i="34"/>
  <c r="C63" i="8" s="1"/>
  <c r="F51" i="34"/>
  <c r="D68" i="1" s="1"/>
  <c r="F67" i="34"/>
  <c r="D84" i="1" s="1"/>
  <c r="F83" i="34"/>
  <c r="D104" i="1" s="1"/>
  <c r="F99" i="34"/>
  <c r="D120" i="1" s="1"/>
  <c r="F115" i="34"/>
  <c r="D136" i="1" s="1"/>
  <c r="F131" i="34"/>
  <c r="D152" i="1" s="1"/>
  <c r="F147" i="34"/>
  <c r="D30" i="2" s="1"/>
  <c r="F163" i="34"/>
  <c r="D46" i="2" s="1"/>
  <c r="F179" i="34"/>
  <c r="D62" i="2" s="1"/>
  <c r="F211" i="34"/>
  <c r="D94" i="2" s="1"/>
  <c r="F227" i="34"/>
  <c r="D110" i="2" s="1"/>
  <c r="F259" i="34"/>
  <c r="D26" i="36" s="1"/>
  <c r="F275" i="34"/>
  <c r="D22" i="8" s="1"/>
  <c r="F291" i="34"/>
  <c r="D38" i="8" s="1"/>
  <c r="F307" i="34"/>
  <c r="D54" i="8" s="1"/>
  <c r="F323" i="34"/>
  <c r="D19" i="14" s="1"/>
  <c r="F339" i="34"/>
  <c r="D35" i="14" s="1"/>
  <c r="F355" i="34"/>
  <c r="D51" i="14" s="1"/>
  <c r="F371" i="34"/>
  <c r="D67" i="14" s="1"/>
  <c r="F387" i="34"/>
  <c r="D83" i="14" s="1"/>
  <c r="F406" i="34"/>
  <c r="D31" i="10" s="1"/>
  <c r="E42" i="34"/>
  <c r="C59" i="1" s="1"/>
  <c r="E58" i="34"/>
  <c r="C75" i="1" s="1"/>
  <c r="E74" i="34"/>
  <c r="C95" i="1"/>
  <c r="E90" i="34"/>
  <c r="C111" i="1" s="1"/>
  <c r="E106" i="34"/>
  <c r="C127" i="1" s="1"/>
  <c r="E122" i="34"/>
  <c r="C143" i="1" s="1"/>
  <c r="E138" i="34"/>
  <c r="C21" i="2" s="1"/>
  <c r="E154" i="34"/>
  <c r="C37" i="2" s="1"/>
  <c r="E170" i="34"/>
  <c r="C53" i="2" s="1"/>
  <c r="E186" i="34"/>
  <c r="C69" i="2" s="1"/>
  <c r="E202" i="34"/>
  <c r="C85" i="2" s="1"/>
  <c r="E218" i="34"/>
  <c r="C101" i="2" s="1"/>
  <c r="E239" i="34"/>
  <c r="C122" i="2" s="1"/>
  <c r="E260" i="34"/>
  <c r="C27" i="36" s="1"/>
  <c r="E282" i="34"/>
  <c r="C29" i="8"/>
  <c r="I61" i="8"/>
  <c r="I66" i="8"/>
  <c r="F405" i="34"/>
  <c r="D30" i="10" s="1"/>
  <c r="F31" i="34"/>
  <c r="D48" i="1" s="1"/>
  <c r="F47" i="34"/>
  <c r="D64" i="1" s="1"/>
  <c r="F63" i="34"/>
  <c r="D80" i="1" s="1"/>
  <c r="F79" i="34"/>
  <c r="D100" i="1" s="1"/>
  <c r="F95" i="34"/>
  <c r="D116" i="1" s="1"/>
  <c r="F111" i="34"/>
  <c r="D132" i="1" s="1"/>
  <c r="F127" i="34"/>
  <c r="D148" i="1" s="1"/>
  <c r="F159" i="34"/>
  <c r="D42" i="2" s="1"/>
  <c r="F175" i="34"/>
  <c r="D58" i="2" s="1"/>
  <c r="F207" i="34"/>
  <c r="D90" i="2" s="1"/>
  <c r="F223" i="34"/>
  <c r="D106" i="2" s="1"/>
  <c r="F239" i="34"/>
  <c r="D122" i="2" s="1"/>
  <c r="F255" i="34"/>
  <c r="D22" i="36" s="1"/>
  <c r="F271" i="34"/>
  <c r="D38" i="36" s="1"/>
  <c r="F287" i="34"/>
  <c r="D34" i="8" s="1"/>
  <c r="F303" i="34"/>
  <c r="D50" i="8" s="1"/>
  <c r="F319" i="34"/>
  <c r="D66" i="8" s="1"/>
  <c r="F335" i="34"/>
  <c r="D31" i="14" s="1"/>
  <c r="F351" i="34"/>
  <c r="D47" i="14" s="1"/>
  <c r="F367" i="34"/>
  <c r="D63" i="14" s="1"/>
  <c r="F383" i="34"/>
  <c r="D79" i="14" s="1"/>
  <c r="F401" i="34"/>
  <c r="D26" i="10" s="1"/>
  <c r="E38" i="34"/>
  <c r="C55" i="1" s="1"/>
  <c r="E54" i="34"/>
  <c r="C71" i="1" s="1"/>
  <c r="E70" i="34"/>
  <c r="C91" i="1" s="1"/>
  <c r="E86" i="34"/>
  <c r="C107" i="1" s="1"/>
  <c r="E102" i="34"/>
  <c r="C123" i="1"/>
  <c r="E118" i="34"/>
  <c r="C139" i="1" s="1"/>
  <c r="E134" i="34"/>
  <c r="C155" i="1" s="1"/>
  <c r="E150" i="34"/>
  <c r="C33" i="2" s="1"/>
  <c r="E166" i="34"/>
  <c r="C49" i="2" s="1"/>
  <c r="E198" i="34"/>
  <c r="C81" i="2" s="1"/>
  <c r="E214" i="34"/>
  <c r="C97" i="2" s="1"/>
  <c r="E255" i="34"/>
  <c r="C22" i="36" s="1"/>
  <c r="E276" i="34"/>
  <c r="C23" i="8" s="1"/>
  <c r="E297" i="34"/>
  <c r="C44" i="8" s="1"/>
  <c r="E289" i="34"/>
  <c r="C36" i="8"/>
  <c r="I63" i="14"/>
  <c r="I67" i="14"/>
  <c r="I71" i="14"/>
  <c r="I75" i="14"/>
  <c r="I79" i="14"/>
  <c r="I83" i="14"/>
  <c r="I87" i="14"/>
  <c r="I19" i="8"/>
  <c r="I23" i="8"/>
  <c r="I27" i="8"/>
  <c r="I31" i="8"/>
  <c r="I35" i="8"/>
  <c r="I39" i="8"/>
  <c r="I43" i="8"/>
  <c r="I47" i="8"/>
  <c r="I51" i="8"/>
  <c r="I55" i="8"/>
  <c r="I59" i="8"/>
  <c r="I63" i="8"/>
  <c r="I67" i="8"/>
  <c r="I20" i="36"/>
  <c r="I24" i="36"/>
  <c r="I28" i="36"/>
  <c r="I32" i="36"/>
  <c r="I36" i="36"/>
  <c r="I20" i="2"/>
  <c r="I24" i="2"/>
  <c r="I28" i="2"/>
  <c r="I32" i="2"/>
  <c r="I36" i="2"/>
  <c r="I40" i="2"/>
  <c r="I44" i="2"/>
  <c r="I48" i="2"/>
  <c r="I52" i="2"/>
  <c r="I56" i="2"/>
  <c r="I60" i="2"/>
  <c r="I64" i="2"/>
  <c r="I68" i="2"/>
  <c r="I72" i="2"/>
  <c r="I76" i="2"/>
  <c r="I80" i="2"/>
  <c r="I84" i="2"/>
  <c r="I88" i="2"/>
  <c r="I92" i="2"/>
  <c r="I96" i="2"/>
  <c r="I100" i="2"/>
  <c r="I104" i="2"/>
  <c r="I108" i="2"/>
  <c r="I112" i="2"/>
  <c r="I116" i="2"/>
  <c r="I120" i="2"/>
  <c r="I124" i="2"/>
  <c r="I128" i="2"/>
  <c r="I132" i="2"/>
  <c r="I21" i="1"/>
  <c r="I25" i="1"/>
  <c r="I29" i="1"/>
  <c r="I33" i="1"/>
  <c r="I37" i="1"/>
  <c r="I41" i="1"/>
  <c r="I45" i="1"/>
  <c r="I49" i="1"/>
  <c r="I53" i="1"/>
  <c r="I57" i="1"/>
  <c r="I61" i="1"/>
  <c r="I65" i="1"/>
  <c r="I73" i="1"/>
  <c r="I77" i="1"/>
  <c r="I81" i="1"/>
  <c r="I85" i="1"/>
  <c r="I94" i="1"/>
  <c r="I98" i="1"/>
  <c r="I102" i="1"/>
  <c r="I106" i="1"/>
  <c r="I110" i="1"/>
  <c r="I114" i="1"/>
  <c r="I118" i="1"/>
  <c r="I122" i="1"/>
  <c r="I126" i="1"/>
  <c r="I130" i="1"/>
  <c r="I134" i="1"/>
  <c r="I138" i="1"/>
  <c r="I142" i="1"/>
  <c r="I146" i="1"/>
  <c r="I150" i="1"/>
  <c r="I154" i="1"/>
  <c r="F4" i="34"/>
  <c r="D21" i="1"/>
  <c r="F8" i="34"/>
  <c r="D25" i="1" s="1"/>
  <c r="F12" i="34"/>
  <c r="D29" i="1" s="1"/>
  <c r="F16" i="34"/>
  <c r="D33" i="1" s="1"/>
  <c r="F20" i="34"/>
  <c r="D37" i="1" s="1"/>
  <c r="F24" i="34"/>
  <c r="D41" i="1" s="1"/>
  <c r="F28" i="34"/>
  <c r="D45" i="1" s="1"/>
  <c r="F32" i="34"/>
  <c r="D49" i="1" s="1"/>
  <c r="F36" i="34"/>
  <c r="D53" i="1" s="1"/>
  <c r="F40" i="34"/>
  <c r="D57" i="1" s="1"/>
  <c r="F44" i="34"/>
  <c r="D61" i="1" s="1"/>
  <c r="F48" i="34"/>
  <c r="D65" i="1" s="1"/>
  <c r="F52" i="34"/>
  <c r="D69" i="1" s="1"/>
  <c r="F56" i="34"/>
  <c r="D73" i="1" s="1"/>
  <c r="F60" i="34"/>
  <c r="D77" i="1" s="1"/>
  <c r="F64" i="34"/>
  <c r="D81" i="1" s="1"/>
  <c r="F68" i="34"/>
  <c r="D85" i="1" s="1"/>
  <c r="F72" i="34"/>
  <c r="D93" i="1" s="1"/>
  <c r="F76" i="34"/>
  <c r="D97" i="1" s="1"/>
  <c r="F80" i="34"/>
  <c r="D101" i="1" s="1"/>
  <c r="F84" i="34"/>
  <c r="D105" i="1" s="1"/>
  <c r="F88" i="34"/>
  <c r="D109" i="1" s="1"/>
  <c r="F92" i="34"/>
  <c r="D113" i="1" s="1"/>
  <c r="F96" i="34"/>
  <c r="D117" i="1" s="1"/>
  <c r="F100" i="34"/>
  <c r="D121" i="1" s="1"/>
  <c r="F104" i="34"/>
  <c r="D125" i="1" s="1"/>
  <c r="F108" i="34"/>
  <c r="D129" i="1" s="1"/>
  <c r="F112" i="34"/>
  <c r="D133" i="1" s="1"/>
  <c r="F116" i="34"/>
  <c r="D137" i="1" s="1"/>
  <c r="F120" i="34"/>
  <c r="D141" i="1" s="1"/>
  <c r="F124" i="34"/>
  <c r="D145" i="1" s="1"/>
  <c r="F128" i="34"/>
  <c r="D149" i="1" s="1"/>
  <c r="F132" i="34"/>
  <c r="D153" i="1"/>
  <c r="F136" i="34"/>
  <c r="D19" i="2" s="1"/>
  <c r="F140" i="34"/>
  <c r="D23" i="2" s="1"/>
  <c r="F144" i="34"/>
  <c r="D27" i="2" s="1"/>
  <c r="F148" i="34"/>
  <c r="D31" i="2" s="1"/>
  <c r="F152" i="34"/>
  <c r="D35" i="2" s="1"/>
  <c r="F156" i="34"/>
  <c r="D39" i="2" s="1"/>
  <c r="F160" i="34"/>
  <c r="D43" i="2" s="1"/>
  <c r="F164" i="34"/>
  <c r="D47" i="2" s="1"/>
  <c r="F168" i="34"/>
  <c r="D51" i="2" s="1"/>
  <c r="F172" i="34"/>
  <c r="D55" i="2" s="1"/>
  <c r="F176" i="34"/>
  <c r="D59" i="2" s="1"/>
  <c r="F180" i="34"/>
  <c r="D63" i="2" s="1"/>
  <c r="F184" i="34"/>
  <c r="D67" i="2" s="1"/>
  <c r="F188" i="34"/>
  <c r="D71" i="2" s="1"/>
  <c r="F192" i="34"/>
  <c r="D75" i="2" s="1"/>
  <c r="F196" i="34"/>
  <c r="D79" i="2" s="1"/>
  <c r="F200" i="34"/>
  <c r="D83" i="2" s="1"/>
  <c r="F204" i="34"/>
  <c r="D87" i="2" s="1"/>
  <c r="F208" i="34"/>
  <c r="D91" i="2" s="1"/>
  <c r="F212" i="34"/>
  <c r="D95" i="2" s="1"/>
  <c r="F216" i="34"/>
  <c r="D99" i="2" s="1"/>
  <c r="F220" i="34"/>
  <c r="D103" i="2" s="1"/>
  <c r="F224" i="34"/>
  <c r="D107" i="2" s="1"/>
  <c r="F232" i="34"/>
  <c r="D115" i="2" s="1"/>
  <c r="F236" i="34"/>
  <c r="D119" i="2" s="1"/>
  <c r="F240" i="34"/>
  <c r="D123" i="2" s="1"/>
  <c r="F248" i="34"/>
  <c r="D131" i="2" s="1"/>
  <c r="F252" i="34"/>
  <c r="D19" i="36" s="1"/>
  <c r="F256" i="34"/>
  <c r="D23" i="36" s="1"/>
  <c r="F264" i="34"/>
  <c r="D31" i="36" s="1"/>
  <c r="F268" i="34"/>
  <c r="D35" i="36" s="1"/>
  <c r="F272" i="34"/>
  <c r="D19" i="8" s="1"/>
  <c r="F280" i="34"/>
  <c r="D27" i="8" s="1"/>
  <c r="F284" i="34"/>
  <c r="D31" i="8" s="1"/>
  <c r="F288" i="34"/>
  <c r="D35" i="8" s="1"/>
  <c r="F292" i="34"/>
  <c r="D39" i="8" s="1"/>
  <c r="F296" i="34"/>
  <c r="D43" i="8" s="1"/>
  <c r="F300" i="34"/>
  <c r="D47" i="8" s="1"/>
  <c r="F304" i="34"/>
  <c r="D51" i="8" s="1"/>
  <c r="F308" i="34"/>
  <c r="D55" i="8" s="1"/>
  <c r="F312" i="34"/>
  <c r="D59" i="8" s="1"/>
  <c r="F316" i="34"/>
  <c r="D63" i="8" s="1"/>
  <c r="F320" i="34"/>
  <c r="D67" i="8" s="1"/>
  <c r="F398" i="34"/>
  <c r="D23" i="10" s="1"/>
  <c r="F402" i="34"/>
  <c r="D27" i="10" s="1"/>
  <c r="E3" i="34"/>
  <c r="C20" i="1" s="1"/>
  <c r="E7" i="34"/>
  <c r="C24" i="1" s="1"/>
  <c r="E11" i="34"/>
  <c r="C28" i="1" s="1"/>
  <c r="E230" i="34"/>
  <c r="C113" i="2" s="1"/>
  <c r="E246" i="34"/>
  <c r="C129" i="2" s="1"/>
  <c r="E262" i="34"/>
  <c r="C29" i="36" s="1"/>
  <c r="E278" i="34"/>
  <c r="C25" i="8" s="1"/>
  <c r="E288" i="34"/>
  <c r="C35" i="8" s="1"/>
  <c r="E378" i="34"/>
  <c r="C74" i="14" s="1"/>
  <c r="E386" i="34"/>
  <c r="C82" i="14" s="1"/>
  <c r="E394" i="34"/>
  <c r="C19" i="10" s="1"/>
  <c r="E410" i="34"/>
  <c r="C35" i="10" s="1"/>
  <c r="E314" i="34"/>
  <c r="C61" i="8"/>
  <c r="E330" i="34"/>
  <c r="C26" i="14" s="1"/>
  <c r="E346" i="34"/>
  <c r="C42" i="14" s="1"/>
  <c r="E362" i="34"/>
  <c r="C58" i="14" s="1"/>
  <c r="F6" i="34"/>
  <c r="D23" i="1" s="1"/>
  <c r="F10" i="34"/>
  <c r="D27" i="1" s="1"/>
  <c r="F14" i="34"/>
  <c r="D31" i="1" s="1"/>
  <c r="F26" i="34"/>
  <c r="D43" i="1" s="1"/>
  <c r="F78" i="34"/>
  <c r="D99" i="1" s="1"/>
  <c r="F130" i="34"/>
  <c r="D151" i="1" s="1"/>
  <c r="F222" i="34"/>
  <c r="D105" i="2" s="1"/>
  <c r="F226" i="34"/>
  <c r="D109" i="2" s="1"/>
  <c r="F238" i="34"/>
  <c r="D121" i="2" s="1"/>
  <c r="F242" i="34"/>
  <c r="D125" i="2" s="1"/>
  <c r="F254" i="34"/>
  <c r="D21" i="36" s="1"/>
  <c r="F258" i="34"/>
  <c r="D25" i="36" s="1"/>
  <c r="F270" i="34"/>
  <c r="D37" i="36"/>
  <c r="F274" i="34"/>
  <c r="D21" i="8" s="1"/>
  <c r="F286" i="34"/>
  <c r="D33" i="8" s="1"/>
  <c r="F290" i="34"/>
  <c r="D37" i="8" s="1"/>
  <c r="F294" i="34"/>
  <c r="D41" i="8" s="1"/>
  <c r="F298" i="34"/>
  <c r="D45" i="8" s="1"/>
  <c r="F302" i="34"/>
  <c r="D49" i="8" s="1"/>
  <c r="F306" i="34"/>
  <c r="D53" i="8" s="1"/>
  <c r="F310" i="34"/>
  <c r="D57" i="8" s="1"/>
  <c r="F314" i="34"/>
  <c r="D61" i="8" s="1"/>
  <c r="F318" i="34"/>
  <c r="D65" i="8" s="1"/>
  <c r="F322" i="34"/>
  <c r="D69" i="8" s="1"/>
  <c r="F326" i="34"/>
  <c r="D22" i="14" s="1"/>
  <c r="F330" i="34"/>
  <c r="D26" i="14" s="1"/>
  <c r="F334" i="34"/>
  <c r="D30" i="14" s="1"/>
  <c r="F338" i="34"/>
  <c r="D34" i="14" s="1"/>
  <c r="F342" i="34"/>
  <c r="D38" i="14" s="1"/>
  <c r="F346" i="34"/>
  <c r="D42" i="14" s="1"/>
  <c r="F350" i="34"/>
  <c r="D46" i="14" s="1"/>
  <c r="F354" i="34"/>
  <c r="D50" i="14" s="1"/>
  <c r="F358" i="34"/>
  <c r="D54" i="14" s="1"/>
  <c r="F362" i="34"/>
  <c r="D58" i="14" s="1"/>
  <c r="F366" i="34"/>
  <c r="D62" i="14" s="1"/>
  <c r="F370" i="34"/>
  <c r="D66" i="14" s="1"/>
  <c r="F374" i="34"/>
  <c r="D70" i="14" s="1"/>
  <c r="F382" i="34"/>
  <c r="D78" i="14" s="1"/>
  <c r="F390" i="34"/>
  <c r="D86" i="14" s="1"/>
  <c r="F414" i="34"/>
  <c r="D39" i="10" s="1"/>
  <c r="E5" i="34"/>
  <c r="C22" i="1" s="1"/>
  <c r="E9" i="34"/>
  <c r="C26" i="1" s="1"/>
  <c r="E13" i="34"/>
  <c r="C30" i="1" s="1"/>
  <c r="E291" i="34"/>
  <c r="C38" i="8" s="1"/>
  <c r="E296" i="34"/>
  <c r="C43" i="8" s="1"/>
  <c r="I99" i="1"/>
  <c r="I103" i="1"/>
  <c r="I107" i="1"/>
  <c r="I111" i="1"/>
  <c r="I115" i="1"/>
  <c r="I119" i="1"/>
  <c r="I127" i="1"/>
  <c r="I131" i="1"/>
  <c r="I135" i="1"/>
  <c r="I139" i="1"/>
  <c r="I143" i="1"/>
  <c r="I147" i="1"/>
  <c r="I151" i="1"/>
  <c r="E413" i="34"/>
  <c r="C38" i="10" s="1"/>
  <c r="E409" i="34"/>
  <c r="C34" i="10" s="1"/>
  <c r="E405" i="34"/>
  <c r="C30" i="10" s="1"/>
  <c r="E401" i="34"/>
  <c r="C26" i="10" s="1"/>
  <c r="E397" i="34"/>
  <c r="C22" i="10" s="1"/>
  <c r="E393" i="34"/>
  <c r="C18" i="10" s="1"/>
  <c r="E389" i="34"/>
  <c r="C85" i="14" s="1"/>
  <c r="E385" i="34"/>
  <c r="C81" i="14" s="1"/>
  <c r="E381" i="34"/>
  <c r="C77" i="14" s="1"/>
  <c r="E377" i="34"/>
  <c r="C73" i="14" s="1"/>
  <c r="E373" i="34"/>
  <c r="C69" i="14" s="1"/>
  <c r="E369" i="34"/>
  <c r="C65" i="14" s="1"/>
  <c r="E365" i="34"/>
  <c r="C61" i="14" s="1"/>
  <c r="E361" i="34"/>
  <c r="C57" i="14" s="1"/>
  <c r="E357" i="34"/>
  <c r="C53" i="14" s="1"/>
  <c r="E353" i="34"/>
  <c r="C49" i="14" s="1"/>
  <c r="E349" i="34"/>
  <c r="C45" i="14"/>
  <c r="E345" i="34"/>
  <c r="C41" i="14" s="1"/>
  <c r="E341" i="34"/>
  <c r="C37" i="14" s="1"/>
  <c r="E337" i="34"/>
  <c r="C33" i="14" s="1"/>
  <c r="E333" i="34"/>
  <c r="C29" i="14" s="1"/>
  <c r="E329" i="34"/>
  <c r="C25" i="14" s="1"/>
  <c r="E325" i="34"/>
  <c r="C21" i="14" s="1"/>
  <c r="E321" i="34"/>
  <c r="C68" i="8" s="1"/>
  <c r="E317" i="34"/>
  <c r="C64" i="8" s="1"/>
  <c r="E313" i="34"/>
  <c r="C60" i="8" s="1"/>
  <c r="E309" i="34"/>
  <c r="C56" i="8" s="1"/>
  <c r="E305" i="34"/>
  <c r="C52" i="8" s="1"/>
  <c r="E301" i="34"/>
  <c r="C48" i="8" s="1"/>
  <c r="E293" i="34"/>
  <c r="C40" i="8" s="1"/>
  <c r="F5" i="34"/>
  <c r="D22" i="1" s="1"/>
  <c r="F9" i="34"/>
  <c r="D26" i="1" s="1"/>
  <c r="F289" i="34"/>
  <c r="D36" i="8" s="1"/>
  <c r="F293" i="34"/>
  <c r="D40" i="8" s="1"/>
  <c r="F297" i="34"/>
  <c r="D44" i="8"/>
  <c r="F301" i="34"/>
  <c r="D48" i="8" s="1"/>
  <c r="F305" i="34"/>
  <c r="D52" i="8" s="1"/>
  <c r="F309" i="34"/>
  <c r="D56" i="8" s="1"/>
  <c r="F313" i="34"/>
  <c r="D60" i="8"/>
  <c r="F317" i="34"/>
  <c r="D64" i="8" s="1"/>
  <c r="F321" i="34"/>
  <c r="D68" i="8" s="1"/>
  <c r="F325" i="34"/>
  <c r="D21" i="14"/>
  <c r="F329" i="34"/>
  <c r="D25" i="14" s="1"/>
  <c r="F333" i="34"/>
  <c r="D29" i="14" s="1"/>
  <c r="F337" i="34"/>
  <c r="D33" i="14" s="1"/>
  <c r="F341" i="34"/>
  <c r="D37" i="14" s="1"/>
  <c r="F345" i="34"/>
  <c r="D41" i="14"/>
  <c r="F349" i="34"/>
  <c r="D45" i="14" s="1"/>
  <c r="F353" i="34"/>
  <c r="D49" i="14" s="1"/>
  <c r="F357" i="34"/>
  <c r="D53" i="14" s="1"/>
  <c r="F361" i="34"/>
  <c r="D57" i="14"/>
  <c r="F365" i="34"/>
  <c r="D61" i="14" s="1"/>
  <c r="F369" i="34"/>
  <c r="D65" i="14" s="1"/>
  <c r="F373" i="34"/>
  <c r="D69" i="14" s="1"/>
  <c r="F377" i="34"/>
  <c r="D73" i="14" s="1"/>
  <c r="F381" i="34"/>
  <c r="D77" i="14" s="1"/>
  <c r="F385" i="34"/>
  <c r="D81" i="14" s="1"/>
  <c r="F389" i="34"/>
  <c r="D85" i="14"/>
  <c r="F409" i="34"/>
  <c r="D34" i="10" s="1"/>
  <c r="F413" i="34"/>
  <c r="D38" i="10" s="1"/>
  <c r="E4" i="34"/>
  <c r="C21" i="1"/>
  <c r="E8" i="34"/>
  <c r="C25" i="1" s="1"/>
  <c r="E12" i="34"/>
  <c r="C29" i="1" s="1"/>
  <c r="E208" i="34"/>
  <c r="C91" i="2" s="1"/>
  <c r="E290" i="34"/>
  <c r="C37" i="8" s="1"/>
  <c r="E295" i="34"/>
  <c r="C42" i="8" s="1"/>
  <c r="H2" i="38"/>
  <c r="J2" i="38"/>
  <c r="B2" i="38"/>
  <c r="K2" i="38"/>
  <c r="I2" i="38"/>
  <c r="L9" i="1"/>
  <c r="J9" i="2"/>
  <c r="J9" i="8"/>
  <c r="J9" i="36"/>
  <c r="J9" i="14"/>
  <c r="N9" i="10"/>
  <c r="K3" i="35"/>
  <c r="F3" i="38"/>
  <c r="E3" i="38"/>
  <c r="J68" i="35"/>
  <c r="D3" i="38"/>
  <c r="M3" i="35"/>
  <c r="K68" i="35"/>
  <c r="G3" i="38"/>
  <c r="I16" i="1" l="1"/>
  <c r="I16" i="36"/>
  <c r="G16" i="10"/>
  <c r="I16" i="2"/>
  <c r="C10" i="8"/>
  <c r="C10" i="2"/>
  <c r="C10" i="10"/>
  <c r="B22" i="32"/>
  <c r="C10" i="14"/>
  <c r="C6" i="10"/>
  <c r="B17" i="32"/>
  <c r="C10" i="1"/>
  <c r="C357" i="35"/>
  <c r="C141" i="35"/>
  <c r="C159" i="35"/>
  <c r="C288" i="35"/>
  <c r="C145" i="35"/>
  <c r="C51" i="35"/>
  <c r="C72" i="35"/>
  <c r="C252" i="35"/>
  <c r="C94" i="35"/>
  <c r="I2" i="37"/>
  <c r="C52" i="35"/>
  <c r="C20" i="35"/>
  <c r="C160" i="35"/>
  <c r="C306" i="35"/>
  <c r="C254" i="35"/>
  <c r="I22" i="37"/>
  <c r="C375" i="35"/>
  <c r="C216" i="35"/>
  <c r="C282" i="35"/>
  <c r="C44" i="35"/>
  <c r="C275" i="35"/>
  <c r="C274" i="35"/>
  <c r="I18" i="37"/>
  <c r="C299" i="35"/>
  <c r="C2" i="35"/>
  <c r="I20" i="37"/>
  <c r="C29" i="35"/>
  <c r="C84" i="35"/>
  <c r="C163" i="35"/>
  <c r="C227" i="35"/>
  <c r="C74" i="35"/>
  <c r="I9" i="37"/>
  <c r="C144" i="35"/>
  <c r="C7" i="35"/>
  <c r="C339" i="35"/>
  <c r="C374" i="35"/>
  <c r="C365" i="35"/>
  <c r="C272" i="35"/>
  <c r="C128" i="35"/>
  <c r="C140" i="35"/>
  <c r="C184" i="35"/>
  <c r="C10" i="36"/>
  <c r="C6" i="14"/>
  <c r="I16" i="14"/>
  <c r="J17" i="14"/>
  <c r="J17" i="2"/>
  <c r="L44" i="10"/>
  <c r="H42" i="36"/>
  <c r="H92" i="14"/>
  <c r="C11" i="1"/>
  <c r="B24" i="32"/>
  <c r="C11" i="36"/>
  <c r="C11" i="14"/>
  <c r="C11" i="8"/>
  <c r="D11" i="2"/>
  <c r="E218" i="35"/>
  <c r="E55" i="35"/>
  <c r="E328" i="35"/>
  <c r="E285" i="35"/>
  <c r="E93" i="35"/>
  <c r="E352" i="35"/>
  <c r="E274" i="35"/>
  <c r="E56" i="35"/>
  <c r="E31" i="35"/>
  <c r="E282" i="35"/>
  <c r="E250" i="35"/>
  <c r="E3" i="35"/>
  <c r="E159" i="35"/>
  <c r="E365" i="35"/>
  <c r="E215" i="35"/>
  <c r="D17" i="37"/>
  <c r="E144" i="35"/>
  <c r="E14" i="35"/>
  <c r="E198" i="35"/>
  <c r="E299" i="35"/>
  <c r="E26" i="35"/>
  <c r="E351" i="35"/>
  <c r="D8" i="37"/>
  <c r="E370" i="35"/>
  <c r="E23" i="35"/>
  <c r="D262" i="35"/>
  <c r="D46" i="35"/>
  <c r="D11" i="35"/>
  <c r="D118" i="35"/>
  <c r="D3" i="35"/>
  <c r="D73" i="35"/>
  <c r="C9" i="37"/>
  <c r="D30" i="35"/>
  <c r="D176" i="35"/>
  <c r="D281" i="35"/>
  <c r="D91" i="35"/>
  <c r="D375" i="35"/>
  <c r="D112" i="35"/>
  <c r="D139" i="35"/>
  <c r="D320" i="35"/>
  <c r="C8" i="37"/>
  <c r="D97" i="35"/>
  <c r="D355" i="35"/>
  <c r="D122" i="35"/>
  <c r="D287" i="35"/>
  <c r="D252" i="35"/>
  <c r="C18" i="37"/>
  <c r="D157" i="35"/>
  <c r="D268" i="35"/>
  <c r="C16" i="36"/>
  <c r="C16" i="1"/>
  <c r="C16" i="14"/>
  <c r="C16" i="2"/>
  <c r="E12" i="35"/>
  <c r="E211" i="35"/>
  <c r="E10" i="35"/>
  <c r="E115" i="35"/>
  <c r="E34" i="35"/>
  <c r="E239" i="35"/>
  <c r="E65" i="35"/>
  <c r="E376" i="35"/>
  <c r="E123" i="35"/>
  <c r="E128" i="35"/>
  <c r="E19" i="35"/>
  <c r="E298" i="35"/>
  <c r="E62" i="35"/>
  <c r="E345" i="35"/>
  <c r="E333" i="35"/>
  <c r="D12" i="37"/>
  <c r="E7" i="35"/>
  <c r="E358" i="35"/>
  <c r="E96" i="35"/>
  <c r="D5" i="37"/>
  <c r="E253" i="35"/>
  <c r="E230" i="35"/>
  <c r="E162" i="35"/>
  <c r="E246" i="35"/>
  <c r="D147" i="35"/>
  <c r="D34" i="35"/>
  <c r="C14" i="37"/>
  <c r="D344" i="35"/>
  <c r="D211" i="35"/>
  <c r="D67" i="35"/>
  <c r="D201" i="35"/>
  <c r="D346" i="35"/>
  <c r="D272" i="35"/>
  <c r="D78" i="35"/>
  <c r="D10" i="35"/>
  <c r="D130" i="35"/>
  <c r="D88" i="35"/>
  <c r="D244" i="35"/>
  <c r="D260" i="35"/>
  <c r="C21" i="37"/>
  <c r="D172" i="35"/>
  <c r="D6" i="35"/>
  <c r="D347" i="35"/>
  <c r="D65" i="35"/>
  <c r="D193" i="35"/>
  <c r="D265" i="35"/>
  <c r="D108" i="35"/>
  <c r="D51" i="35"/>
  <c r="D290" i="35"/>
  <c r="D291" i="35"/>
  <c r="D276" i="35"/>
  <c r="D85" i="35"/>
  <c r="D5" i="1"/>
  <c r="D309" i="35"/>
  <c r="D167" i="35"/>
  <c r="C203" i="35"/>
  <c r="D44" i="35"/>
  <c r="D40" i="36"/>
  <c r="D136" i="2"/>
  <c r="D158" i="1"/>
  <c r="C371" i="35"/>
  <c r="C17" i="35"/>
  <c r="C30" i="35"/>
  <c r="C244" i="35"/>
  <c r="C297" i="35"/>
  <c r="C23" i="35"/>
  <c r="C85" i="35"/>
  <c r="C177" i="35"/>
  <c r="C153" i="35"/>
  <c r="C39" i="35"/>
  <c r="C308" i="35"/>
  <c r="J6" i="2"/>
  <c r="N6" i="10"/>
  <c r="J6" i="8"/>
  <c r="L6" i="1"/>
  <c r="C6" i="2"/>
  <c r="C6" i="36"/>
  <c r="I87" i="1"/>
  <c r="C92" i="14"/>
  <c r="C42" i="36"/>
  <c r="C138" i="2"/>
  <c r="I5" i="2"/>
  <c r="I5" i="36"/>
  <c r="I5" i="8"/>
  <c r="C5" i="2"/>
  <c r="C5" i="14"/>
  <c r="L40" i="1"/>
  <c r="I19" i="14"/>
  <c r="I77" i="2"/>
  <c r="I23" i="1"/>
  <c r="E259" i="34"/>
  <c r="I129" i="2"/>
  <c r="E6" i="34"/>
  <c r="C23" i="1" s="1"/>
  <c r="F134" i="34"/>
  <c r="D155" i="1" s="1"/>
  <c r="F102" i="34"/>
  <c r="D123" i="1" s="1"/>
  <c r="E98" i="34"/>
  <c r="C119" i="1" s="1"/>
  <c r="F82" i="34"/>
  <c r="D103" i="1" s="1"/>
  <c r="F50" i="34"/>
  <c r="D67" i="1" s="1"/>
  <c r="E47" i="34"/>
  <c r="C64" i="1" s="1"/>
  <c r="I52" i="1"/>
  <c r="K20" i="1"/>
  <c r="J46" i="8"/>
  <c r="I31" i="14"/>
  <c r="I25" i="8"/>
  <c r="I52" i="8"/>
  <c r="I33" i="2"/>
  <c r="I89" i="2"/>
  <c r="I27" i="1"/>
  <c r="I121" i="1"/>
  <c r="E311" i="34"/>
  <c r="C58" i="8" s="1"/>
  <c r="E270" i="34"/>
  <c r="C37" i="36" s="1"/>
  <c r="F266" i="34"/>
  <c r="E207" i="34"/>
  <c r="C90" i="2" s="1"/>
  <c r="I83" i="1"/>
  <c r="L34" i="1"/>
  <c r="I67" i="2"/>
  <c r="I90" i="2"/>
  <c r="L91" i="1"/>
  <c r="K89" i="2"/>
  <c r="I36" i="8"/>
  <c r="I25" i="36"/>
  <c r="I69" i="2"/>
  <c r="I122" i="2"/>
  <c r="I75" i="1"/>
  <c r="I152" i="1"/>
  <c r="E396" i="34"/>
  <c r="C21" i="10" s="1"/>
  <c r="I85" i="14"/>
  <c r="F379" i="34"/>
  <c r="D75" i="14" s="1"/>
  <c r="I65" i="14"/>
  <c r="I69" i="8"/>
  <c r="I107" i="2"/>
  <c r="F194" i="34"/>
  <c r="D77" i="2" s="1"/>
  <c r="F190" i="34"/>
  <c r="D73" i="2" s="1"/>
  <c r="E95" i="34"/>
  <c r="I109" i="1"/>
  <c r="E59" i="34"/>
  <c r="J64" i="8"/>
  <c r="J20" i="2"/>
  <c r="J126" i="2" s="1"/>
  <c r="L75" i="1"/>
  <c r="L59" i="1"/>
  <c r="L51" i="1"/>
  <c r="J30" i="8"/>
  <c r="J63" i="8"/>
  <c r="J31" i="8"/>
  <c r="L134" i="1"/>
  <c r="L125" i="1" s="1"/>
  <c r="L154" i="1" s="1"/>
  <c r="L156" i="1" s="1"/>
  <c r="J58" i="1"/>
  <c r="L58" i="1" s="1"/>
  <c r="K50" i="1"/>
  <c r="K81" i="1" s="1"/>
  <c r="K83" i="1" s="1"/>
  <c r="J20" i="1"/>
  <c r="L27" i="1"/>
  <c r="J89" i="2"/>
  <c r="J90" i="2"/>
  <c r="K60" i="8"/>
  <c r="K61" i="8"/>
  <c r="K45" i="8"/>
  <c r="K62" i="8"/>
  <c r="K64" i="8"/>
  <c r="K69" i="8"/>
  <c r="M134" i="1"/>
  <c r="M125" i="1" s="1"/>
  <c r="M91" i="1"/>
  <c r="K20" i="2"/>
  <c r="K126" i="2" s="1"/>
  <c r="D42" i="36"/>
  <c r="D73" i="8"/>
  <c r="D160" i="1"/>
  <c r="D138" i="2"/>
  <c r="D44" i="10"/>
  <c r="D92" i="14"/>
  <c r="I73" i="8"/>
  <c r="K160" i="1"/>
  <c r="M44" i="10"/>
  <c r="I138" i="2"/>
  <c r="E202" i="35"/>
  <c r="E125" i="35"/>
  <c r="E231" i="35"/>
  <c r="E134" i="35"/>
  <c r="E57" i="35"/>
  <c r="E141" i="35"/>
  <c r="E359" i="35"/>
  <c r="E69" i="35"/>
  <c r="E247" i="35"/>
  <c r="E66" i="35"/>
  <c r="E98" i="35"/>
  <c r="E249" i="35"/>
  <c r="E80" i="35"/>
  <c r="E166" i="35"/>
  <c r="E109" i="35"/>
  <c r="E192" i="35"/>
  <c r="D11" i="36"/>
  <c r="D24" i="37"/>
  <c r="E54" i="35"/>
  <c r="E289" i="35"/>
  <c r="E52" i="35"/>
  <c r="E45" i="35"/>
  <c r="D11" i="1"/>
  <c r="E16" i="35"/>
  <c r="E271" i="35"/>
  <c r="E91" i="35"/>
  <c r="E361" i="35"/>
  <c r="E371" i="35"/>
  <c r="E307" i="35"/>
  <c r="E112" i="35"/>
  <c r="D10" i="37"/>
  <c r="E105" i="35"/>
  <c r="E51" i="35"/>
  <c r="E280" i="35"/>
  <c r="E35" i="35"/>
  <c r="E188" i="35"/>
  <c r="E221" i="35"/>
  <c r="E348" i="35"/>
  <c r="E146" i="35"/>
  <c r="E87" i="35"/>
  <c r="E163" i="35"/>
  <c r="E28" i="35"/>
  <c r="E303" i="35"/>
  <c r="E22" i="35"/>
  <c r="E346" i="35"/>
  <c r="E287" i="35"/>
  <c r="E219" i="35"/>
  <c r="D4" i="37"/>
  <c r="E216" i="35"/>
  <c r="E258" i="35"/>
  <c r="E354" i="35"/>
  <c r="E241" i="35"/>
  <c r="E143" i="35"/>
  <c r="E145" i="35"/>
  <c r="E102" i="35"/>
  <c r="E139" i="35"/>
  <c r="E300" i="35"/>
  <c r="D11" i="14"/>
  <c r="E236" i="35"/>
  <c r="E331" i="35"/>
  <c r="E184" i="35"/>
  <c r="E191" i="35"/>
  <c r="D21" i="37"/>
  <c r="E4" i="35"/>
  <c r="E311" i="35"/>
  <c r="E158" i="35"/>
  <c r="E234" i="35"/>
  <c r="E129" i="35"/>
  <c r="E203" i="35"/>
  <c r="E72" i="35"/>
  <c r="E372" i="35"/>
  <c r="E254" i="35"/>
  <c r="E42" i="35"/>
  <c r="E270" i="35"/>
  <c r="E59" i="35"/>
  <c r="E275" i="35"/>
  <c r="E190" i="35"/>
  <c r="E330" i="35"/>
  <c r="E64" i="35"/>
  <c r="E48" i="35"/>
  <c r="E175" i="35"/>
  <c r="E319" i="35"/>
  <c r="E74" i="35"/>
  <c r="E156" i="35"/>
  <c r="E30" i="35"/>
  <c r="E227" i="35"/>
  <c r="E153" i="35"/>
  <c r="E81" i="35"/>
  <c r="E292" i="35"/>
  <c r="E252" i="35"/>
  <c r="E71" i="35"/>
  <c r="E366" i="35"/>
  <c r="E233" i="35"/>
  <c r="E229" i="35"/>
  <c r="E47" i="35"/>
  <c r="E288" i="35"/>
  <c r="E276" i="35"/>
  <c r="E90" i="35"/>
  <c r="E40" i="35"/>
  <c r="E21" i="35"/>
  <c r="E228" i="35"/>
  <c r="E306" i="35"/>
  <c r="E68" i="35"/>
  <c r="E204" i="35"/>
  <c r="E127" i="35"/>
  <c r="E197" i="35"/>
  <c r="E8" i="35"/>
  <c r="D14" i="37"/>
  <c r="E85" i="35"/>
  <c r="E378" i="35"/>
  <c r="E95" i="35"/>
  <c r="E168" i="35"/>
  <c r="E76" i="35"/>
  <c r="E284" i="35"/>
  <c r="E41" i="35"/>
  <c r="D11" i="37"/>
  <c r="E104" i="35"/>
  <c r="E360" i="35"/>
  <c r="E160" i="35"/>
  <c r="E130" i="35"/>
  <c r="E78" i="35"/>
  <c r="E132" i="35"/>
  <c r="E111" i="35"/>
  <c r="E341" i="35"/>
  <c r="E232" i="35"/>
  <c r="E114" i="35"/>
  <c r="E165" i="35"/>
  <c r="E349" i="35"/>
  <c r="E135" i="35"/>
  <c r="E272" i="35"/>
  <c r="E63" i="35"/>
  <c r="E83" i="35"/>
  <c r="E122" i="35"/>
  <c r="E50" i="35"/>
  <c r="E313" i="35"/>
  <c r="E5" i="35"/>
  <c r="E205" i="35"/>
  <c r="E148" i="35"/>
  <c r="E32" i="35"/>
  <c r="D3" i="37"/>
  <c r="E173" i="35"/>
  <c r="E213" i="35"/>
  <c r="E301" i="35"/>
  <c r="E147" i="35"/>
  <c r="E320" i="35"/>
  <c r="E235" i="35"/>
  <c r="E124" i="35"/>
  <c r="E186" i="35"/>
  <c r="E267" i="35"/>
  <c r="E245" i="35"/>
  <c r="E116" i="35"/>
  <c r="E133" i="35"/>
  <c r="E367" i="35"/>
  <c r="E244" i="35"/>
  <c r="E77" i="35"/>
  <c r="E183" i="35"/>
  <c r="E261" i="35"/>
  <c r="E278" i="35"/>
  <c r="E101" i="35"/>
  <c r="E355" i="35"/>
  <c r="E263" i="35"/>
  <c r="E220" i="35"/>
  <c r="D6" i="37"/>
  <c r="E185" i="35"/>
  <c r="E97" i="35"/>
  <c r="E172" i="35"/>
  <c r="E222" i="35"/>
  <c r="E49" i="35"/>
  <c r="E199" i="35"/>
  <c r="E167" i="35"/>
  <c r="E379" i="35"/>
  <c r="E353" i="35"/>
  <c r="E150" i="35"/>
  <c r="E347" i="35"/>
  <c r="E176" i="35"/>
  <c r="E256" i="35"/>
  <c r="E209" i="35"/>
  <c r="E316" i="35"/>
  <c r="E20" i="35"/>
  <c r="E262" i="35"/>
  <c r="E243" i="35"/>
  <c r="E60" i="35"/>
  <c r="E177" i="35"/>
  <c r="E217" i="35"/>
  <c r="E92" i="35"/>
  <c r="E335" i="35"/>
  <c r="E106" i="35"/>
  <c r="E302" i="35"/>
  <c r="D20" i="37"/>
  <c r="E195" i="35"/>
  <c r="E118" i="35"/>
  <c r="E375" i="35"/>
  <c r="E142" i="35"/>
  <c r="E193" i="35"/>
  <c r="E88" i="35"/>
  <c r="E294" i="35"/>
  <c r="E334" i="35"/>
  <c r="E155" i="35"/>
  <c r="E212" i="35"/>
  <c r="E53" i="35"/>
  <c r="E304" i="35"/>
  <c r="E84" i="35"/>
  <c r="E210" i="35"/>
  <c r="E339" i="35"/>
  <c r="E200" i="35"/>
  <c r="E308" i="35"/>
  <c r="E189" i="35"/>
  <c r="E223" i="35"/>
  <c r="E297" i="35"/>
  <c r="E342" i="35"/>
  <c r="E25" i="35"/>
  <c r="E126" i="35"/>
  <c r="E363" i="35"/>
  <c r="E70" i="35"/>
  <c r="E136" i="35"/>
  <c r="E181" i="35"/>
  <c r="E273" i="35"/>
  <c r="E269" i="35"/>
  <c r="D11" i="10"/>
  <c r="E44" i="35"/>
  <c r="E120" i="35"/>
  <c r="E279" i="35"/>
  <c r="E27" i="35"/>
  <c r="E260" i="35"/>
  <c r="E317" i="35"/>
  <c r="E283" i="35"/>
  <c r="E107" i="35"/>
  <c r="E6" i="35"/>
  <c r="E340" i="35"/>
  <c r="E323" i="35"/>
  <c r="E113" i="35"/>
  <c r="E187" i="35"/>
  <c r="E291" i="35"/>
  <c r="E305" i="35"/>
  <c r="E373" i="35"/>
  <c r="E265" i="35"/>
  <c r="E350" i="35"/>
  <c r="E82" i="35"/>
  <c r="E33" i="35"/>
  <c r="E356" i="35"/>
  <c r="E295" i="35"/>
  <c r="E248" i="35"/>
  <c r="E99" i="35"/>
  <c r="E180" i="35"/>
  <c r="E214" i="35"/>
  <c r="E89" i="35"/>
  <c r="E171" i="35"/>
  <c r="E327" i="35"/>
  <c r="E178" i="35"/>
  <c r="E119" i="35"/>
  <c r="E100" i="35"/>
  <c r="E377" i="35"/>
  <c r="E336" i="35"/>
  <c r="E182" i="35"/>
  <c r="D16" i="37"/>
  <c r="E315" i="35"/>
  <c r="E332" i="35"/>
  <c r="E2" i="35"/>
  <c r="E140" i="35"/>
  <c r="E103" i="35"/>
  <c r="E164" i="35"/>
  <c r="E362" i="35"/>
  <c r="E9" i="35"/>
  <c r="E226" i="35"/>
  <c r="E201" i="35"/>
  <c r="E237" i="35"/>
  <c r="E194" i="35"/>
  <c r="E224" i="35"/>
  <c r="E281" i="35"/>
  <c r="E314" i="35"/>
  <c r="E325" i="35"/>
  <c r="E117" i="35"/>
  <c r="D22" i="37"/>
  <c r="E290" i="35"/>
  <c r="E326" i="35"/>
  <c r="E310" i="35"/>
  <c r="E29" i="35"/>
  <c r="E174" i="35"/>
  <c r="E121" i="35"/>
  <c r="E37" i="35"/>
  <c r="D15" i="37"/>
  <c r="D11" i="8"/>
  <c r="E38" i="35"/>
  <c r="E257" i="35"/>
  <c r="C56" i="11"/>
  <c r="Z5" i="32"/>
  <c r="AB10" i="32"/>
  <c r="D155" i="35"/>
  <c r="D373" i="35"/>
  <c r="D364" i="35"/>
  <c r="D305" i="35"/>
  <c r="C20" i="37"/>
  <c r="C5" i="37"/>
  <c r="D187" i="35"/>
  <c r="D306" i="35"/>
  <c r="D213" i="35"/>
  <c r="D173" i="35"/>
  <c r="D322" i="35"/>
  <c r="D131" i="35"/>
  <c r="D377" i="35"/>
  <c r="D186" i="35"/>
  <c r="D100" i="35"/>
  <c r="D353" i="35"/>
  <c r="D87" i="35"/>
  <c r="D124" i="35"/>
  <c r="D319" i="35"/>
  <c r="D84" i="35"/>
  <c r="D175" i="35"/>
  <c r="D163" i="35"/>
  <c r="D209" i="35"/>
  <c r="D33" i="35"/>
  <c r="D48" i="35"/>
  <c r="D292" i="35"/>
  <c r="D376" i="35"/>
  <c r="D149" i="35"/>
  <c r="D28" i="35"/>
  <c r="D22" i="35"/>
  <c r="D315" i="35"/>
  <c r="D293" i="35"/>
  <c r="D169" i="35"/>
  <c r="D248" i="35"/>
  <c r="D300" i="35"/>
  <c r="C13" i="37"/>
  <c r="D218" i="35"/>
  <c r="D83" i="35"/>
  <c r="D142" i="35"/>
  <c r="D251" i="35"/>
  <c r="D145" i="35"/>
  <c r="D372" i="35"/>
  <c r="D2" i="35"/>
  <c r="D188" i="35"/>
  <c r="D278" i="35"/>
  <c r="D35" i="35"/>
  <c r="D4" i="35"/>
  <c r="D284" i="35"/>
  <c r="D273" i="35"/>
  <c r="D214" i="35"/>
  <c r="D337" i="35"/>
  <c r="D62" i="35"/>
  <c r="D5" i="14"/>
  <c r="D203" i="35"/>
  <c r="D164" i="35"/>
  <c r="D288" i="35"/>
  <c r="D5" i="8"/>
  <c r="D270" i="35"/>
  <c r="D102" i="35"/>
  <c r="D14" i="35"/>
  <c r="D348" i="35"/>
  <c r="D242" i="35"/>
  <c r="D247" i="35"/>
  <c r="D41" i="35"/>
  <c r="D307" i="35"/>
  <c r="D60" i="35"/>
  <c r="D5" i="35"/>
  <c r="D310" i="35"/>
  <c r="D234" i="35"/>
  <c r="D206" i="35"/>
  <c r="D105" i="35"/>
  <c r="D90" i="35"/>
  <c r="D199" i="35"/>
  <c r="D351" i="35"/>
  <c r="D47" i="35"/>
  <c r="D115" i="35"/>
  <c r="D49" i="35"/>
  <c r="D217" i="35"/>
  <c r="D335" i="35"/>
  <c r="D341" i="35"/>
  <c r="D255" i="35"/>
  <c r="D59" i="35"/>
  <c r="D258" i="35"/>
  <c r="D8" i="35"/>
  <c r="D178" i="35"/>
  <c r="D29" i="35"/>
  <c r="D98" i="35"/>
  <c r="D250" i="35"/>
  <c r="D264" i="35"/>
  <c r="D197" i="35"/>
  <c r="D126" i="35"/>
  <c r="D237" i="35"/>
  <c r="D82" i="35"/>
  <c r="D379" i="35"/>
  <c r="D81" i="35"/>
  <c r="C16" i="37"/>
  <c r="D330" i="35"/>
  <c r="D328" i="35"/>
  <c r="C23" i="37"/>
  <c r="D222" i="35"/>
  <c r="D52" i="35"/>
  <c r="D339" i="35"/>
  <c r="D195" i="35"/>
  <c r="D210" i="35"/>
  <c r="D40" i="35"/>
  <c r="C7" i="37"/>
  <c r="D205" i="35"/>
  <c r="D183" i="35"/>
  <c r="D216" i="35"/>
  <c r="D202" i="35"/>
  <c r="D370" i="35"/>
  <c r="D277" i="35"/>
  <c r="D345" i="35"/>
  <c r="D362" i="35"/>
  <c r="D144" i="35"/>
  <c r="D159" i="35"/>
  <c r="D153" i="35"/>
  <c r="D27" i="35"/>
  <c r="D329" i="35"/>
  <c r="D249" i="35"/>
  <c r="D77" i="35"/>
  <c r="C6" i="37"/>
  <c r="D39" i="35"/>
  <c r="D271" i="35"/>
  <c r="D359" i="35"/>
  <c r="D7" i="35"/>
  <c r="C11" i="37"/>
  <c r="D365" i="35"/>
  <c r="D350" i="35"/>
  <c r="D117" i="35"/>
  <c r="D69" i="35"/>
  <c r="D289" i="35"/>
  <c r="D182" i="35"/>
  <c r="D283" i="35"/>
  <c r="D280" i="35"/>
  <c r="D285" i="35"/>
  <c r="D92" i="35"/>
  <c r="D253" i="35"/>
  <c r="D17" i="35"/>
  <c r="D223" i="35"/>
  <c r="D101" i="35"/>
  <c r="D185" i="35"/>
  <c r="D61" i="35"/>
  <c r="D166" i="35"/>
  <c r="D296" i="35"/>
  <c r="D219" i="35"/>
  <c r="D150" i="35"/>
  <c r="D79" i="35"/>
  <c r="D327" i="35"/>
  <c r="D42" i="35"/>
  <c r="D338" i="35"/>
  <c r="C2" i="37"/>
  <c r="D121" i="35"/>
  <c r="D371" i="35"/>
  <c r="C22" i="37"/>
  <c r="D224" i="35"/>
  <c r="D208" i="35"/>
  <c r="D342" i="35"/>
  <c r="D55" i="35"/>
  <c r="D170" i="35"/>
  <c r="D274" i="35"/>
  <c r="D282" i="35"/>
  <c r="D120" i="35"/>
  <c r="D127" i="35"/>
  <c r="D13" i="35"/>
  <c r="D323" i="35"/>
  <c r="D245" i="35"/>
  <c r="D116" i="35"/>
  <c r="D275" i="35"/>
  <c r="D313" i="35"/>
  <c r="D261" i="35"/>
  <c r="D171" i="35"/>
  <c r="D135" i="35"/>
  <c r="D215" i="35"/>
  <c r="D103" i="35"/>
  <c r="D243" i="35"/>
  <c r="D57" i="35"/>
  <c r="D299" i="35"/>
  <c r="D21" i="35"/>
  <c r="C24" i="37"/>
  <c r="D336" i="35"/>
  <c r="D32" i="35"/>
  <c r="D93" i="35"/>
  <c r="D16" i="35"/>
  <c r="C17" i="37"/>
  <c r="C4" i="37"/>
  <c r="D233" i="35"/>
  <c r="D89" i="35"/>
  <c r="D357" i="35"/>
  <c r="D156" i="35"/>
  <c r="D12" i="35"/>
  <c r="D228" i="35"/>
  <c r="D26" i="35"/>
  <c r="D227" i="35"/>
  <c r="D20" i="35"/>
  <c r="C10" i="37"/>
  <c r="D180" i="35"/>
  <c r="D220" i="35"/>
  <c r="D298" i="35"/>
  <c r="D9" i="35"/>
  <c r="D154" i="35"/>
  <c r="D168" i="35"/>
  <c r="D70" i="35"/>
  <c r="C15" i="37"/>
  <c r="D198" i="35"/>
  <c r="D331" i="35"/>
  <c r="D5" i="36"/>
  <c r="D106" i="35"/>
  <c r="D74" i="35"/>
  <c r="D80" i="35"/>
  <c r="D257" i="35"/>
  <c r="D367" i="35"/>
  <c r="D137" i="35"/>
  <c r="D181" i="35"/>
  <c r="D148" i="35"/>
  <c r="D129" i="35"/>
  <c r="D230" i="35"/>
  <c r="D23" i="35"/>
  <c r="D158" i="35"/>
  <c r="D325" i="35"/>
  <c r="D72" i="35"/>
  <c r="D95" i="35"/>
  <c r="D37" i="35"/>
  <c r="D326" i="35"/>
  <c r="D128" i="35"/>
  <c r="D308" i="35"/>
  <c r="D263" i="35"/>
  <c r="C3" i="37"/>
  <c r="D256" i="35"/>
  <c r="D38" i="35"/>
  <c r="D366" i="35"/>
  <c r="C12" i="37"/>
  <c r="D240" i="35"/>
  <c r="D104" i="35"/>
  <c r="D352" i="35"/>
  <c r="D114" i="35"/>
  <c r="D24" i="35"/>
  <c r="D5" i="10"/>
  <c r="D45" i="35"/>
  <c r="D94" i="35"/>
  <c r="D239" i="35"/>
  <c r="D316" i="35"/>
  <c r="D238" i="35"/>
  <c r="D138" i="35"/>
  <c r="D212" i="35"/>
  <c r="D361" i="35"/>
  <c r="D146" i="35"/>
  <c r="D303" i="35"/>
  <c r="D31" i="35"/>
  <c r="D374" i="35"/>
  <c r="D133" i="35"/>
  <c r="D200" i="35"/>
  <c r="D269" i="35"/>
  <c r="D286" i="35"/>
  <c r="D71" i="35"/>
  <c r="D99" i="35"/>
  <c r="D318" i="35"/>
  <c r="D165" i="35"/>
  <c r="I32" i="10"/>
  <c r="I40" i="10" s="1"/>
  <c r="M29" i="10"/>
  <c r="O29" i="10" s="1"/>
  <c r="C360" i="35"/>
  <c r="C358" i="35"/>
  <c r="C326" i="35"/>
  <c r="C154" i="35"/>
  <c r="I14" i="37"/>
  <c r="C270" i="35"/>
  <c r="C202" i="35"/>
  <c r="C293" i="35"/>
  <c r="C15" i="35"/>
  <c r="C82" i="35"/>
  <c r="C238" i="35"/>
  <c r="C155" i="35"/>
  <c r="C281" i="35"/>
  <c r="C215" i="35"/>
  <c r="C206" i="35"/>
  <c r="C352" i="35"/>
  <c r="C323" i="35"/>
  <c r="C131" i="35"/>
  <c r="C9" i="35"/>
  <c r="C210" i="35"/>
  <c r="C14" i="35"/>
  <c r="C77" i="35"/>
  <c r="C229" i="35"/>
  <c r="C134" i="35"/>
  <c r="C150" i="35"/>
  <c r="C116" i="35"/>
  <c r="I12" i="37"/>
  <c r="C349" i="35"/>
  <c r="C245" i="35"/>
  <c r="I5" i="37"/>
  <c r="C279" i="35"/>
  <c r="C60" i="35"/>
  <c r="C284" i="35"/>
  <c r="C166" i="35"/>
  <c r="C81" i="35"/>
  <c r="I13" i="37"/>
  <c r="C130" i="35"/>
  <c r="C200" i="35"/>
  <c r="C18" i="35"/>
  <c r="C346" i="35"/>
  <c r="C129" i="35"/>
  <c r="C97" i="35"/>
  <c r="C231" i="35"/>
  <c r="C262" i="35"/>
  <c r="C136" i="35"/>
  <c r="C123" i="35"/>
  <c r="C305" i="35"/>
  <c r="C26" i="35"/>
  <c r="C98" i="35"/>
  <c r="C242" i="35"/>
  <c r="C47" i="35"/>
  <c r="C316" i="35"/>
  <c r="C64" i="35"/>
  <c r="C355" i="35"/>
  <c r="C314" i="35"/>
  <c r="C32" i="35"/>
  <c r="C93" i="35"/>
  <c r="C88" i="35"/>
  <c r="C197" i="35"/>
  <c r="C172" i="35"/>
  <c r="C178" i="35"/>
  <c r="C117" i="35"/>
  <c r="C99" i="35"/>
  <c r="C103" i="35"/>
  <c r="C240" i="35"/>
  <c r="I16" i="37"/>
  <c r="C302" i="35"/>
  <c r="C120" i="35"/>
  <c r="C351" i="35"/>
  <c r="C304" i="35"/>
  <c r="C315" i="35"/>
  <c r="C354" i="35"/>
  <c r="C79" i="35"/>
  <c r="C300" i="35"/>
  <c r="C106" i="35"/>
  <c r="C87" i="35"/>
  <c r="C179" i="35"/>
  <c r="C132" i="35"/>
  <c r="C264" i="35"/>
  <c r="C69" i="35"/>
  <c r="C174" i="35"/>
  <c r="C333" i="35"/>
  <c r="C127" i="35"/>
  <c r="C48" i="35"/>
  <c r="C24" i="35"/>
  <c r="C295" i="35"/>
  <c r="C91" i="35"/>
  <c r="C22" i="35"/>
  <c r="C341" i="35"/>
  <c r="C115" i="35"/>
  <c r="C149" i="35"/>
  <c r="C311" i="35"/>
  <c r="C173" i="35"/>
  <c r="C207" i="35"/>
  <c r="C61" i="35"/>
  <c r="C28" i="35"/>
  <c r="C170" i="35"/>
  <c r="C327" i="35"/>
  <c r="I21" i="37"/>
  <c r="C366" i="35"/>
  <c r="C363" i="35"/>
  <c r="I24" i="37"/>
  <c r="C372" i="35"/>
  <c r="C373" i="35"/>
  <c r="C189" i="35"/>
  <c r="C246" i="35"/>
  <c r="C194" i="35"/>
  <c r="C66" i="35"/>
  <c r="C146" i="35"/>
  <c r="C5" i="35"/>
  <c r="C221" i="35"/>
  <c r="C90" i="35"/>
  <c r="C356" i="35"/>
  <c r="C209" i="35"/>
  <c r="C58" i="35"/>
  <c r="C139" i="35"/>
  <c r="C290" i="35"/>
  <c r="C237" i="35"/>
  <c r="C239" i="35"/>
  <c r="C344" i="35"/>
  <c r="C188" i="35"/>
  <c r="C13" i="35"/>
  <c r="C168" i="35"/>
  <c r="C228" i="35"/>
  <c r="C347" i="35"/>
  <c r="C182" i="35"/>
  <c r="C213" i="35"/>
  <c r="C328" i="35"/>
  <c r="C16" i="35"/>
  <c r="C181" i="35"/>
  <c r="C248" i="35"/>
  <c r="C258" i="35"/>
  <c r="C343" i="35"/>
  <c r="C285" i="35"/>
  <c r="C276" i="35"/>
  <c r="C55" i="35"/>
  <c r="C102" i="35"/>
  <c r="C27" i="35"/>
  <c r="C319" i="35"/>
  <c r="C142" i="35"/>
  <c r="C125" i="35"/>
  <c r="C50" i="35"/>
  <c r="C183" i="35"/>
  <c r="C111" i="35"/>
  <c r="C324" i="35"/>
  <c r="C250" i="35"/>
  <c r="C187" i="35"/>
  <c r="C199" i="35"/>
  <c r="C63" i="35"/>
  <c r="C4" i="35"/>
  <c r="C104" i="35"/>
  <c r="C70" i="35"/>
  <c r="C263" i="35"/>
  <c r="C161" i="35"/>
  <c r="C124" i="35"/>
  <c r="C57" i="35"/>
  <c r="C378" i="35"/>
  <c r="C370" i="35"/>
  <c r="C367" i="35"/>
  <c r="C377" i="35"/>
  <c r="C376" i="35"/>
  <c r="C340" i="35"/>
  <c r="C222" i="35"/>
  <c r="C171" i="35"/>
  <c r="C310" i="35"/>
  <c r="C75" i="35"/>
  <c r="C225" i="35"/>
  <c r="C25" i="35"/>
  <c r="C257" i="35"/>
  <c r="C34" i="35"/>
  <c r="C80" i="35"/>
  <c r="C56" i="35"/>
  <c r="C83" i="35"/>
  <c r="C186" i="35"/>
  <c r="C110" i="35"/>
  <c r="C261" i="35"/>
  <c r="C268" i="35"/>
  <c r="C320" i="35"/>
  <c r="C267" i="35"/>
  <c r="C49" i="35"/>
  <c r="C307" i="35"/>
  <c r="C353" i="35"/>
  <c r="C256" i="35"/>
  <c r="C303" i="35"/>
  <c r="C196" i="35"/>
  <c r="C114" i="35"/>
  <c r="C86" i="35"/>
  <c r="C113" i="35"/>
  <c r="C152" i="35"/>
  <c r="I23" i="37"/>
  <c r="C368" i="35"/>
  <c r="C212" i="35"/>
  <c r="C219" i="35"/>
  <c r="C269" i="35"/>
  <c r="C169" i="35"/>
  <c r="M40" i="10"/>
  <c r="O40" i="10" s="1"/>
  <c r="J35" i="2"/>
  <c r="G33" i="10"/>
  <c r="K90" i="2"/>
  <c r="K65" i="8"/>
  <c r="J65" i="8"/>
  <c r="J62" i="8"/>
  <c r="I30" i="14"/>
  <c r="I47" i="14"/>
  <c r="I86" i="14"/>
  <c r="I24" i="8"/>
  <c r="I29" i="8"/>
  <c r="I34" i="8"/>
  <c r="I42" i="8"/>
  <c r="I48" i="8"/>
  <c r="I57" i="8"/>
  <c r="I21" i="36"/>
  <c r="I35" i="36"/>
  <c r="I26" i="2"/>
  <c r="I43" i="2"/>
  <c r="I65" i="2"/>
  <c r="I75" i="2"/>
  <c r="I86" i="2"/>
  <c r="I97" i="2"/>
  <c r="I118" i="2"/>
  <c r="I22" i="1"/>
  <c r="I40" i="1"/>
  <c r="I72" i="1"/>
  <c r="I93" i="1"/>
  <c r="I120" i="1"/>
  <c r="I141" i="1"/>
  <c r="I81" i="14"/>
  <c r="I60" i="14"/>
  <c r="I51" i="14"/>
  <c r="F331" i="34"/>
  <c r="D27" i="14" s="1"/>
  <c r="F315" i="34"/>
  <c r="D62" i="8" s="1"/>
  <c r="C26" i="36"/>
  <c r="E292" i="34"/>
  <c r="C39" i="8" s="1"/>
  <c r="F230" i="34"/>
  <c r="D113" i="2" s="1"/>
  <c r="E226" i="34"/>
  <c r="C109" i="2" s="1"/>
  <c r="E222" i="34"/>
  <c r="F218" i="34"/>
  <c r="D101" i="2" s="1"/>
  <c r="F210" i="34"/>
  <c r="D93" i="2" s="1"/>
  <c r="E203" i="34"/>
  <c r="C86" i="2" s="1"/>
  <c r="E199" i="34"/>
  <c r="C78" i="2"/>
  <c r="F191" i="34"/>
  <c r="D74" i="2" s="1"/>
  <c r="F186" i="34"/>
  <c r="D69" i="2" s="1"/>
  <c r="F138" i="34"/>
  <c r="D21" i="2" s="1"/>
  <c r="E119" i="34"/>
  <c r="C140" i="1" s="1"/>
  <c r="E111" i="34"/>
  <c r="E99" i="34"/>
  <c r="F74" i="34"/>
  <c r="D95" i="1" s="1"/>
  <c r="E66" i="34"/>
  <c r="C83" i="1" s="1"/>
  <c r="E55" i="34"/>
  <c r="C72" i="1" s="1"/>
  <c r="F91" i="34"/>
  <c r="D112" i="1" s="1"/>
  <c r="O14" i="10"/>
  <c r="D87" i="1"/>
  <c r="D16" i="2"/>
  <c r="I23" i="14"/>
  <c r="E283" i="34"/>
  <c r="C30" i="8" s="1"/>
  <c r="F278" i="34"/>
  <c r="I34" i="36"/>
  <c r="I29" i="36"/>
  <c r="E171" i="34"/>
  <c r="C54" i="2" s="1"/>
  <c r="I156" i="1"/>
  <c r="F110" i="34"/>
  <c r="D131" i="1" s="1"/>
  <c r="E87" i="34"/>
  <c r="C108" i="1" s="1"/>
  <c r="I108" i="1"/>
  <c r="I80" i="1"/>
  <c r="F54" i="34"/>
  <c r="D71" i="1" s="1"/>
  <c r="E35" i="34"/>
  <c r="C52" i="1" s="1"/>
  <c r="G25" i="10"/>
  <c r="K35" i="2"/>
  <c r="K63" i="8"/>
  <c r="J45" i="8"/>
  <c r="I22" i="14"/>
  <c r="I34" i="14"/>
  <c r="I26" i="8"/>
  <c r="I32" i="8"/>
  <c r="I37" i="8"/>
  <c r="I45" i="8"/>
  <c r="I53" i="8"/>
  <c r="I62" i="8"/>
  <c r="I31" i="36"/>
  <c r="I38" i="36"/>
  <c r="I37" i="2"/>
  <c r="I54" i="2"/>
  <c r="I71" i="2"/>
  <c r="I78" i="2"/>
  <c r="G23" i="10"/>
  <c r="I26" i="14"/>
  <c r="E303" i="34"/>
  <c r="C50" i="8" s="1"/>
  <c r="E274" i="34"/>
  <c r="C21" i="8" s="1"/>
  <c r="E267" i="34"/>
  <c r="C34" i="36" s="1"/>
  <c r="I30" i="36"/>
  <c r="I131" i="2"/>
  <c r="F250" i="34"/>
  <c r="D133" i="2" s="1"/>
  <c r="F247" i="34"/>
  <c r="D130" i="2" s="1"/>
  <c r="F243" i="34"/>
  <c r="D126" i="2" s="1"/>
  <c r="E235" i="34"/>
  <c r="E231" i="34"/>
  <c r="C114" i="2" s="1"/>
  <c r="E228" i="34"/>
  <c r="C111" i="2" s="1"/>
  <c r="I87" i="2"/>
  <c r="F195" i="34"/>
  <c r="D78" i="2" s="1"/>
  <c r="F187" i="34"/>
  <c r="D70" i="2" s="1"/>
  <c r="E182" i="34"/>
  <c r="E178" i="34"/>
  <c r="C61" i="2" s="1"/>
  <c r="F170" i="34"/>
  <c r="E163" i="34"/>
  <c r="E151" i="34"/>
  <c r="C34" i="2" s="1"/>
  <c r="E147" i="34"/>
  <c r="E143" i="34"/>
  <c r="C26" i="2" s="1"/>
  <c r="F90" i="34"/>
  <c r="D111" i="1" s="1"/>
  <c r="F87" i="34"/>
  <c r="D108" i="1" s="1"/>
  <c r="I84" i="1"/>
  <c r="F38" i="34"/>
  <c r="D55" i="1" s="1"/>
  <c r="M21" i="10"/>
  <c r="O21" i="10" s="1"/>
  <c r="D16" i="8"/>
  <c r="G38" i="10"/>
  <c r="G22" i="10"/>
  <c r="I27" i="14"/>
  <c r="I38" i="14"/>
  <c r="I74" i="14"/>
  <c r="I21" i="8"/>
  <c r="I28" i="8"/>
  <c r="I33" i="8"/>
  <c r="I38" i="8"/>
  <c r="I46" i="8"/>
  <c r="I54" i="8"/>
  <c r="I68" i="8"/>
  <c r="I33" i="36"/>
  <c r="I22" i="2"/>
  <c r="I39" i="2"/>
  <c r="I58" i="2"/>
  <c r="I74" i="2"/>
  <c r="I79" i="2"/>
  <c r="I91" i="2"/>
  <c r="I111" i="2"/>
  <c r="I133" i="2"/>
  <c r="I28" i="1"/>
  <c r="I63" i="1"/>
  <c r="I92" i="1"/>
  <c r="I112" i="1"/>
  <c r="I136" i="1"/>
  <c r="I70" i="14"/>
  <c r="F363" i="34"/>
  <c r="D59" i="14" s="1"/>
  <c r="E312" i="34"/>
  <c r="I56" i="8"/>
  <c r="F282" i="34"/>
  <c r="D29" i="8" s="1"/>
  <c r="E279" i="34"/>
  <c r="C26" i="8" s="1"/>
  <c r="E263" i="34"/>
  <c r="C30" i="36" s="1"/>
  <c r="F246" i="34"/>
  <c r="E238" i="34"/>
  <c r="I110" i="2"/>
  <c r="E227" i="34"/>
  <c r="E211" i="34"/>
  <c r="F206" i="34"/>
  <c r="E191" i="34"/>
  <c r="C74" i="2" s="1"/>
  <c r="I57" i="2"/>
  <c r="F166" i="34"/>
  <c r="D49" i="2" s="1"/>
  <c r="F162" i="34"/>
  <c r="D45" i="2" s="1"/>
  <c r="F158" i="34"/>
  <c r="D41" i="2" s="1"/>
  <c r="F150" i="34"/>
  <c r="D33" i="2" s="1"/>
  <c r="E146" i="34"/>
  <c r="C29" i="2" s="1"/>
  <c r="F143" i="34"/>
  <c r="D26" i="2" s="1"/>
  <c r="E139" i="34"/>
  <c r="C22" i="2" s="1"/>
  <c r="I113" i="1"/>
  <c r="E63" i="34"/>
  <c r="C80" i="1" s="1"/>
  <c r="I68" i="1"/>
  <c r="F13" i="34"/>
  <c r="D30" i="1" s="1"/>
  <c r="E19" i="34"/>
  <c r="C36" i="1" s="1"/>
  <c r="M58" i="1"/>
  <c r="M50" i="1" s="1"/>
  <c r="M20" i="1"/>
  <c r="Y5" i="32"/>
  <c r="AB45" i="32"/>
  <c r="I40" i="36" s="1"/>
  <c r="C14" i="36"/>
  <c r="C14" i="2"/>
  <c r="G407" i="34"/>
  <c r="F407" i="34" s="1"/>
  <c r="D32" i="10" s="1"/>
  <c r="G404" i="34"/>
  <c r="F404" i="34" s="1"/>
  <c r="D29" i="10" s="1"/>
  <c r="H407" i="34"/>
  <c r="D52" i="31"/>
  <c r="C54" i="31"/>
  <c r="F54" i="31" s="1"/>
  <c r="C14" i="8" s="1"/>
  <c r="H415" i="34"/>
  <c r="D54" i="31"/>
  <c r="C52" i="31"/>
  <c r="F52" i="31" s="1"/>
  <c r="C14" i="1" s="1"/>
  <c r="D57" i="31"/>
  <c r="D53" i="31"/>
  <c r="D55" i="31"/>
  <c r="E55" i="31"/>
  <c r="C57" i="31"/>
  <c r="F57" i="31" s="1"/>
  <c r="C13" i="10" s="1"/>
  <c r="C55" i="31"/>
  <c r="F55" i="31" s="1"/>
  <c r="E53" i="31"/>
  <c r="E52" i="31"/>
  <c r="E54" i="31"/>
  <c r="C56" i="31"/>
  <c r="F56" i="31" s="1"/>
  <c r="C14" i="14" s="1"/>
  <c r="G415" i="34"/>
  <c r="F415" i="34" s="1"/>
  <c r="D40" i="10" s="1"/>
  <c r="E56" i="31"/>
  <c r="Y3" i="33"/>
  <c r="I415" i="34" s="1"/>
  <c r="C226" i="35"/>
  <c r="C147" i="35"/>
  <c r="C294" i="35"/>
  <c r="I17" i="37"/>
  <c r="C151" i="35"/>
  <c r="I6" i="37"/>
  <c r="C53" i="35"/>
  <c r="C42" i="35"/>
  <c r="C243" i="35"/>
  <c r="C292" i="35"/>
  <c r="C273" i="35"/>
  <c r="C100" i="35"/>
  <c r="C337" i="35"/>
  <c r="C331" i="35"/>
  <c r="C345" i="35"/>
  <c r="C162" i="35"/>
  <c r="C76" i="35"/>
  <c r="C289" i="35"/>
  <c r="I8" i="37"/>
  <c r="J1" i="33"/>
  <c r="C41" i="35"/>
  <c r="C3" i="35"/>
  <c r="C309" i="35"/>
  <c r="I7" i="37"/>
  <c r="C291" i="35"/>
  <c r="C156" i="35"/>
  <c r="C35" i="35"/>
  <c r="C112" i="35"/>
  <c r="I15" i="37"/>
  <c r="C318" i="35"/>
  <c r="C350" i="35"/>
  <c r="C359" i="35"/>
  <c r="G343" i="35"/>
  <c r="G321" i="35"/>
  <c r="G336" i="35"/>
  <c r="G326" i="35"/>
  <c r="G315" i="35"/>
  <c r="G275" i="35"/>
  <c r="G230" i="35"/>
  <c r="G185" i="35"/>
  <c r="G143" i="35"/>
  <c r="G100" i="35"/>
  <c r="G57" i="35"/>
  <c r="G13" i="35"/>
  <c r="G296" i="35"/>
  <c r="G256" i="35"/>
  <c r="G211" i="35"/>
  <c r="G174" i="35"/>
  <c r="G132" i="35"/>
  <c r="G87" i="35"/>
  <c r="G44" i="35"/>
  <c r="H19" i="37"/>
  <c r="G269" i="35"/>
  <c r="G220" i="35"/>
  <c r="G173" i="35"/>
  <c r="G122" i="35"/>
  <c r="G82" i="35"/>
  <c r="G35" i="35"/>
  <c r="H10" i="37"/>
  <c r="G279" i="35"/>
  <c r="G231" i="35"/>
  <c r="G186" i="35"/>
  <c r="G136" i="35"/>
  <c r="G93" i="35"/>
  <c r="G50" i="35"/>
  <c r="G10" i="35"/>
  <c r="G314" i="35"/>
  <c r="G317" i="35"/>
  <c r="G332" i="35"/>
  <c r="G352" i="35"/>
  <c r="G311" i="35"/>
  <c r="G271" i="35"/>
  <c r="G225" i="35"/>
  <c r="G181" i="35"/>
  <c r="G139" i="35"/>
  <c r="G92" i="35"/>
  <c r="G53" i="35"/>
  <c r="G9" i="35"/>
  <c r="G288" i="35"/>
  <c r="G253" i="35"/>
  <c r="G207" i="35"/>
  <c r="G165" i="35"/>
  <c r="G127" i="35"/>
  <c r="G83" i="35"/>
  <c r="G36" i="35"/>
  <c r="H15" i="37"/>
  <c r="G265" i="35"/>
  <c r="G210" i="35"/>
  <c r="G168" i="35"/>
  <c r="G118" i="35"/>
  <c r="G74" i="35"/>
  <c r="G31" i="35"/>
  <c r="H6" i="37"/>
  <c r="G273" i="35"/>
  <c r="G228" i="35"/>
  <c r="G182" i="35"/>
  <c r="G130" i="35"/>
  <c r="G89" i="35"/>
  <c r="G46" i="35"/>
  <c r="G2" i="35"/>
  <c r="C96" i="35"/>
  <c r="C38" i="35"/>
  <c r="C241" i="35"/>
  <c r="C37" i="35"/>
  <c r="C107" i="35"/>
  <c r="C348" i="35"/>
  <c r="C313" i="35"/>
  <c r="C31" i="35"/>
  <c r="C73" i="35"/>
  <c r="C105" i="35"/>
  <c r="C165" i="35"/>
  <c r="C208" i="35"/>
  <c r="C325" i="35"/>
  <c r="C266" i="35"/>
  <c r="C233" i="35"/>
  <c r="C185" i="35"/>
  <c r="C236" i="35"/>
  <c r="C126" i="35"/>
  <c r="C138" i="35"/>
  <c r="C278" i="35"/>
  <c r="C301" i="35"/>
  <c r="C143" i="35"/>
  <c r="C148" i="35"/>
  <c r="C137" i="35"/>
  <c r="C19" i="35"/>
  <c r="C119" i="35"/>
  <c r="C36" i="35"/>
  <c r="C158" i="35"/>
  <c r="C322" i="35"/>
  <c r="C71" i="35"/>
  <c r="C362" i="35"/>
  <c r="G353" i="35"/>
  <c r="G309" i="35"/>
  <c r="G328" i="35"/>
  <c r="G348" i="35"/>
  <c r="G305" i="35"/>
  <c r="G267" i="35"/>
  <c r="G217" i="35"/>
  <c r="G175" i="35"/>
  <c r="G135" i="35"/>
  <c r="G88" i="35"/>
  <c r="G45" i="35"/>
  <c r="G5" i="35"/>
  <c r="G285" i="35"/>
  <c r="G244" i="35"/>
  <c r="G203" i="35"/>
  <c r="G162" i="35"/>
  <c r="G119" i="35"/>
  <c r="G79" i="35"/>
  <c r="G32" i="35"/>
  <c r="H7" i="37"/>
  <c r="G262" i="35"/>
  <c r="G206" i="35"/>
  <c r="G158" i="35"/>
  <c r="G114" i="35"/>
  <c r="G70" i="35"/>
  <c r="G23" i="35"/>
  <c r="H2" i="37"/>
  <c r="G268" i="35"/>
  <c r="G223" i="35"/>
  <c r="G172" i="35"/>
  <c r="G125" i="35"/>
  <c r="G81" i="35"/>
  <c r="G42" i="35"/>
  <c r="H17" i="37"/>
  <c r="C259" i="35"/>
  <c r="C253" i="35"/>
  <c r="C193" i="35"/>
  <c r="C8" i="35"/>
  <c r="C180" i="35"/>
  <c r="C21" i="35"/>
  <c r="C234" i="35"/>
  <c r="C205" i="35"/>
  <c r="C211" i="35"/>
  <c r="I11" i="37"/>
  <c r="C95" i="35"/>
  <c r="C251" i="35"/>
  <c r="C329" i="35"/>
  <c r="C11" i="35"/>
  <c r="C92" i="35"/>
  <c r="C190" i="35"/>
  <c r="C62" i="35"/>
  <c r="C232" i="35"/>
  <c r="C321" i="35"/>
  <c r="C342" i="35"/>
  <c r="C6" i="35"/>
  <c r="C101" i="35"/>
  <c r="I10" i="37"/>
  <c r="C280" i="35"/>
  <c r="C336" i="35"/>
  <c r="C255" i="35"/>
  <c r="C167" i="35"/>
  <c r="C247" i="35"/>
  <c r="C335" i="35"/>
  <c r="C217" i="35"/>
  <c r="C334" i="35"/>
  <c r="I4" i="37"/>
  <c r="C271" i="35"/>
  <c r="C361" i="35"/>
  <c r="G342" i="35"/>
  <c r="G338" i="35"/>
  <c r="G316" i="35"/>
  <c r="G335" i="35"/>
  <c r="G297" i="35"/>
  <c r="G251" i="35"/>
  <c r="G204" i="35"/>
  <c r="G166" i="35"/>
  <c r="G120" i="35"/>
  <c r="G76" i="35"/>
  <c r="G37" i="35"/>
  <c r="H12" i="37"/>
  <c r="G274" i="35"/>
  <c r="G236" i="35"/>
  <c r="G192" i="35"/>
  <c r="G150" i="35"/>
  <c r="G111" i="35"/>
  <c r="G64" i="35"/>
  <c r="G20" i="35"/>
  <c r="G303" i="35"/>
  <c r="G252" i="35"/>
  <c r="G191" i="35"/>
  <c r="G149" i="35"/>
  <c r="G102" i="35"/>
  <c r="G55" i="35"/>
  <c r="G15" i="35"/>
  <c r="G298" i="35"/>
  <c r="G254" i="35"/>
  <c r="G213" i="35"/>
  <c r="G156" i="35"/>
  <c r="G113" i="35"/>
  <c r="G73" i="35"/>
  <c r="G30" i="35"/>
  <c r="H5" i="37"/>
  <c r="D12" i="32"/>
  <c r="AB12" i="32" s="1"/>
  <c r="C89" i="35"/>
  <c r="C109" i="35"/>
  <c r="C78" i="35"/>
  <c r="C108" i="35"/>
  <c r="C43" i="35"/>
  <c r="C235" i="35"/>
  <c r="C204" i="35"/>
  <c r="I19" i="37"/>
  <c r="C224" i="35"/>
  <c r="C54" i="35"/>
  <c r="C67" i="35"/>
  <c r="C214" i="35"/>
  <c r="C223" i="35"/>
  <c r="C133" i="35"/>
  <c r="C164" i="35"/>
  <c r="C46" i="35"/>
  <c r="C201" i="35"/>
  <c r="C286" i="35"/>
  <c r="C121" i="35"/>
  <c r="C338" i="35"/>
  <c r="C260" i="35"/>
  <c r="C135" i="35"/>
  <c r="C218" i="35"/>
  <c r="C287" i="35"/>
  <c r="C220" i="35"/>
  <c r="C45" i="35"/>
  <c r="C332" i="35"/>
  <c r="C317" i="35"/>
  <c r="C277" i="35"/>
  <c r="G333" i="35"/>
  <c r="G349" i="35"/>
  <c r="G347" i="35"/>
  <c r="G327" i="35"/>
  <c r="G286" i="35"/>
  <c r="G237" i="35"/>
  <c r="G198" i="35"/>
  <c r="G155" i="35"/>
  <c r="G108" i="35"/>
  <c r="G68" i="35"/>
  <c r="G25" i="35"/>
  <c r="G304" i="35"/>
  <c r="G266" i="35"/>
  <c r="G224" i="35"/>
  <c r="G180" i="35"/>
  <c r="G142" i="35"/>
  <c r="G99" i="35"/>
  <c r="G52" i="35"/>
  <c r="G12" i="35"/>
  <c r="G291" i="35"/>
  <c r="G239" i="35"/>
  <c r="G183" i="35"/>
  <c r="G137" i="35"/>
  <c r="G90" i="35"/>
  <c r="G47" i="35"/>
  <c r="G3" i="35"/>
  <c r="G287" i="35"/>
  <c r="G242" i="35"/>
  <c r="G202" i="35"/>
  <c r="G144" i="35"/>
  <c r="G105" i="35"/>
  <c r="G62" i="35"/>
  <c r="G18" i="35"/>
  <c r="J5" i="2"/>
  <c r="N5" i="10"/>
  <c r="L5" i="1"/>
  <c r="J5" i="14"/>
  <c r="J5" i="36"/>
  <c r="I42" i="36"/>
  <c r="E268" i="35"/>
  <c r="E138" i="35"/>
  <c r="E179" i="35"/>
  <c r="E152" i="35"/>
  <c r="E196" i="35"/>
  <c r="E208" i="35"/>
  <c r="E322" i="35"/>
  <c r="E58" i="35"/>
  <c r="E343" i="35"/>
  <c r="E225" i="35"/>
  <c r="E369" i="35"/>
  <c r="D18" i="37"/>
  <c r="E161" i="35"/>
  <c r="E17" i="35"/>
  <c r="E238" i="35"/>
  <c r="D9" i="37"/>
  <c r="E374" i="35"/>
  <c r="E169" i="35"/>
  <c r="E36" i="35"/>
  <c r="E309" i="35"/>
  <c r="E18" i="35"/>
  <c r="I136" i="2"/>
  <c r="B4" i="37"/>
  <c r="O6" i="33" a="1"/>
  <c r="O6" i="33" s="1"/>
  <c r="F3" i="37"/>
  <c r="B20" i="37"/>
  <c r="F12" i="37"/>
  <c r="F9" i="37"/>
  <c r="B18" i="37"/>
  <c r="H15" i="35"/>
  <c r="H47" i="35"/>
  <c r="H24" i="35"/>
  <c r="H56" i="35"/>
  <c r="H34" i="35"/>
  <c r="H67" i="35"/>
  <c r="H97" i="35"/>
  <c r="H130" i="35"/>
  <c r="H161" i="35"/>
  <c r="H205" i="35"/>
  <c r="H234" i="35"/>
  <c r="H29" i="35"/>
  <c r="H90" i="35"/>
  <c r="H137" i="35"/>
  <c r="H178" i="35"/>
  <c r="H221" i="35"/>
  <c r="H267" i="35"/>
  <c r="H297" i="35"/>
  <c r="H329" i="35"/>
  <c r="H361" i="35"/>
  <c r="H70" i="35"/>
  <c r="H112" i="35"/>
  <c r="H160" i="35"/>
  <c r="H200" i="35"/>
  <c r="H251" i="35"/>
  <c r="H287" i="35"/>
  <c r="H318" i="35"/>
  <c r="H351" i="35"/>
  <c r="H37" i="35"/>
  <c r="H98" i="35"/>
  <c r="H139" i="35"/>
  <c r="H185" i="35"/>
  <c r="H235" i="35"/>
  <c r="H280" i="35"/>
  <c r="H315" i="35"/>
  <c r="H348" i="35"/>
  <c r="H63" i="35"/>
  <c r="H110" i="35"/>
  <c r="H151" i="35"/>
  <c r="H192" i="35"/>
  <c r="H241" i="35"/>
  <c r="H277" i="35"/>
  <c r="H308" i="35"/>
  <c r="H341" i="35"/>
  <c r="H222" i="35"/>
  <c r="P7" i="33" a="1"/>
  <c r="P7" i="33" s="1"/>
  <c r="P3" i="33" a="1"/>
  <c r="P3" i="33" s="1"/>
  <c r="O5" i="33" a="1"/>
  <c r="O5" i="33" s="1"/>
  <c r="P5" i="33" a="1"/>
  <c r="P5" i="33" s="1"/>
  <c r="B45" i="32"/>
  <c r="H40" i="36"/>
  <c r="D312" i="35"/>
  <c r="D311" i="35"/>
  <c r="J158" i="1"/>
  <c r="H336" i="35"/>
  <c r="H300" i="35"/>
  <c r="H266" i="35"/>
  <c r="H220" i="35"/>
  <c r="H166" i="35"/>
  <c r="H120" i="35"/>
  <c r="H72" i="35"/>
  <c r="H344" i="35"/>
  <c r="H307" i="35"/>
  <c r="H261" i="35"/>
  <c r="H206" i="35"/>
  <c r="H155" i="35"/>
  <c r="H108" i="35"/>
  <c r="H53" i="35"/>
  <c r="H347" i="35"/>
  <c r="H310" i="35"/>
  <c r="H276" i="35"/>
  <c r="H229" i="35"/>
  <c r="H175" i="35"/>
  <c r="H123" i="35"/>
  <c r="H75" i="35"/>
  <c r="H357" i="35"/>
  <c r="H321" i="35"/>
  <c r="H286" i="35"/>
  <c r="H243" i="35"/>
  <c r="H193" i="35"/>
  <c r="H147" i="35"/>
  <c r="H95" i="35"/>
  <c r="H13" i="35"/>
  <c r="H228" i="35"/>
  <c r="H190" i="35"/>
  <c r="H144" i="35"/>
  <c r="H109" i="35"/>
  <c r="H73" i="35"/>
  <c r="H38" i="35"/>
  <c r="H52" i="35"/>
  <c r="H16" i="35"/>
  <c r="H35" i="35"/>
  <c r="F2" i="37"/>
  <c r="B14" i="37"/>
  <c r="F20" i="37"/>
  <c r="F17" i="37"/>
  <c r="H324" i="35"/>
  <c r="H288" i="35"/>
  <c r="H253" i="35"/>
  <c r="H198" i="35"/>
  <c r="H146" i="35"/>
  <c r="H99" i="35"/>
  <c r="H25" i="35"/>
  <c r="H331" i="35"/>
  <c r="H295" i="35"/>
  <c r="H245" i="35"/>
  <c r="H191" i="35"/>
  <c r="H134" i="35"/>
  <c r="H87" i="35"/>
  <c r="H334" i="35"/>
  <c r="H298" i="35"/>
  <c r="H260" i="35"/>
  <c r="H204" i="35"/>
  <c r="H154" i="35"/>
  <c r="H102" i="35"/>
  <c r="H49" i="35"/>
  <c r="H346" i="35"/>
  <c r="H309" i="35"/>
  <c r="H275" i="35"/>
  <c r="H225" i="35"/>
  <c r="H174" i="35"/>
  <c r="H122" i="35"/>
  <c r="H74" i="35"/>
  <c r="H254" i="35"/>
  <c r="H218" i="35"/>
  <c r="H172" i="35"/>
  <c r="H133" i="35"/>
  <c r="H93" i="35"/>
  <c r="H58" i="35"/>
  <c r="H22" i="35"/>
  <c r="H40" i="35"/>
  <c r="H4" i="35"/>
  <c r="H23" i="35"/>
  <c r="F10" i="37"/>
  <c r="F5" i="37"/>
  <c r="F4" i="37"/>
  <c r="B8" i="37"/>
  <c r="H136" i="2"/>
  <c r="H356" i="35"/>
  <c r="H316" i="35"/>
  <c r="H281" i="35"/>
  <c r="H236" i="35"/>
  <c r="H181" i="35"/>
  <c r="H135" i="35"/>
  <c r="H88" i="35"/>
  <c r="H359" i="35"/>
  <c r="H323" i="35"/>
  <c r="H284" i="35"/>
  <c r="H230" i="35"/>
  <c r="H176" i="35"/>
  <c r="H124" i="35"/>
  <c r="H76" i="35"/>
  <c r="H362" i="35"/>
  <c r="H326" i="35"/>
  <c r="H290" i="35"/>
  <c r="H244" i="35"/>
  <c r="H189" i="35"/>
  <c r="H143" i="35"/>
  <c r="H91" i="35"/>
  <c r="H17" i="35"/>
  <c r="H337" i="35"/>
  <c r="H301" i="35"/>
  <c r="H263" i="35"/>
  <c r="H208" i="35"/>
  <c r="H163" i="35"/>
  <c r="H111" i="35"/>
  <c r="H64" i="35"/>
  <c r="H242" i="35"/>
  <c r="H209" i="35"/>
  <c r="H156" i="35"/>
  <c r="H121" i="35"/>
  <c r="H85" i="35"/>
  <c r="H50" i="35"/>
  <c r="H14" i="35"/>
  <c r="H32" i="35"/>
  <c r="H51" i="35"/>
  <c r="H11" i="35"/>
  <c r="B7" i="37"/>
  <c r="B13" i="37"/>
  <c r="F6" i="37"/>
  <c r="F15" i="37"/>
  <c r="I5" i="14"/>
  <c r="M5" i="10"/>
  <c r="M32" i="10"/>
  <c r="O32" i="10" s="1"/>
  <c r="J16" i="8"/>
  <c r="J16" i="14"/>
  <c r="C87" i="1"/>
  <c r="E115" i="34"/>
  <c r="C136" i="1" s="1"/>
  <c r="F106" i="34"/>
  <c r="D127" i="1" s="1"/>
  <c r="I123" i="1"/>
  <c r="C15" i="10"/>
  <c r="G37" i="10"/>
  <c r="G29" i="10"/>
  <c r="G21" i="10"/>
  <c r="K46" i="8"/>
  <c r="K31" i="8"/>
  <c r="I39" i="14"/>
  <c r="I55" i="14"/>
  <c r="I76" i="14"/>
  <c r="I26" i="36"/>
  <c r="I27" i="2"/>
  <c r="I38" i="2"/>
  <c r="I49" i="2"/>
  <c r="I59" i="2"/>
  <c r="I70" i="2"/>
  <c r="I81" i="2"/>
  <c r="I102" i="2"/>
  <c r="I113" i="2"/>
  <c r="I123" i="2"/>
  <c r="I134" i="2"/>
  <c r="I96" i="1"/>
  <c r="I128" i="1"/>
  <c r="I144" i="1"/>
  <c r="E286" i="34"/>
  <c r="C33" i="8" s="1"/>
  <c r="E271" i="34"/>
  <c r="C38" i="36" s="1"/>
  <c r="C118" i="2"/>
  <c r="C94" i="2"/>
  <c r="D53" i="2"/>
  <c r="C30" i="2"/>
  <c r="F139" i="34"/>
  <c r="D22" i="2" s="1"/>
  <c r="E130" i="34"/>
  <c r="C151" i="1" s="1"/>
  <c r="G36" i="10"/>
  <c r="G28" i="10"/>
  <c r="G20" i="10"/>
  <c r="J60" i="8"/>
  <c r="I42" i="14"/>
  <c r="I58" i="14"/>
  <c r="I80" i="14"/>
  <c r="I49" i="8"/>
  <c r="I27" i="36"/>
  <c r="I29" i="2"/>
  <c r="I50" i="2"/>
  <c r="I61" i="2"/>
  <c r="I82" i="2"/>
  <c r="I93" i="2"/>
  <c r="I103" i="2"/>
  <c r="I114" i="2"/>
  <c r="I125" i="2"/>
  <c r="I76" i="1"/>
  <c r="I97" i="1"/>
  <c r="I129" i="1"/>
  <c r="I145" i="1"/>
  <c r="E250" i="34"/>
  <c r="C133" i="2" s="1"/>
  <c r="D89" i="2"/>
  <c r="E194" i="34"/>
  <c r="C77" i="2" s="1"/>
  <c r="F114" i="34"/>
  <c r="D135" i="1" s="1"/>
  <c r="E91" i="34"/>
  <c r="C112" i="1" s="1"/>
  <c r="F86" i="34"/>
  <c r="D107" i="1" s="1"/>
  <c r="E82" i="34"/>
  <c r="C103" i="1" s="1"/>
  <c r="E67" i="34"/>
  <c r="C84" i="1" s="1"/>
  <c r="F58" i="34"/>
  <c r="D75" i="1" s="1"/>
  <c r="E39" i="34"/>
  <c r="C56" i="1" s="1"/>
  <c r="E23" i="34"/>
  <c r="C40" i="1" s="1"/>
  <c r="C65" i="2"/>
  <c r="G35" i="10"/>
  <c r="G27" i="10"/>
  <c r="G19" i="10"/>
  <c r="K30" i="8"/>
  <c r="I43" i="14"/>
  <c r="I40" i="8"/>
  <c r="I50" i="8"/>
  <c r="I19" i="2"/>
  <c r="I30" i="2"/>
  <c r="I41" i="2"/>
  <c r="I51" i="2"/>
  <c r="I62" i="2"/>
  <c r="I73" i="2"/>
  <c r="I83" i="2"/>
  <c r="I94" i="2"/>
  <c r="I105" i="2"/>
  <c r="I115" i="2"/>
  <c r="I126" i="2"/>
  <c r="I55" i="1"/>
  <c r="I79" i="1"/>
  <c r="I100" i="1"/>
  <c r="I116" i="1"/>
  <c r="I132" i="1"/>
  <c r="I148" i="1"/>
  <c r="E404" i="34"/>
  <c r="C29" i="10" s="1"/>
  <c r="E300" i="34"/>
  <c r="C47" i="8" s="1"/>
  <c r="F262" i="34"/>
  <c r="D29" i="36" s="1"/>
  <c r="E258" i="34"/>
  <c r="C25" i="36" s="1"/>
  <c r="C121" i="2"/>
  <c r="E215" i="34"/>
  <c r="C98" i="2" s="1"/>
  <c r="F203" i="34"/>
  <c r="D86" i="2" s="1"/>
  <c r="F174" i="34"/>
  <c r="D57" i="2" s="1"/>
  <c r="E155" i="34"/>
  <c r="C38" i="2" s="1"/>
  <c r="F142" i="34"/>
  <c r="D25" i="2" s="1"/>
  <c r="E127" i="34"/>
  <c r="C148" i="1" s="1"/>
  <c r="E123" i="34"/>
  <c r="C144" i="1" s="1"/>
  <c r="F118" i="34"/>
  <c r="D139" i="1" s="1"/>
  <c r="C120" i="1"/>
  <c r="C116" i="1"/>
  <c r="E71" i="34"/>
  <c r="C92" i="1" s="1"/>
  <c r="F62" i="34"/>
  <c r="D79" i="1" s="1"/>
  <c r="E43" i="34"/>
  <c r="C60" i="1" s="1"/>
  <c r="E27" i="34"/>
  <c r="C44" i="1" s="1"/>
  <c r="E57" i="31"/>
  <c r="D56" i="31"/>
  <c r="G34" i="10"/>
  <c r="G26" i="10"/>
  <c r="G18" i="10"/>
  <c r="J61" i="8"/>
  <c r="I46" i="14"/>
  <c r="I64" i="14"/>
  <c r="I20" i="8"/>
  <c r="I41" i="8"/>
  <c r="I19" i="36"/>
  <c r="I21" i="2"/>
  <c r="I31" i="2"/>
  <c r="I42" i="2"/>
  <c r="I53" i="2"/>
  <c r="I63" i="2"/>
  <c r="I85" i="2"/>
  <c r="I95" i="2"/>
  <c r="I106" i="2"/>
  <c r="I117" i="2"/>
  <c r="I127" i="2"/>
  <c r="I60" i="1"/>
  <c r="I101" i="1"/>
  <c r="I117" i="1"/>
  <c r="I133" i="1"/>
  <c r="I149" i="1"/>
  <c r="D33" i="36"/>
  <c r="E247" i="34"/>
  <c r="C130" i="2" s="1"/>
  <c r="E243" i="34"/>
  <c r="C126" i="2" s="1"/>
  <c r="F234" i="34"/>
  <c r="D117" i="2" s="1"/>
  <c r="E187" i="34"/>
  <c r="C70" i="2" s="1"/>
  <c r="E183" i="34"/>
  <c r="C66" i="2" s="1"/>
  <c r="F178" i="34"/>
  <c r="D61" i="2" s="1"/>
  <c r="F146" i="34"/>
  <c r="D29" i="2" s="1"/>
  <c r="F66" i="34"/>
  <c r="D83" i="1" s="1"/>
  <c r="E304" i="34"/>
  <c r="C51" i="8" s="1"/>
  <c r="E275" i="34"/>
  <c r="C22" i="8" s="1"/>
  <c r="E219" i="34"/>
  <c r="C102" i="2" s="1"/>
  <c r="F214" i="34"/>
  <c r="D97" i="2" s="1"/>
  <c r="E159" i="34"/>
  <c r="C42" i="2" s="1"/>
  <c r="E131" i="34"/>
  <c r="C152" i="1" s="1"/>
  <c r="F122" i="34"/>
  <c r="D143" i="1" s="1"/>
  <c r="E114" i="34"/>
  <c r="C135" i="1" s="1"/>
  <c r="E103" i="34"/>
  <c r="C124" i="1" s="1"/>
  <c r="E75" i="34"/>
  <c r="C96" i="1" s="1"/>
  <c r="F70" i="34"/>
  <c r="D91" i="1" s="1"/>
  <c r="F42" i="34"/>
  <c r="D59" i="1" s="1"/>
  <c r="E15" i="34"/>
  <c r="C32" i="1" s="1"/>
  <c r="E234" i="34"/>
  <c r="C117" i="2" s="1"/>
  <c r="G40" i="10"/>
  <c r="G32" i="10"/>
  <c r="G24" i="10"/>
  <c r="I50" i="14"/>
  <c r="I69" i="14"/>
  <c r="I22" i="8"/>
  <c r="I22" i="36"/>
  <c r="I23" i="2"/>
  <c r="I34" i="2"/>
  <c r="I45" i="2"/>
  <c r="I55" i="2"/>
  <c r="I66" i="2"/>
  <c r="I98" i="2"/>
  <c r="I109" i="2"/>
  <c r="I119" i="2"/>
  <c r="I130" i="2"/>
  <c r="I32" i="1"/>
  <c r="I105" i="1"/>
  <c r="I137" i="1"/>
  <c r="I153" i="1"/>
  <c r="E308" i="34"/>
  <c r="C55" i="8" s="1"/>
  <c r="E251" i="34"/>
  <c r="C134" i="2" s="1"/>
  <c r="D129" i="2"/>
  <c r="E242" i="34"/>
  <c r="C125" i="2" s="1"/>
  <c r="F235" i="34"/>
  <c r="D118" i="2" s="1"/>
  <c r="C110" i="2"/>
  <c r="C105" i="2"/>
  <c r="C82" i="2"/>
  <c r="F182" i="34"/>
  <c r="D65" i="2" s="1"/>
  <c r="C46" i="2"/>
  <c r="F154" i="34"/>
  <c r="D37" i="2" s="1"/>
  <c r="E135" i="34"/>
  <c r="C156" i="1" s="1"/>
  <c r="F126" i="34"/>
  <c r="D147" i="1" s="1"/>
  <c r="C132" i="1"/>
  <c r="E107" i="34"/>
  <c r="C128" i="1" s="1"/>
  <c r="F98" i="34"/>
  <c r="D119" i="1" s="1"/>
  <c r="F94" i="34"/>
  <c r="D115" i="1" s="1"/>
  <c r="E83" i="34"/>
  <c r="C104" i="1" s="1"/>
  <c r="E79" i="34"/>
  <c r="C100" i="1" s="1"/>
  <c r="E51" i="34"/>
  <c r="C68" i="1" s="1"/>
  <c r="F46" i="34"/>
  <c r="D63" i="1" s="1"/>
  <c r="E31" i="34"/>
  <c r="C48" i="1" s="1"/>
  <c r="G39" i="10"/>
  <c r="G31" i="10"/>
  <c r="I35" i="14"/>
  <c r="I23" i="36"/>
  <c r="I25" i="2"/>
  <c r="I35" i="2"/>
  <c r="I46" i="2"/>
  <c r="I99" i="2"/>
  <c r="I121" i="2"/>
  <c r="I35" i="1"/>
  <c r="I71" i="1"/>
  <c r="I124" i="1"/>
  <c r="I140" i="1"/>
  <c r="C59" i="8"/>
  <c r="D25" i="8"/>
  <c r="C50" i="2"/>
  <c r="I155" i="1"/>
  <c r="C76" i="1"/>
  <c r="L3" i="35"/>
  <c r="D310" i="38"/>
  <c r="L311" i="35"/>
  <c r="M312" i="35"/>
  <c r="J3" i="35"/>
  <c r="E2" i="38"/>
  <c r="E311" i="38"/>
  <c r="E310" i="38"/>
  <c r="L312" i="35"/>
  <c r="L68" i="35"/>
  <c r="D312" i="38"/>
  <c r="E312" i="38"/>
  <c r="D311" i="38"/>
  <c r="M311" i="35"/>
  <c r="K2" i="35"/>
  <c r="D68" i="38"/>
  <c r="D55" i="11" l="1"/>
  <c r="M154" i="1"/>
  <c r="M156" i="1" s="1"/>
  <c r="J50" i="1"/>
  <c r="J81" i="1" s="1"/>
  <c r="L20" i="1"/>
  <c r="J127" i="2"/>
  <c r="J49" i="2"/>
  <c r="J65" i="2"/>
  <c r="J48" i="2"/>
  <c r="J125" i="2"/>
  <c r="C51" i="11" s="1"/>
  <c r="J117" i="2"/>
  <c r="J124" i="2"/>
  <c r="C50" i="11" s="1"/>
  <c r="J64" i="2"/>
  <c r="K127" i="2"/>
  <c r="K125" i="2"/>
  <c r="K65" i="2"/>
  <c r="K48" i="2"/>
  <c r="K124" i="2"/>
  <c r="K64" i="2"/>
  <c r="K49" i="2"/>
  <c r="K118" i="2"/>
  <c r="K117" i="2"/>
  <c r="J118" i="2"/>
  <c r="M81" i="1"/>
  <c r="I71" i="8"/>
  <c r="M42" i="10"/>
  <c r="K158" i="1"/>
  <c r="I90" i="14"/>
  <c r="D48" i="11"/>
  <c r="C54" i="11"/>
  <c r="D53" i="11"/>
  <c r="K85" i="1"/>
  <c r="C48" i="11"/>
  <c r="D46" i="11"/>
  <c r="D49" i="11"/>
  <c r="C52" i="11"/>
  <c r="D52" i="11"/>
  <c r="C49" i="11"/>
  <c r="C46" i="11"/>
  <c r="L50" i="1" l="1"/>
  <c r="J83" i="1"/>
  <c r="L81" i="1"/>
  <c r="K19" i="36"/>
  <c r="J19" i="36"/>
  <c r="D51" i="11"/>
  <c r="D50" i="11"/>
  <c r="M83" i="1"/>
  <c r="M85" i="1" s="1"/>
  <c r="L83" i="1" l="1"/>
  <c r="J37" i="36"/>
  <c r="J38" i="36"/>
  <c r="J85" i="1"/>
  <c r="K38" i="36"/>
  <c r="K37" i="36"/>
  <c r="D47" i="11"/>
  <c r="D45" i="11"/>
  <c r="C45" i="11" l="1"/>
  <c r="L85" i="1"/>
  <c r="C47" i="11" l="1"/>
  <c r="E146" i="38"/>
  <c r="F43" i="38"/>
  <c r="M42" i="35"/>
  <c r="M95" i="35"/>
  <c r="E154" i="38"/>
  <c r="H383" i="38"/>
  <c r="D320" i="38"/>
  <c r="G382" i="38"/>
  <c r="M125" i="35"/>
  <c r="D128" i="38"/>
  <c r="J33" i="35"/>
  <c r="M100" i="35"/>
  <c r="L352" i="35"/>
  <c r="D165" i="38"/>
  <c r="E178" i="38"/>
  <c r="E164" i="38"/>
  <c r="E391" i="38"/>
  <c r="M144" i="35"/>
  <c r="D46" i="38"/>
  <c r="E392" i="38"/>
  <c r="D362" i="38"/>
  <c r="J29" i="35"/>
  <c r="E185" i="38"/>
  <c r="K54" i="35"/>
  <c r="E91" i="38"/>
  <c r="M101" i="35"/>
  <c r="J14" i="37"/>
  <c r="M340" i="35"/>
  <c r="D178" i="38"/>
  <c r="J61" i="35"/>
  <c r="E263" i="38"/>
  <c r="M304" i="35"/>
  <c r="L159" i="35"/>
  <c r="L320" i="35"/>
  <c r="L294" i="35"/>
  <c r="J62" i="35"/>
  <c r="M80" i="35"/>
  <c r="L132" i="35"/>
  <c r="L148" i="35"/>
  <c r="E383" i="38"/>
  <c r="J89" i="35"/>
  <c r="D15" i="38"/>
  <c r="E384" i="38"/>
  <c r="E22" i="38"/>
  <c r="K402" i="38"/>
  <c r="M136" i="35"/>
  <c r="K389" i="38"/>
  <c r="P22" i="37"/>
  <c r="L247" i="35"/>
  <c r="E273" i="38"/>
  <c r="J108" i="35"/>
  <c r="D366" i="38"/>
  <c r="P10" i="37"/>
  <c r="E325" i="38"/>
  <c r="E51" i="38"/>
  <c r="J54" i="35"/>
  <c r="M293" i="35"/>
  <c r="L89" i="35"/>
  <c r="D119" i="38"/>
  <c r="L84" i="35"/>
  <c r="M350" i="35"/>
  <c r="M169" i="35"/>
  <c r="G30" i="38"/>
  <c r="L107" i="35"/>
  <c r="M214" i="35"/>
  <c r="D282" i="38"/>
  <c r="J42" i="35"/>
  <c r="D75" i="38"/>
  <c r="E246" i="38"/>
  <c r="F30" i="38"/>
  <c r="E399" i="38"/>
  <c r="J97" i="35"/>
  <c r="E47" i="38"/>
  <c r="G380" i="38"/>
  <c r="E60" i="38"/>
  <c r="E287" i="38"/>
  <c r="D70" i="38"/>
  <c r="D201" i="38"/>
  <c r="L356" i="35"/>
  <c r="J104" i="35"/>
  <c r="E166" i="38"/>
  <c r="D113" i="38"/>
  <c r="M219" i="35"/>
  <c r="G57" i="38"/>
  <c r="F392" i="38"/>
  <c r="D258" i="38"/>
  <c r="E313" i="38"/>
  <c r="E19" i="38"/>
  <c r="M182" i="35"/>
  <c r="J105" i="35"/>
  <c r="D182" i="38"/>
  <c r="D87" i="38"/>
  <c r="G400" i="38"/>
  <c r="E89" i="38"/>
  <c r="E113" i="38"/>
  <c r="D20" i="38"/>
  <c r="L201" i="35"/>
  <c r="J394" i="38"/>
  <c r="J83" i="35"/>
  <c r="M114" i="35"/>
  <c r="L265" i="35"/>
  <c r="K110" i="35"/>
  <c r="D344" i="38"/>
  <c r="J20" i="37"/>
  <c r="E152" i="38"/>
  <c r="K12" i="37"/>
  <c r="L144" i="35"/>
  <c r="L249" i="35"/>
  <c r="M324" i="35"/>
  <c r="E219" i="38"/>
  <c r="E322" i="38"/>
  <c r="L157" i="35"/>
  <c r="K108" i="35"/>
  <c r="L256" i="35"/>
  <c r="E42" i="38"/>
  <c r="E360" i="38"/>
  <c r="D81" i="38"/>
  <c r="L49" i="35"/>
  <c r="K401" i="38"/>
  <c r="K77" i="35"/>
  <c r="D378" i="38"/>
  <c r="D89" i="38"/>
  <c r="J382" i="38"/>
  <c r="M48" i="35"/>
  <c r="M12" i="35"/>
  <c r="D276" i="38"/>
  <c r="D264" i="38"/>
  <c r="L185" i="35"/>
  <c r="M126" i="35"/>
  <c r="E98" i="38"/>
  <c r="D43" i="38"/>
  <c r="K382" i="38"/>
  <c r="F19" i="38"/>
  <c r="E316" i="38"/>
  <c r="D26" i="38"/>
  <c r="D295" i="38"/>
  <c r="I391" i="38"/>
  <c r="M90" i="35"/>
  <c r="M367" i="35"/>
  <c r="F36" i="38"/>
  <c r="K388" i="38"/>
  <c r="I383" i="38"/>
  <c r="K393" i="38"/>
  <c r="J397" i="38"/>
  <c r="G66" i="38"/>
  <c r="J106" i="35"/>
  <c r="F17" i="38"/>
  <c r="K131" i="35"/>
  <c r="E108" i="38"/>
  <c r="J86" i="35"/>
  <c r="L145" i="35"/>
  <c r="L317" i="35"/>
  <c r="E382" i="38"/>
  <c r="E174" i="38"/>
  <c r="L149" i="35"/>
  <c r="K59" i="35"/>
  <c r="H399" i="38"/>
  <c r="E220" i="38"/>
  <c r="D247" i="38"/>
  <c r="L83" i="35"/>
  <c r="E61" i="38"/>
  <c r="L140" i="35"/>
  <c r="E215" i="38"/>
  <c r="F388" i="38"/>
  <c r="K63" i="35"/>
  <c r="M255" i="35"/>
  <c r="M96" i="35"/>
  <c r="M374" i="35"/>
  <c r="L119" i="35"/>
  <c r="D241" i="38"/>
  <c r="D129" i="38"/>
  <c r="D319" i="38"/>
  <c r="E169" i="38"/>
  <c r="E294" i="38"/>
  <c r="E90" i="38"/>
  <c r="D64" i="38"/>
  <c r="M10" i="37"/>
  <c r="D2" i="38"/>
  <c r="D51" i="38"/>
  <c r="D22" i="38"/>
  <c r="E4" i="38"/>
  <c r="M21" i="35"/>
  <c r="E77" i="38"/>
  <c r="D288" i="38"/>
  <c r="D355" i="38"/>
  <c r="M167" i="35"/>
  <c r="L8" i="35"/>
  <c r="G393" i="38"/>
  <c r="G36" i="38"/>
  <c r="D73" i="38"/>
  <c r="Q17" i="37"/>
  <c r="M127" i="35"/>
  <c r="F48" i="38"/>
  <c r="J5" i="35"/>
  <c r="L281" i="35"/>
  <c r="M71" i="35"/>
  <c r="G44" i="38"/>
  <c r="L200" i="35"/>
  <c r="G37" i="38"/>
  <c r="D273" i="38"/>
  <c r="D111" i="38"/>
  <c r="D18" i="38"/>
  <c r="K106" i="35"/>
  <c r="K18" i="35"/>
  <c r="D162" i="38"/>
  <c r="D394" i="38"/>
  <c r="F24" i="38"/>
  <c r="M354" i="35"/>
  <c r="E224" i="38"/>
  <c r="E24" i="38"/>
  <c r="E371" i="38"/>
  <c r="D382" i="38"/>
  <c r="M303" i="35"/>
  <c r="J386" i="38"/>
  <c r="K128" i="35"/>
  <c r="L113" i="35"/>
  <c r="J77" i="35"/>
  <c r="M115" i="35"/>
  <c r="K55" i="35"/>
  <c r="L313" i="35"/>
  <c r="L78" i="35"/>
  <c r="M250" i="35"/>
  <c r="D52" i="38"/>
  <c r="G401" i="38"/>
  <c r="F21" i="38"/>
  <c r="E366" i="38"/>
  <c r="M352" i="35"/>
  <c r="E327" i="38"/>
  <c r="K8" i="35"/>
  <c r="L328" i="35"/>
  <c r="E15" i="38"/>
  <c r="D277" i="38"/>
  <c r="E143" i="38"/>
  <c r="M377" i="35"/>
  <c r="L241" i="35"/>
  <c r="D16" i="38"/>
  <c r="M315" i="35"/>
  <c r="M193" i="35"/>
  <c r="K387" i="38"/>
  <c r="D103" i="38"/>
  <c r="M59" i="35"/>
  <c r="M208" i="35"/>
  <c r="E75" i="38"/>
  <c r="D219" i="38"/>
  <c r="L174" i="35"/>
  <c r="M162" i="35"/>
  <c r="E124" i="38"/>
  <c r="D249" i="38"/>
  <c r="D256" i="38"/>
  <c r="J55" i="35"/>
  <c r="J402" i="38"/>
  <c r="K81" i="35"/>
  <c r="L96" i="35"/>
  <c r="E376" i="38"/>
  <c r="D136" i="38"/>
  <c r="K117" i="35"/>
  <c r="E345" i="38"/>
  <c r="D112" i="38"/>
  <c r="L310" i="35"/>
  <c r="E402" i="38"/>
  <c r="D127" i="38"/>
  <c r="J125" i="35"/>
  <c r="E271" i="38"/>
  <c r="F12" i="38"/>
  <c r="L129" i="35"/>
  <c r="M142" i="35"/>
  <c r="Q24" i="37"/>
  <c r="D324" i="38"/>
  <c r="M195" i="35"/>
  <c r="L164" i="35"/>
  <c r="L31" i="35"/>
  <c r="E398" i="38"/>
  <c r="G384" i="38"/>
  <c r="E245" i="38"/>
  <c r="E302" i="38"/>
  <c r="J59" i="35"/>
  <c r="D100" i="38"/>
  <c r="J80" i="35"/>
  <c r="M302" i="35"/>
  <c r="M26" i="35"/>
  <c r="E20" i="38"/>
  <c r="D109" i="38"/>
  <c r="L270" i="35"/>
  <c r="M165" i="35"/>
  <c r="E133" i="38"/>
  <c r="D58" i="38"/>
  <c r="P19" i="37"/>
  <c r="M107" i="35"/>
  <c r="G59" i="38"/>
  <c r="L165" i="35"/>
  <c r="D57" i="38"/>
  <c r="D386" i="38"/>
  <c r="D204" i="38"/>
  <c r="G10" i="38"/>
  <c r="E266" i="38"/>
  <c r="M21" i="37"/>
  <c r="D21" i="38"/>
  <c r="E101" i="38"/>
  <c r="G24" i="38"/>
  <c r="E45" i="38"/>
  <c r="E94" i="38"/>
  <c r="M41" i="35"/>
  <c r="E262" i="38"/>
  <c r="I384" i="38"/>
  <c r="E186" i="38"/>
  <c r="K398" i="38"/>
  <c r="D326" i="38"/>
  <c r="F22" i="38"/>
  <c r="M137" i="35"/>
  <c r="E87" i="38"/>
  <c r="M286" i="35"/>
  <c r="L279" i="35"/>
  <c r="E127" i="38"/>
  <c r="K24" i="35"/>
  <c r="D315" i="38"/>
  <c r="O19" i="37"/>
  <c r="M372" i="35"/>
  <c r="M83" i="35"/>
  <c r="G390" i="38"/>
  <c r="M239" i="35"/>
  <c r="L274" i="35"/>
  <c r="F29" i="38"/>
  <c r="J71" i="35"/>
  <c r="J79" i="35"/>
  <c r="M272" i="35"/>
  <c r="K12" i="35"/>
  <c r="E203" i="38"/>
  <c r="Q16" i="37"/>
  <c r="E394" i="38"/>
  <c r="K89" i="35"/>
  <c r="D126" i="38"/>
  <c r="F399" i="38"/>
  <c r="F15" i="38"/>
  <c r="M268" i="35"/>
  <c r="E319" i="38"/>
  <c r="J22" i="35"/>
  <c r="L26" i="35"/>
  <c r="G402" i="38"/>
  <c r="J2" i="35"/>
  <c r="E296" i="38"/>
  <c r="M31" i="35"/>
  <c r="E125" i="38"/>
  <c r="J391" i="38"/>
  <c r="D150" i="38"/>
  <c r="M253" i="35"/>
  <c r="D157" i="38"/>
  <c r="D31" i="38"/>
  <c r="L23" i="37"/>
  <c r="E100" i="38"/>
  <c r="M192" i="35"/>
  <c r="L43" i="35"/>
  <c r="J12" i="35"/>
  <c r="F391" i="38"/>
  <c r="E165" i="38"/>
  <c r="D49" i="38"/>
  <c r="K22" i="37"/>
  <c r="E120" i="38"/>
  <c r="G29" i="38"/>
  <c r="K126" i="35"/>
  <c r="L187" i="35"/>
  <c r="F4" i="38"/>
  <c r="M371" i="35"/>
  <c r="D254" i="38"/>
  <c r="D25" i="38"/>
  <c r="F393" i="38"/>
  <c r="F53" i="38"/>
  <c r="L53" i="35"/>
  <c r="F395" i="38"/>
  <c r="M262" i="35"/>
  <c r="E303" i="38"/>
  <c r="F60" i="38"/>
  <c r="D341" i="38"/>
  <c r="E114" i="38"/>
  <c r="M39" i="35"/>
  <c r="L283" i="35"/>
  <c r="D130" i="38"/>
  <c r="K92" i="35"/>
  <c r="D47" i="38"/>
  <c r="E370" i="38"/>
  <c r="O12" i="37"/>
  <c r="L227" i="35"/>
  <c r="J132" i="35"/>
  <c r="E329" i="38"/>
  <c r="D330" i="38"/>
  <c r="J388" i="38"/>
  <c r="E93" i="38"/>
  <c r="J92" i="35"/>
  <c r="D317" i="38"/>
  <c r="Q21" i="37"/>
  <c r="L103" i="35"/>
  <c r="L7" i="37"/>
  <c r="K79" i="35"/>
  <c r="F23" i="38"/>
  <c r="M278" i="35"/>
  <c r="K42" i="35"/>
  <c r="E259" i="38"/>
  <c r="E83" i="38"/>
  <c r="D9" i="38"/>
  <c r="E369" i="38"/>
  <c r="M267" i="35"/>
  <c r="E107" i="38"/>
  <c r="Q11" i="37"/>
  <c r="D106" i="38"/>
  <c r="F397" i="38"/>
  <c r="J93" i="35"/>
  <c r="H393" i="38"/>
  <c r="L118" i="35"/>
  <c r="F394" i="38"/>
  <c r="G53" i="38"/>
  <c r="J30" i="35"/>
  <c r="J389" i="38"/>
  <c r="E119" i="38"/>
  <c r="K109" i="35"/>
  <c r="J84" i="35"/>
  <c r="E78" i="38"/>
  <c r="L358" i="35"/>
  <c r="D377" i="38"/>
  <c r="L56" i="35"/>
  <c r="H388" i="38"/>
  <c r="D42" i="38"/>
  <c r="G381" i="38"/>
  <c r="D244" i="38"/>
  <c r="M258" i="35"/>
  <c r="K33" i="35"/>
  <c r="D253" i="38"/>
  <c r="K385" i="38"/>
  <c r="E11" i="38"/>
  <c r="D198" i="38"/>
  <c r="E321" i="38"/>
  <c r="H400" i="38"/>
  <c r="M265" i="35"/>
  <c r="D121" i="38"/>
  <c r="J4" i="35"/>
  <c r="L9" i="35"/>
  <c r="D7" i="38"/>
  <c r="D19" i="38"/>
  <c r="M150" i="35"/>
  <c r="E362" i="38"/>
  <c r="G38" i="38"/>
  <c r="L15" i="35"/>
  <c r="G21" i="38"/>
  <c r="M327" i="35"/>
  <c r="J100" i="35"/>
  <c r="E300" i="38"/>
  <c r="D38" i="38"/>
  <c r="E293" i="38"/>
  <c r="G52" i="38"/>
  <c r="O7" i="37"/>
  <c r="E264" i="38"/>
  <c r="D66" i="38"/>
  <c r="L255" i="35"/>
  <c r="G39" i="38"/>
  <c r="L87" i="35"/>
  <c r="M54" i="35"/>
  <c r="J383" i="38"/>
  <c r="L322" i="35"/>
  <c r="F26" i="38"/>
  <c r="I401" i="38"/>
  <c r="M199" i="35"/>
  <c r="E147" i="38"/>
  <c r="E278" i="38"/>
  <c r="E288" i="38"/>
  <c r="K397" i="38"/>
  <c r="M27" i="35"/>
  <c r="M183" i="35"/>
  <c r="M343" i="35"/>
  <c r="L243" i="35"/>
  <c r="L267" i="35"/>
  <c r="M206" i="35"/>
  <c r="D286" i="38"/>
  <c r="K123" i="35"/>
  <c r="I402" i="38"/>
  <c r="F5" i="38"/>
  <c r="M87" i="35"/>
  <c r="M19" i="37"/>
  <c r="L6" i="35"/>
  <c r="K50" i="35"/>
  <c r="Q20" i="37"/>
  <c r="L183" i="35"/>
  <c r="J18" i="35"/>
  <c r="J69" i="35"/>
  <c r="Q3" i="37"/>
  <c r="L79" i="35"/>
  <c r="E172" i="38"/>
  <c r="G16" i="38"/>
  <c r="M319" i="35"/>
  <c r="D336" i="38"/>
  <c r="O16" i="37"/>
  <c r="L41" i="35"/>
  <c r="D104" i="38"/>
  <c r="E129" i="38"/>
  <c r="E28" i="38"/>
  <c r="I397" i="38"/>
  <c r="E265" i="38"/>
  <c r="O22" i="37"/>
  <c r="D396" i="38"/>
  <c r="L54" i="35"/>
  <c r="L246" i="35"/>
  <c r="G4" i="38"/>
  <c r="L117" i="35"/>
  <c r="L224" i="35"/>
  <c r="M328" i="35"/>
  <c r="D98" i="38"/>
  <c r="L150" i="35"/>
  <c r="M77" i="35"/>
  <c r="D4" i="38"/>
  <c r="L18" i="37"/>
  <c r="L61" i="35"/>
  <c r="I386" i="38"/>
  <c r="M207" i="35"/>
  <c r="J36" i="35"/>
  <c r="D235" i="38"/>
  <c r="M7" i="35"/>
  <c r="D69" i="38"/>
  <c r="L240" i="35"/>
  <c r="F45" i="38"/>
  <c r="F66" i="38"/>
  <c r="K103" i="35"/>
  <c r="G28" i="38"/>
  <c r="J133" i="35"/>
  <c r="D388" i="38"/>
  <c r="E68" i="38"/>
  <c r="M360" i="35"/>
  <c r="D12" i="38"/>
  <c r="L77" i="35"/>
  <c r="L48" i="35"/>
  <c r="M296" i="35"/>
  <c r="L252" i="35"/>
  <c r="G61" i="38"/>
  <c r="I393" i="38"/>
  <c r="M211" i="35"/>
  <c r="H390" i="38"/>
  <c r="G23" i="38"/>
  <c r="L262" i="35"/>
  <c r="J26" i="35"/>
  <c r="E180" i="38"/>
  <c r="L94" i="35"/>
  <c r="D230" i="38"/>
  <c r="D120" i="38"/>
  <c r="M215" i="35"/>
  <c r="D329" i="38"/>
  <c r="G60" i="38"/>
  <c r="E183" i="38"/>
  <c r="D228" i="38"/>
  <c r="E397" i="38"/>
  <c r="E123" i="38"/>
  <c r="M92" i="35"/>
  <c r="M329" i="35"/>
  <c r="L258" i="35"/>
  <c r="E181" i="38"/>
  <c r="K24" i="37"/>
  <c r="L366" i="35"/>
  <c r="E236" i="38"/>
  <c r="L271" i="35"/>
  <c r="E137" i="38"/>
  <c r="I381" i="38"/>
  <c r="E96" i="38"/>
  <c r="E105" i="38"/>
  <c r="L8" i="37"/>
  <c r="K31" i="35"/>
  <c r="E117" i="38"/>
  <c r="H380" i="38"/>
  <c r="E320" i="38"/>
  <c r="D212" i="38"/>
  <c r="K26" i="35"/>
  <c r="L115" i="35"/>
  <c r="D290" i="38"/>
  <c r="D401" i="38"/>
  <c r="J23" i="37"/>
  <c r="G49" i="38"/>
  <c r="E86" i="38"/>
  <c r="D361" i="38"/>
  <c r="M25" i="35"/>
  <c r="E323" i="38"/>
  <c r="M69" i="35"/>
  <c r="J27" i="35"/>
  <c r="M197" i="35"/>
  <c r="E270" i="38"/>
  <c r="G12" i="38"/>
  <c r="D332" i="38"/>
  <c r="D59" i="38"/>
  <c r="M36" i="35"/>
  <c r="G45" i="38"/>
  <c r="E74" i="38"/>
  <c r="D348" i="38"/>
  <c r="L282" i="35"/>
  <c r="D55" i="38"/>
  <c r="L257" i="35"/>
  <c r="E330" i="38"/>
  <c r="E333" i="38"/>
  <c r="E59" i="38"/>
  <c r="L104" i="35"/>
  <c r="M60" i="35"/>
  <c r="E99" i="38"/>
  <c r="D208" i="38"/>
  <c r="G67" i="38"/>
  <c r="H381" i="38"/>
  <c r="L245" i="35"/>
  <c r="L180" i="35"/>
  <c r="E110" i="38"/>
  <c r="L176" i="35"/>
  <c r="F18" i="38"/>
  <c r="M240" i="35"/>
  <c r="M351" i="35"/>
  <c r="M212" i="35"/>
  <c r="M191" i="35"/>
  <c r="F51" i="38"/>
  <c r="L291" i="35"/>
  <c r="E160" i="38"/>
  <c r="M236" i="35"/>
  <c r="K29" i="35"/>
  <c r="N18" i="37"/>
  <c r="F63" i="38"/>
  <c r="M251" i="35"/>
  <c r="M19" i="35"/>
  <c r="L46" i="35"/>
  <c r="L127" i="35"/>
  <c r="L250" i="35"/>
  <c r="H394" i="38"/>
  <c r="M313" i="35"/>
  <c r="J121" i="35"/>
  <c r="D5" i="38"/>
  <c r="M104" i="35"/>
  <c r="M32" i="35"/>
  <c r="E167" i="38"/>
  <c r="K20" i="37"/>
  <c r="M254" i="35"/>
  <c r="F50" i="38"/>
  <c r="E216" i="38"/>
  <c r="E401" i="38"/>
  <c r="D62" i="38"/>
  <c r="M170" i="35"/>
  <c r="L24" i="37"/>
  <c r="E205" i="38"/>
  <c r="L228" i="35"/>
  <c r="Q15" i="37"/>
  <c r="E103" i="38"/>
  <c r="F39" i="38"/>
  <c r="E256" i="38"/>
  <c r="M224" i="35"/>
  <c r="H402" i="38"/>
  <c r="D305" i="38"/>
  <c r="M190" i="35"/>
  <c r="M141" i="35"/>
  <c r="G394" i="38"/>
  <c r="E361" i="38"/>
  <c r="G56" i="38"/>
  <c r="L57" i="35"/>
  <c r="M294" i="35"/>
  <c r="G396" i="38"/>
  <c r="F64" i="38"/>
  <c r="D11" i="38"/>
  <c r="J128" i="35"/>
  <c r="D395" i="38"/>
  <c r="D274" i="38"/>
  <c r="E175" i="38"/>
  <c r="L303" i="35"/>
  <c r="L302" i="35"/>
  <c r="D297" i="38"/>
  <c r="I395" i="38"/>
  <c r="M20" i="35"/>
  <c r="E138" i="38"/>
  <c r="D367" i="38"/>
  <c r="L34" i="35"/>
  <c r="M89" i="35"/>
  <c r="E318" i="38"/>
  <c r="D141" i="38"/>
  <c r="L81" i="35"/>
  <c r="K129" i="35"/>
  <c r="K391" i="38"/>
  <c r="K113" i="35"/>
  <c r="E118" i="38"/>
  <c r="F59" i="38"/>
  <c r="L314" i="35"/>
  <c r="D101" i="38"/>
  <c r="J95" i="35"/>
  <c r="F11" i="38"/>
  <c r="D44" i="38"/>
  <c r="N23" i="37"/>
  <c r="M9" i="35"/>
  <c r="G383" i="38"/>
  <c r="D166" i="38"/>
  <c r="M128" i="35"/>
  <c r="L182" i="35"/>
  <c r="E388" i="38"/>
  <c r="L309" i="35"/>
  <c r="J52" i="35"/>
  <c r="F390" i="38"/>
  <c r="M6" i="35"/>
  <c r="E284" i="38"/>
  <c r="K46" i="35"/>
  <c r="K44" i="35"/>
  <c r="D293" i="38"/>
  <c r="N24" i="37"/>
  <c r="E363" i="38"/>
  <c r="J6" i="35"/>
  <c r="M143" i="35"/>
  <c r="I399" i="38"/>
  <c r="D372" i="38"/>
  <c r="D369" i="38"/>
  <c r="D272" i="38"/>
  <c r="J43" i="35"/>
  <c r="L112" i="35"/>
  <c r="H396" i="38"/>
  <c r="K116" i="35"/>
  <c r="E43" i="38"/>
  <c r="P24" i="37"/>
  <c r="J109" i="35"/>
  <c r="K43" i="35"/>
  <c r="D169" i="38"/>
  <c r="J8" i="35"/>
  <c r="E88" i="38"/>
  <c r="K65" i="35"/>
  <c r="K384" i="38"/>
  <c r="J82" i="35"/>
  <c r="D78" i="38"/>
  <c r="F402" i="38"/>
  <c r="L22" i="35"/>
  <c r="E386" i="38"/>
  <c r="L44" i="35"/>
  <c r="D268" i="38"/>
  <c r="F58" i="38"/>
  <c r="E126" i="38"/>
  <c r="M159" i="35"/>
  <c r="E150" i="38"/>
  <c r="L349" i="35"/>
  <c r="L213" i="35"/>
  <c r="E230" i="38"/>
  <c r="E66" i="38"/>
  <c r="D345" i="38"/>
  <c r="M220" i="35"/>
  <c r="O4" i="37"/>
  <c r="N11" i="37"/>
  <c r="D206" i="38"/>
  <c r="K386" i="38"/>
  <c r="L91" i="35"/>
  <c r="D131" i="38"/>
  <c r="K5" i="35"/>
  <c r="E141" i="38"/>
  <c r="G6" i="38"/>
  <c r="D41" i="38"/>
  <c r="K61" i="35"/>
  <c r="K27" i="35"/>
  <c r="M325" i="35"/>
  <c r="E140" i="38"/>
  <c r="G40" i="38"/>
  <c r="G391" i="38"/>
  <c r="E32" i="38"/>
  <c r="M46" i="35"/>
  <c r="E237" i="38"/>
  <c r="J41" i="35"/>
  <c r="E212" i="38"/>
  <c r="L116" i="35"/>
  <c r="L364" i="35"/>
  <c r="I400" i="38"/>
  <c r="E41" i="38"/>
  <c r="D325" i="38"/>
  <c r="G8" i="38"/>
  <c r="E187" i="38"/>
  <c r="E84" i="38"/>
  <c r="K395" i="38"/>
  <c r="E139" i="38"/>
  <c r="E193" i="38"/>
  <c r="E18" i="38"/>
  <c r="M248" i="35"/>
  <c r="E285" i="38"/>
  <c r="F52" i="38"/>
  <c r="D300" i="38"/>
  <c r="L86" i="35"/>
  <c r="O21" i="37"/>
  <c r="M249" i="35"/>
  <c r="G14" i="38"/>
  <c r="L10" i="35"/>
  <c r="E315" i="38"/>
  <c r="G385" i="38"/>
  <c r="D151" i="38"/>
  <c r="D316" i="38"/>
  <c r="D187" i="38"/>
  <c r="G13" i="38"/>
  <c r="D36" i="38"/>
  <c r="F16" i="38"/>
  <c r="D269" i="38"/>
  <c r="G47" i="38"/>
  <c r="M10" i="35"/>
  <c r="J115" i="35"/>
  <c r="E249" i="38"/>
  <c r="L286" i="35"/>
  <c r="L343" i="35"/>
  <c r="E192" i="38"/>
  <c r="M8" i="35"/>
  <c r="E131" i="38"/>
  <c r="F381" i="38"/>
  <c r="D226" i="38"/>
  <c r="K80" i="35"/>
  <c r="E82" i="38"/>
  <c r="D381" i="38"/>
  <c r="K86" i="35"/>
  <c r="J28" i="35"/>
  <c r="G46" i="38"/>
  <c r="J57" i="35"/>
  <c r="D23" i="38"/>
  <c r="L371" i="35"/>
  <c r="D117" i="38"/>
  <c r="K96" i="35"/>
  <c r="H382" i="38"/>
  <c r="E229" i="38"/>
  <c r="M292" i="35"/>
  <c r="M13" i="37"/>
  <c r="E12" i="38"/>
  <c r="L238" i="35"/>
  <c r="F37" i="38"/>
  <c r="L66" i="35"/>
  <c r="F38" i="38"/>
  <c r="E104" i="38"/>
  <c r="E395" i="38"/>
  <c r="D123" i="38"/>
  <c r="L214" i="35"/>
  <c r="E290" i="38"/>
  <c r="O23" i="37"/>
  <c r="E30" i="38"/>
  <c r="M30" i="35"/>
  <c r="E280" i="38"/>
  <c r="G62" i="38"/>
  <c r="O9" i="37"/>
  <c r="L195" i="35"/>
  <c r="D304" i="38"/>
  <c r="E111" i="38"/>
  <c r="M61" i="35"/>
  <c r="K10" i="35"/>
  <c r="L18" i="35"/>
  <c r="D97" i="38"/>
  <c r="K381" i="38"/>
  <c r="J392" i="38"/>
  <c r="E39" i="38"/>
  <c r="D323" i="38"/>
  <c r="G55" i="38"/>
  <c r="D56" i="38"/>
  <c r="E374" i="38"/>
  <c r="D191" i="38"/>
  <c r="L230" i="35"/>
  <c r="J101" i="35"/>
  <c r="M120" i="35"/>
  <c r="D135" i="38"/>
  <c r="D333" i="38"/>
  <c r="D167" i="38"/>
  <c r="E390" i="38"/>
  <c r="M2" i="37"/>
  <c r="M152" i="35"/>
  <c r="I392" i="38"/>
  <c r="L269" i="35"/>
  <c r="L342" i="35"/>
  <c r="M320" i="35"/>
  <c r="K118" i="35"/>
  <c r="K399" i="38"/>
  <c r="E377" i="38"/>
  <c r="E317" i="38"/>
  <c r="D321" i="38"/>
  <c r="J48" i="35"/>
  <c r="E252" i="38"/>
  <c r="J107" i="35"/>
  <c r="D287" i="38"/>
  <c r="M321" i="35"/>
  <c r="P15" i="37"/>
  <c r="M82" i="35"/>
  <c r="M179" i="35"/>
  <c r="G15" i="38"/>
  <c r="L128" i="35"/>
  <c r="J116" i="35"/>
  <c r="E269" i="38"/>
  <c r="J19" i="35"/>
  <c r="E272" i="38"/>
  <c r="L188" i="35"/>
  <c r="E282" i="38"/>
  <c r="L192" i="35"/>
  <c r="L59" i="35"/>
  <c r="P11" i="37"/>
  <c r="M38" i="35"/>
  <c r="D170" i="38"/>
  <c r="F25" i="38"/>
  <c r="D257" i="38"/>
  <c r="D77" i="38"/>
  <c r="D161" i="38"/>
  <c r="L299" i="35"/>
  <c r="E283" i="38"/>
  <c r="O6" i="37"/>
  <c r="M86" i="35"/>
  <c r="F384" i="38"/>
  <c r="F41" i="38"/>
  <c r="E170" i="38"/>
  <c r="D313" i="38"/>
  <c r="E142" i="38"/>
  <c r="G48" i="38"/>
  <c r="M5" i="37"/>
  <c r="M18" i="35"/>
  <c r="K41" i="35"/>
  <c r="N16" i="37"/>
  <c r="I385" i="38"/>
  <c r="E179" i="38"/>
  <c r="L100" i="35"/>
  <c r="E268" i="38"/>
  <c r="E97" i="38"/>
  <c r="J401" i="38"/>
  <c r="L62" i="35"/>
  <c r="E298" i="38"/>
  <c r="E46" i="38"/>
  <c r="L21" i="37"/>
  <c r="H391" i="38"/>
  <c r="J96" i="35"/>
  <c r="D115" i="38"/>
  <c r="J114" i="35"/>
  <c r="G20" i="38"/>
  <c r="K19" i="35"/>
  <c r="L12" i="35"/>
  <c r="D392" i="38"/>
  <c r="J129" i="35"/>
  <c r="E73" i="38"/>
  <c r="D116" i="38"/>
  <c r="M79" i="35"/>
  <c r="L378" i="35"/>
  <c r="J126" i="35"/>
  <c r="D236" i="38"/>
  <c r="M135" i="35"/>
  <c r="G7" i="38"/>
  <c r="E378" i="38"/>
  <c r="G387" i="38"/>
  <c r="D360" i="38"/>
  <c r="E279" i="38"/>
  <c r="K48" i="35"/>
  <c r="L189" i="35"/>
  <c r="D83" i="38"/>
  <c r="E381" i="38"/>
  <c r="D132" i="38"/>
  <c r="E305" i="38"/>
  <c r="L22" i="37"/>
  <c r="M186" i="35"/>
  <c r="E365" i="38"/>
  <c r="G388" i="38"/>
  <c r="L293" i="35"/>
  <c r="E348" i="38"/>
  <c r="L55" i="35"/>
  <c r="D245" i="38"/>
  <c r="G392" i="38"/>
  <c r="D86" i="38"/>
  <c r="E275" i="38"/>
  <c r="D250" i="38"/>
  <c r="G398" i="38"/>
  <c r="K394" i="38"/>
  <c r="J10" i="35"/>
  <c r="J385" i="38"/>
  <c r="M22" i="35"/>
  <c r="M166" i="35"/>
  <c r="E16" i="38"/>
  <c r="D328" i="38"/>
  <c r="M283" i="35"/>
  <c r="L361" i="35"/>
  <c r="D334" i="38"/>
  <c r="L348" i="35"/>
  <c r="E34" i="38"/>
  <c r="E201" i="38"/>
  <c r="G51" i="38"/>
  <c r="D251" i="38"/>
  <c r="D53" i="38"/>
  <c r="I382" i="38"/>
  <c r="E368" i="38"/>
  <c r="M198" i="35"/>
  <c r="L109" i="35"/>
  <c r="D242" i="38"/>
  <c r="N10" i="37"/>
  <c r="E301" i="38"/>
  <c r="L167" i="35"/>
  <c r="E258" i="38"/>
  <c r="E95" i="38"/>
  <c r="L2" i="37"/>
  <c r="K22" i="35"/>
  <c r="M63" i="35"/>
  <c r="M277" i="35"/>
  <c r="D351" i="38"/>
  <c r="D122" i="38"/>
  <c r="L318" i="35"/>
  <c r="F44" i="38"/>
  <c r="L156" i="35"/>
  <c r="L63" i="35"/>
  <c r="E289" i="38"/>
  <c r="M375" i="35"/>
  <c r="M73" i="35"/>
  <c r="M359" i="35"/>
  <c r="J99" i="35"/>
  <c r="J396" i="38"/>
  <c r="L92" i="35"/>
  <c r="M45" i="35"/>
  <c r="D105" i="38"/>
  <c r="O2" i="37"/>
  <c r="D296" i="38"/>
  <c r="E136" i="38"/>
  <c r="M223" i="35"/>
  <c r="D71" i="38"/>
  <c r="J21" i="37"/>
  <c r="J87" i="35"/>
  <c r="E81" i="38"/>
  <c r="L202" i="35"/>
  <c r="F40" i="38"/>
  <c r="K101" i="35"/>
  <c r="D303" i="38"/>
  <c r="E156" i="38"/>
  <c r="K9" i="37"/>
  <c r="G2" i="38"/>
  <c r="M15" i="37"/>
  <c r="D40" i="38"/>
  <c r="M99" i="35"/>
  <c r="L277" i="35"/>
  <c r="L38" i="35"/>
  <c r="D37" i="38"/>
  <c r="F46" i="38"/>
  <c r="E14" i="38"/>
  <c r="L297" i="35"/>
  <c r="L220" i="35"/>
  <c r="E373" i="38"/>
  <c r="E67" i="38"/>
  <c r="L51" i="35"/>
  <c r="E380" i="38"/>
  <c r="E326" i="38"/>
  <c r="E364" i="38"/>
  <c r="M8" i="37"/>
  <c r="M23" i="37"/>
  <c r="E352" i="38"/>
  <c r="D114" i="38"/>
  <c r="D359" i="38"/>
  <c r="M117" i="35"/>
  <c r="E324" i="38"/>
  <c r="D94" i="38"/>
  <c r="K105" i="35"/>
  <c r="F47" i="38"/>
  <c r="D107" i="38"/>
  <c r="L335" i="35"/>
  <c r="L39" i="35"/>
  <c r="K390" i="38"/>
  <c r="D30" i="38"/>
  <c r="G43" i="38"/>
  <c r="D318" i="38"/>
  <c r="E128" i="38"/>
  <c r="L58" i="35"/>
  <c r="L136" i="35"/>
  <c r="M11" i="37"/>
  <c r="D118" i="38"/>
  <c r="M216" i="35"/>
  <c r="O20" i="37"/>
  <c r="J2" i="37"/>
  <c r="D171" i="38"/>
  <c r="I387" i="38"/>
  <c r="M298" i="35"/>
  <c r="M121" i="35"/>
  <c r="J53" i="35"/>
  <c r="L6" i="37"/>
  <c r="L198" i="35"/>
  <c r="L315" i="35"/>
  <c r="M76" i="35"/>
  <c r="D184" i="38"/>
  <c r="M85" i="35"/>
  <c r="J90" i="35"/>
  <c r="E210" i="38"/>
  <c r="E171" i="38"/>
  <c r="D260" i="38"/>
  <c r="M5" i="35"/>
  <c r="G41" i="38"/>
  <c r="M228" i="35"/>
  <c r="E295" i="38"/>
  <c r="L101" i="35"/>
  <c r="L177" i="35"/>
  <c r="L4" i="37"/>
  <c r="M369" i="35"/>
  <c r="L210" i="35"/>
  <c r="D292" i="38"/>
  <c r="P2" i="37"/>
  <c r="L272" i="35"/>
  <c r="D374" i="38"/>
  <c r="D82" i="38"/>
  <c r="E332" i="38"/>
  <c r="L219" i="35"/>
  <c r="M274" i="35"/>
  <c r="L268" i="35"/>
  <c r="K21" i="35"/>
  <c r="E358" i="38"/>
  <c r="J7" i="37"/>
  <c r="M194" i="35"/>
  <c r="L226" i="35"/>
  <c r="L233" i="35"/>
  <c r="D32" i="38"/>
  <c r="L40" i="35"/>
  <c r="M252" i="35"/>
  <c r="D108" i="38"/>
  <c r="M345" i="35"/>
  <c r="K74" i="35"/>
  <c r="L278" i="35"/>
  <c r="E227" i="38"/>
  <c r="F385" i="38"/>
  <c r="D340" i="38"/>
  <c r="M226" i="35"/>
  <c r="E6" i="38"/>
  <c r="K58" i="35"/>
  <c r="E335" i="38"/>
  <c r="M247" i="35"/>
  <c r="M269" i="35"/>
  <c r="D309" i="38"/>
  <c r="O8" i="37"/>
  <c r="D306" i="38"/>
  <c r="K18" i="37"/>
  <c r="K3" i="37"/>
  <c r="D133" i="38"/>
  <c r="K93" i="35"/>
  <c r="K39" i="35"/>
  <c r="L143" i="35"/>
  <c r="M171" i="35"/>
  <c r="M14" i="35"/>
  <c r="M51" i="35"/>
  <c r="E225" i="38"/>
  <c r="L152" i="35"/>
  <c r="M97" i="35"/>
  <c r="L370" i="35"/>
  <c r="K13" i="35"/>
  <c r="J25" i="35"/>
  <c r="D271" i="38"/>
  <c r="L305" i="35"/>
  <c r="K57" i="35"/>
  <c r="M75" i="35"/>
  <c r="L13" i="35"/>
  <c r="J60" i="35"/>
  <c r="K111" i="35"/>
  <c r="M287" i="35"/>
  <c r="L171" i="35"/>
  <c r="E331" i="38"/>
  <c r="M157" i="35"/>
  <c r="G31" i="38"/>
  <c r="E235" i="38"/>
  <c r="L196" i="35"/>
  <c r="G42" i="38"/>
  <c r="E56" i="38"/>
  <c r="D301" i="38"/>
  <c r="D278" i="38"/>
  <c r="N22" i="37"/>
  <c r="L369" i="35"/>
  <c r="J11" i="35"/>
  <c r="D110" i="38"/>
  <c r="F55" i="38"/>
  <c r="M332" i="35"/>
  <c r="E17" i="38"/>
  <c r="L354" i="35"/>
  <c r="M18" i="37"/>
  <c r="K104" i="35"/>
  <c r="L231" i="35"/>
  <c r="P16" i="37"/>
  <c r="P20" i="37"/>
  <c r="E26" i="38"/>
  <c r="L9" i="37"/>
  <c r="M237" i="35"/>
  <c r="J13" i="37"/>
  <c r="D285" i="38"/>
  <c r="E145" i="38"/>
  <c r="L287" i="35"/>
  <c r="D353" i="38"/>
  <c r="M23" i="35"/>
  <c r="K119" i="35"/>
  <c r="L110" i="35"/>
  <c r="K56" i="35"/>
  <c r="E79" i="38"/>
  <c r="J398" i="38"/>
  <c r="D240" i="38"/>
  <c r="D35" i="38"/>
  <c r="K5" i="37"/>
  <c r="L347" i="35"/>
  <c r="K66" i="35"/>
  <c r="K25" i="35"/>
  <c r="D339" i="38"/>
  <c r="L93" i="35"/>
  <c r="D176" i="38"/>
  <c r="E13" i="38"/>
  <c r="L75" i="35"/>
  <c r="E339" i="38"/>
  <c r="D223" i="38"/>
  <c r="G63" i="38"/>
  <c r="E241" i="38"/>
  <c r="L25" i="35"/>
  <c r="E260" i="38"/>
  <c r="M242" i="35"/>
  <c r="E199" i="38"/>
  <c r="M177" i="35"/>
  <c r="F28" i="38"/>
  <c r="L134" i="35"/>
  <c r="G389" i="38"/>
  <c r="E353" i="38"/>
  <c r="D356" i="38"/>
  <c r="K112" i="35"/>
  <c r="G22" i="38"/>
  <c r="E344" i="38"/>
  <c r="L327" i="35"/>
  <c r="J16" i="35"/>
  <c r="M291" i="35"/>
  <c r="D314" i="38"/>
  <c r="E255" i="38"/>
  <c r="F57" i="38"/>
  <c r="J47" i="35"/>
  <c r="E29" i="38"/>
  <c r="L160" i="35"/>
  <c r="E274" i="38"/>
  <c r="D96" i="38"/>
  <c r="E209" i="38"/>
  <c r="E176" i="38"/>
  <c r="L5" i="35"/>
  <c r="O15" i="37"/>
  <c r="L360" i="35"/>
  <c r="K60" i="35"/>
  <c r="L151" i="35"/>
  <c r="L21" i="35"/>
  <c r="E292" i="38"/>
  <c r="L45" i="35"/>
  <c r="D196" i="38"/>
  <c r="E44" i="38"/>
  <c r="D289" i="38"/>
  <c r="L80" i="35"/>
  <c r="J117" i="35"/>
  <c r="E211" i="38"/>
  <c r="K97" i="35"/>
  <c r="D331" i="38"/>
  <c r="K19" i="37"/>
  <c r="N13" i="37"/>
  <c r="D33" i="38"/>
  <c r="L106" i="35"/>
  <c r="E52" i="38"/>
  <c r="M119" i="35"/>
  <c r="E251" i="38"/>
  <c r="J31" i="35"/>
  <c r="L333" i="35"/>
  <c r="F62" i="38"/>
  <c r="F42" i="38"/>
  <c r="E5" i="38"/>
  <c r="D85" i="38"/>
  <c r="E184" i="38"/>
  <c r="L367" i="35"/>
  <c r="E200" i="38"/>
  <c r="P14" i="37"/>
  <c r="L23" i="35"/>
  <c r="E168" i="38"/>
  <c r="D79" i="38"/>
  <c r="M106" i="35"/>
  <c r="D50" i="38"/>
  <c r="D84" i="38"/>
  <c r="E8" i="38"/>
  <c r="E177" i="38"/>
  <c r="D124" i="38"/>
  <c r="M308" i="35"/>
  <c r="D80" i="38"/>
  <c r="D270" i="38"/>
  <c r="L289" i="35"/>
  <c r="D234" i="38"/>
  <c r="E149" i="38"/>
  <c r="F10" i="38"/>
  <c r="D218" i="38"/>
  <c r="M221" i="35"/>
  <c r="K124" i="35"/>
  <c r="D175" i="38"/>
  <c r="L33" i="35"/>
  <c r="M365" i="35"/>
  <c r="K83" i="35"/>
  <c r="M231" i="35"/>
  <c r="D281" i="38"/>
  <c r="M263" i="35"/>
  <c r="L242" i="35"/>
  <c r="D291" i="38"/>
  <c r="L37" i="35"/>
  <c r="L16" i="37"/>
  <c r="L285" i="35"/>
  <c r="L16" i="35"/>
  <c r="O13" i="37"/>
  <c r="J124" i="35"/>
  <c r="K383" i="38"/>
  <c r="K84" i="35"/>
  <c r="E153" i="38"/>
  <c r="N6" i="37"/>
  <c r="L251" i="35"/>
  <c r="L193" i="35"/>
  <c r="J58" i="35"/>
  <c r="D371" i="38"/>
  <c r="M55" i="35"/>
  <c r="K7" i="37"/>
  <c r="M50" i="35"/>
  <c r="L3" i="37"/>
  <c r="L280" i="35"/>
  <c r="G17" i="38"/>
  <c r="D227" i="38"/>
  <c r="M314" i="35"/>
  <c r="L17" i="37"/>
  <c r="N3" i="37"/>
  <c r="L332" i="35"/>
  <c r="G65" i="38"/>
  <c r="D402" i="38"/>
  <c r="K133" i="35"/>
  <c r="K380" i="38"/>
  <c r="J380" i="38"/>
  <c r="M6" i="37"/>
  <c r="L95" i="35"/>
  <c r="M276" i="35"/>
  <c r="E48" i="38"/>
  <c r="D376" i="38"/>
  <c r="E221" i="38"/>
  <c r="J387" i="38"/>
  <c r="L217" i="35"/>
  <c r="M124" i="35"/>
  <c r="K45" i="35"/>
  <c r="H389" i="38"/>
  <c r="M129" i="35"/>
  <c r="E336" i="38"/>
  <c r="E240" i="38"/>
  <c r="D283" i="38"/>
  <c r="L158" i="35"/>
  <c r="K88" i="35"/>
  <c r="M310" i="35"/>
  <c r="P3" i="37"/>
  <c r="E188" i="38"/>
  <c r="E351" i="38"/>
  <c r="D347" i="38"/>
  <c r="E130" i="38"/>
  <c r="D349" i="38"/>
  <c r="K132" i="35"/>
  <c r="D207" i="38"/>
  <c r="M132" i="35"/>
  <c r="D72" i="38"/>
  <c r="K49" i="35"/>
  <c r="D393" i="38"/>
  <c r="M238" i="35"/>
  <c r="F400" i="38"/>
  <c r="H395" i="38"/>
  <c r="L365" i="35"/>
  <c r="L304" i="35"/>
  <c r="M362" i="35"/>
  <c r="E157" i="38"/>
  <c r="D28" i="38"/>
  <c r="E340" i="38"/>
  <c r="L373" i="35"/>
  <c r="E281" i="38"/>
  <c r="E23" i="38"/>
  <c r="L307" i="35"/>
  <c r="E226" i="38"/>
  <c r="P7" i="37"/>
  <c r="E389" i="38"/>
  <c r="O10" i="37"/>
  <c r="P18" i="37"/>
  <c r="M299" i="35"/>
  <c r="E314" i="38"/>
  <c r="E356" i="38"/>
  <c r="M300" i="35"/>
  <c r="D65" i="38"/>
  <c r="G386" i="38"/>
  <c r="J393" i="38"/>
  <c r="L372" i="35"/>
  <c r="D380" i="38"/>
  <c r="L203" i="35"/>
  <c r="E194" i="38"/>
  <c r="E387" i="38"/>
  <c r="D93" i="38"/>
  <c r="G26" i="38"/>
  <c r="L73" i="35"/>
  <c r="J9" i="35"/>
  <c r="D181" i="38"/>
  <c r="L324" i="35"/>
  <c r="D261" i="38"/>
  <c r="L339" i="35"/>
  <c r="D6" i="38"/>
  <c r="D298" i="38"/>
  <c r="M349" i="35"/>
  <c r="E132" i="38"/>
  <c r="L234" i="35"/>
  <c r="L138" i="35"/>
  <c r="M151" i="35"/>
  <c r="P4" i="37"/>
  <c r="E343" i="38"/>
  <c r="O14" i="37"/>
  <c r="D399" i="38"/>
  <c r="N9" i="37"/>
  <c r="L225" i="35"/>
  <c r="E277" i="38"/>
  <c r="L306" i="35"/>
  <c r="H397" i="38"/>
  <c r="E122" i="38"/>
  <c r="I380" i="38"/>
  <c r="J8" i="37"/>
  <c r="K70" i="35"/>
  <c r="E148" i="38"/>
  <c r="Q19" i="37"/>
  <c r="E27" i="38"/>
  <c r="M81" i="35"/>
  <c r="J10" i="37"/>
  <c r="M98" i="35"/>
  <c r="M78" i="35"/>
  <c r="M301" i="35"/>
  <c r="L259" i="35"/>
  <c r="D155" i="38"/>
  <c r="M24" i="37"/>
  <c r="E7" i="38"/>
  <c r="E37" i="38"/>
  <c r="M188" i="35"/>
  <c r="L4" i="35"/>
  <c r="D248" i="38"/>
  <c r="K71" i="35"/>
  <c r="E204" i="38"/>
  <c r="E238" i="38"/>
  <c r="O24" i="37"/>
  <c r="M103" i="35"/>
  <c r="D221" i="38"/>
  <c r="D210" i="38"/>
  <c r="F387" i="38"/>
  <c r="K11" i="35"/>
  <c r="M213" i="35"/>
  <c r="M160" i="35"/>
  <c r="M342" i="35"/>
  <c r="D387" i="38"/>
  <c r="L239" i="35"/>
  <c r="L273" i="35"/>
  <c r="M118" i="35"/>
  <c r="G397" i="38"/>
  <c r="D140" i="38"/>
  <c r="L120" i="35"/>
  <c r="M355" i="35"/>
  <c r="D259" i="38"/>
  <c r="L12" i="37"/>
  <c r="L261" i="35"/>
  <c r="M3" i="37"/>
  <c r="J110" i="35"/>
  <c r="E309" i="38"/>
  <c r="M68" i="35"/>
  <c r="N17" i="37"/>
  <c r="M112" i="35"/>
  <c r="D90" i="38"/>
  <c r="L137" i="35"/>
  <c r="L379" i="35"/>
  <c r="J88" i="35"/>
  <c r="D147" i="38"/>
  <c r="L114" i="35"/>
  <c r="L284" i="35"/>
  <c r="D48" i="38"/>
  <c r="M133" i="35"/>
  <c r="H398" i="38"/>
  <c r="K85" i="35"/>
  <c r="M53" i="35"/>
  <c r="E115" i="38"/>
  <c r="E57" i="38"/>
  <c r="K76" i="35"/>
  <c r="D192" i="38"/>
  <c r="M275" i="35"/>
  <c r="K21" i="37"/>
  <c r="L20" i="35"/>
  <c r="L325" i="35"/>
  <c r="M230" i="35"/>
  <c r="E375" i="38"/>
  <c r="M202" i="35"/>
  <c r="N5" i="37"/>
  <c r="L296" i="35"/>
  <c r="M322" i="35"/>
  <c r="M225" i="35"/>
  <c r="E40" i="38"/>
  <c r="Q8" i="37"/>
  <c r="P12" i="37"/>
  <c r="E189" i="38"/>
  <c r="K114" i="35"/>
  <c r="E85" i="38"/>
  <c r="G11" i="38"/>
  <c r="L353" i="35"/>
  <c r="G25" i="38"/>
  <c r="L130" i="35"/>
  <c r="D102" i="38"/>
  <c r="M28" i="35"/>
  <c r="M37" i="35"/>
  <c r="L97" i="35"/>
  <c r="M130" i="35"/>
  <c r="J24" i="37"/>
  <c r="L319" i="35"/>
  <c r="P13" i="37"/>
  <c r="K62" i="35"/>
  <c r="Q10" i="37"/>
  <c r="K392" i="38"/>
  <c r="M156" i="35"/>
  <c r="M376" i="35"/>
  <c r="M364" i="35"/>
  <c r="J3" i="37"/>
  <c r="D279" i="38"/>
  <c r="M309" i="35"/>
  <c r="F54" i="38"/>
  <c r="N21" i="37"/>
  <c r="M336" i="35"/>
  <c r="M108" i="35"/>
  <c r="D60" i="38"/>
  <c r="O5" i="37"/>
  <c r="L295" i="35"/>
  <c r="M49" i="35"/>
  <c r="D229" i="38"/>
  <c r="J73" i="35"/>
  <c r="I394" i="38"/>
  <c r="L237" i="35"/>
  <c r="M270" i="35"/>
  <c r="K52" i="35"/>
  <c r="M178" i="35"/>
  <c r="H384" i="38"/>
  <c r="J14" i="35"/>
  <c r="M40" i="35"/>
  <c r="L300" i="35"/>
  <c r="J37" i="35"/>
  <c r="G35" i="38"/>
  <c r="L375" i="35"/>
  <c r="E223" i="38"/>
  <c r="E116" i="38"/>
  <c r="F386" i="38"/>
  <c r="D364" i="38"/>
  <c r="M94" i="35"/>
  <c r="M244" i="35"/>
  <c r="K17" i="35"/>
  <c r="N14" i="37"/>
  <c r="J119" i="35"/>
  <c r="L248" i="35"/>
  <c r="L98" i="35"/>
  <c r="L170" i="35"/>
  <c r="L121" i="35"/>
  <c r="L14" i="35"/>
  <c r="D243" i="38"/>
  <c r="F6" i="38"/>
  <c r="M168" i="35"/>
  <c r="L24" i="35"/>
  <c r="J17" i="35"/>
  <c r="L207" i="35"/>
  <c r="L17" i="35"/>
  <c r="F32" i="38"/>
  <c r="D34" i="38"/>
  <c r="D24" i="38"/>
  <c r="H386" i="38"/>
  <c r="L223" i="35"/>
  <c r="K23" i="37"/>
  <c r="E247" i="38"/>
  <c r="E53" i="38"/>
  <c r="M218" i="35"/>
  <c r="O3" i="37"/>
  <c r="M285" i="35"/>
  <c r="E243" i="38"/>
  <c r="L88" i="35"/>
  <c r="L67" i="35"/>
  <c r="E349" i="38"/>
  <c r="D142" i="38"/>
  <c r="L147" i="35"/>
  <c r="E25" i="38"/>
  <c r="M29" i="35"/>
  <c r="O18" i="37"/>
  <c r="D145" i="38"/>
  <c r="D266" i="38"/>
  <c r="E49" i="38"/>
  <c r="K98" i="35"/>
  <c r="L344" i="35"/>
  <c r="M201" i="35"/>
  <c r="M43" i="35"/>
  <c r="E195" i="38"/>
  <c r="L181" i="35"/>
  <c r="J23" i="35"/>
  <c r="F34" i="38"/>
  <c r="E202" i="38"/>
  <c r="E54" i="38"/>
  <c r="K69" i="35"/>
  <c r="F14" i="38"/>
  <c r="L340" i="35"/>
  <c r="M196" i="35"/>
  <c r="D91" i="38"/>
  <c r="H401" i="38"/>
  <c r="M65" i="35"/>
  <c r="J49" i="35"/>
  <c r="P23" i="37"/>
  <c r="E182" i="38"/>
  <c r="H392" i="38"/>
  <c r="E155" i="38"/>
  <c r="L191" i="35"/>
  <c r="L186" i="35"/>
  <c r="D10" i="38"/>
  <c r="Q12" i="37"/>
  <c r="E92" i="38"/>
  <c r="M105" i="35"/>
  <c r="J70" i="35"/>
  <c r="D220" i="38"/>
  <c r="M12" i="37"/>
  <c r="G34" i="38"/>
  <c r="L377" i="35"/>
  <c r="D134" i="38"/>
  <c r="E159" i="38"/>
  <c r="J131" i="35"/>
  <c r="D225" i="38"/>
  <c r="M139" i="35"/>
  <c r="M357" i="35"/>
  <c r="D168" i="38"/>
  <c r="J45" i="35"/>
  <c r="M338" i="35"/>
  <c r="D308" i="38"/>
  <c r="D200" i="38"/>
  <c r="L135" i="35"/>
  <c r="M305" i="35"/>
  <c r="L30" i="35"/>
  <c r="J22" i="37"/>
  <c r="D88" i="38"/>
  <c r="L131" i="35"/>
  <c r="M176" i="35"/>
  <c r="M227" i="35"/>
  <c r="M256" i="35"/>
  <c r="L125" i="35"/>
  <c r="K14" i="35"/>
  <c r="K40" i="35"/>
  <c r="D284" i="38"/>
  <c r="K11" i="37"/>
  <c r="E385" i="38"/>
  <c r="D246" i="38"/>
  <c r="L330" i="35"/>
  <c r="L244" i="35"/>
  <c r="M288" i="35"/>
  <c r="K67" i="35"/>
  <c r="E244" i="38"/>
  <c r="K4" i="37"/>
  <c r="F33" i="38"/>
  <c r="M174" i="35"/>
  <c r="M187" i="35"/>
  <c r="D400" i="38"/>
  <c r="M210" i="35"/>
  <c r="L308" i="35"/>
  <c r="D307" i="38"/>
  <c r="E70" i="38"/>
  <c r="L27" i="35"/>
  <c r="E135" i="38"/>
  <c r="M16" i="37"/>
  <c r="L337" i="35"/>
  <c r="L19" i="37"/>
  <c r="D231" i="38"/>
  <c r="J34" i="35"/>
  <c r="M44" i="35"/>
  <c r="D156" i="38"/>
  <c r="M24" i="35"/>
  <c r="Q9" i="37"/>
  <c r="J120" i="35"/>
  <c r="L133" i="35"/>
  <c r="L179" i="35"/>
  <c r="L212" i="35"/>
  <c r="L276" i="35"/>
  <c r="D384" i="38"/>
  <c r="M17" i="37"/>
  <c r="G399" i="38"/>
  <c r="L172" i="35"/>
  <c r="N20" i="37"/>
  <c r="K6" i="35"/>
  <c r="L29" i="35"/>
  <c r="M15" i="35"/>
  <c r="M67" i="35"/>
  <c r="F9" i="38"/>
  <c r="E208" i="38"/>
  <c r="D14" i="38"/>
  <c r="M241" i="35"/>
  <c r="G395" i="38"/>
  <c r="M134" i="35"/>
  <c r="L288" i="35"/>
  <c r="M363" i="35"/>
  <c r="D398" i="38"/>
  <c r="E254" i="38"/>
  <c r="I398" i="38"/>
  <c r="M246" i="35"/>
  <c r="E367" i="38"/>
  <c r="D139" i="38"/>
  <c r="M91" i="35"/>
  <c r="K16" i="37"/>
  <c r="L14" i="37"/>
  <c r="D193" i="38"/>
  <c r="H387" i="38"/>
  <c r="L218" i="35"/>
  <c r="L85" i="35"/>
  <c r="D13" i="38"/>
  <c r="E109" i="38"/>
  <c r="D342" i="38"/>
  <c r="L184" i="35"/>
  <c r="M140" i="35"/>
  <c r="I396" i="38"/>
  <c r="E65" i="38"/>
  <c r="D354" i="38"/>
  <c r="Q4" i="37"/>
  <c r="N4" i="37"/>
  <c r="D172" i="38"/>
  <c r="D177" i="38"/>
  <c r="D183" i="38"/>
  <c r="M14" i="37"/>
  <c r="D195" i="38"/>
  <c r="K78" i="35"/>
  <c r="I388" i="38"/>
  <c r="L350" i="35"/>
  <c r="D153" i="38"/>
  <c r="F389" i="38"/>
  <c r="M337" i="35"/>
  <c r="J9" i="37"/>
  <c r="M282" i="35"/>
  <c r="D180" i="38"/>
  <c r="M358" i="35"/>
  <c r="G32" i="38"/>
  <c r="M257" i="35"/>
  <c r="M16" i="35"/>
  <c r="L90" i="35"/>
  <c r="L323" i="35"/>
  <c r="E206" i="38"/>
  <c r="M323" i="35"/>
  <c r="M317" i="35"/>
  <c r="L175" i="35"/>
  <c r="D263" i="38"/>
  <c r="D154" i="38"/>
  <c r="M335" i="35"/>
  <c r="M57" i="35"/>
  <c r="E207" i="38"/>
  <c r="M146" i="35"/>
  <c r="L263" i="35"/>
  <c r="M234" i="35"/>
  <c r="E334" i="38"/>
  <c r="E218" i="38"/>
  <c r="E307" i="38"/>
  <c r="D203" i="38"/>
  <c r="M290" i="35"/>
  <c r="E58" i="38"/>
  <c r="I389" i="38"/>
  <c r="J113" i="35"/>
  <c r="K51" i="35"/>
  <c r="L204" i="35"/>
  <c r="E217" i="38"/>
  <c r="L71" i="35"/>
  <c r="J118" i="35"/>
  <c r="J35" i="35"/>
  <c r="D39" i="38"/>
  <c r="K20" i="35"/>
  <c r="E248" i="38"/>
  <c r="E112" i="38"/>
  <c r="L236" i="35"/>
  <c r="E214" i="38"/>
  <c r="M84" i="35"/>
  <c r="D375" i="38"/>
  <c r="D185" i="38"/>
  <c r="D202" i="38"/>
  <c r="L190" i="35"/>
  <c r="J395" i="38"/>
  <c r="J67" i="35"/>
  <c r="D352" i="38"/>
  <c r="F398" i="38"/>
  <c r="D186" i="38"/>
  <c r="M209" i="35"/>
  <c r="M111" i="35"/>
  <c r="D327" i="38"/>
  <c r="E9" i="38"/>
  <c r="L264" i="35"/>
  <c r="M261" i="35"/>
  <c r="L162" i="35"/>
  <c r="E10" i="38"/>
  <c r="M62" i="35"/>
  <c r="D222" i="38"/>
  <c r="E338" i="38"/>
  <c r="L253" i="35"/>
  <c r="E337" i="38"/>
  <c r="E134" i="38"/>
  <c r="K91" i="35"/>
  <c r="M158" i="35"/>
  <c r="M297" i="35"/>
  <c r="F380" i="38"/>
  <c r="D189" i="38"/>
  <c r="M378" i="35"/>
  <c r="J78" i="35"/>
  <c r="L42" i="35"/>
  <c r="K100" i="35"/>
  <c r="D61" i="38"/>
  <c r="E62" i="38"/>
  <c r="L5" i="37"/>
  <c r="F13" i="38"/>
  <c r="J16" i="37"/>
  <c r="F401" i="38"/>
  <c r="K94" i="35"/>
  <c r="E242" i="38"/>
  <c r="M333" i="35"/>
  <c r="M284" i="35"/>
  <c r="L275" i="35"/>
  <c r="D358" i="38"/>
  <c r="L351" i="35"/>
  <c r="D54" i="38"/>
  <c r="D294" i="38"/>
  <c r="P5" i="37"/>
  <c r="J50" i="35"/>
  <c r="D357" i="38"/>
  <c r="L209" i="35"/>
  <c r="K30" i="35"/>
  <c r="M339" i="35"/>
  <c r="D76" i="38"/>
  <c r="E191" i="38"/>
  <c r="L15" i="37"/>
  <c r="J85" i="35"/>
  <c r="D379" i="38"/>
  <c r="E253" i="38"/>
  <c r="L19" i="35"/>
  <c r="M102" i="35"/>
  <c r="L290" i="35"/>
  <c r="G54" i="38"/>
  <c r="E76" i="38"/>
  <c r="K75" i="35"/>
  <c r="K38" i="35"/>
  <c r="L123" i="35"/>
  <c r="D346" i="38"/>
  <c r="O11" i="37"/>
  <c r="M7" i="37"/>
  <c r="J76" i="35"/>
  <c r="D158" i="38"/>
  <c r="J19" i="37"/>
  <c r="D214" i="38"/>
  <c r="L28" i="35"/>
  <c r="E222" i="38"/>
  <c r="L215" i="35"/>
  <c r="D350" i="38"/>
  <c r="D302" i="38"/>
  <c r="E304" i="38"/>
  <c r="M131" i="35"/>
  <c r="D17" i="38"/>
  <c r="E197" i="38"/>
  <c r="K125" i="35"/>
  <c r="G5" i="38"/>
  <c r="K73" i="35"/>
  <c r="H385" i="38"/>
  <c r="L102" i="35"/>
  <c r="D383" i="38"/>
  <c r="J24" i="35"/>
  <c r="D92" i="38"/>
  <c r="E291" i="38"/>
  <c r="F2" i="38"/>
  <c r="M58" i="35"/>
  <c r="D188" i="38"/>
  <c r="D337" i="38"/>
  <c r="M93" i="35"/>
  <c r="E350" i="38"/>
  <c r="L329" i="35"/>
  <c r="L169" i="35"/>
  <c r="J127" i="35"/>
  <c r="L60" i="35"/>
  <c r="K37" i="35"/>
  <c r="L301" i="35"/>
  <c r="K2" i="37"/>
  <c r="M245" i="35"/>
  <c r="J91" i="35"/>
  <c r="M279" i="35"/>
  <c r="M163" i="35"/>
  <c r="D190" i="38"/>
  <c r="M260" i="35"/>
  <c r="J81" i="35"/>
  <c r="L254" i="35"/>
  <c r="E379" i="38"/>
  <c r="J56" i="35"/>
  <c r="E102" i="38"/>
  <c r="E151" i="38"/>
  <c r="L208" i="35"/>
  <c r="J40" i="35"/>
  <c r="D199" i="38"/>
  <c r="L74" i="35"/>
  <c r="K99" i="35"/>
  <c r="N2" i="37"/>
  <c r="J399" i="38"/>
  <c r="D233" i="38"/>
  <c r="K90" i="35"/>
  <c r="D275" i="38"/>
  <c r="F56" i="38"/>
  <c r="D137" i="38"/>
  <c r="E38" i="38"/>
  <c r="J381" i="38"/>
  <c r="E341" i="38"/>
  <c r="L194" i="35"/>
  <c r="L13" i="37"/>
  <c r="G27" i="38"/>
  <c r="L362" i="35"/>
  <c r="E55" i="38"/>
  <c r="L99" i="35"/>
  <c r="M356" i="35"/>
  <c r="D125" i="38"/>
  <c r="N8" i="37"/>
  <c r="J4" i="37"/>
  <c r="E50" i="38"/>
  <c r="E33" i="38"/>
  <c r="L374" i="35"/>
  <c r="D335" i="38"/>
  <c r="L153" i="35"/>
  <c r="E232" i="38"/>
  <c r="L47" i="35"/>
  <c r="L363" i="35"/>
  <c r="M33" i="35"/>
  <c r="Q7" i="37"/>
  <c r="M217" i="35"/>
  <c r="D338" i="38"/>
  <c r="L20" i="37"/>
  <c r="L345" i="35"/>
  <c r="D45" i="38"/>
  <c r="M229" i="35"/>
  <c r="L206" i="35"/>
  <c r="E228" i="38"/>
  <c r="N19" i="37"/>
  <c r="M109" i="35"/>
  <c r="M181" i="35"/>
  <c r="E31" i="38"/>
  <c r="J130" i="35"/>
  <c r="E35" i="38"/>
  <c r="D390" i="38"/>
  <c r="E106" i="38"/>
  <c r="D148" i="38"/>
  <c r="K4" i="35"/>
  <c r="M200" i="35"/>
  <c r="K400" i="38"/>
  <c r="J6" i="37"/>
  <c r="J51" i="35"/>
  <c r="L205" i="35"/>
  <c r="K102" i="35"/>
  <c r="D205" i="38"/>
  <c r="D265" i="38"/>
  <c r="D267" i="38"/>
  <c r="L163" i="35"/>
  <c r="M307" i="35"/>
  <c r="M175" i="35"/>
  <c r="J390" i="38"/>
  <c r="K15" i="35"/>
  <c r="K28" i="35"/>
  <c r="M334" i="35"/>
  <c r="L139" i="35"/>
  <c r="M331" i="35"/>
  <c r="D215" i="38"/>
  <c r="M266" i="35"/>
  <c r="M47" i="35"/>
  <c r="E121" i="38"/>
  <c r="D216" i="38"/>
  <c r="M366" i="35"/>
  <c r="M20" i="37"/>
  <c r="D213" i="38"/>
  <c r="J74" i="35"/>
  <c r="D209" i="38"/>
  <c r="K47" i="35"/>
  <c r="J39" i="35"/>
  <c r="D160" i="38"/>
  <c r="L368" i="35"/>
  <c r="E71" i="38"/>
  <c r="M35" i="35"/>
  <c r="D239" i="38"/>
  <c r="L341" i="35"/>
  <c r="M2" i="35"/>
  <c r="M161" i="35"/>
  <c r="M13" i="35"/>
  <c r="M138" i="35"/>
  <c r="E346" i="38"/>
  <c r="M295" i="35"/>
  <c r="L108" i="35"/>
  <c r="M326" i="35"/>
  <c r="E173" i="38"/>
  <c r="J44" i="35"/>
  <c r="M379" i="35"/>
  <c r="E276" i="38"/>
  <c r="L326" i="35"/>
  <c r="J12" i="37"/>
  <c r="D149" i="38"/>
  <c r="K35" i="35"/>
  <c r="K6" i="37"/>
  <c r="J38" i="35"/>
  <c r="L316" i="35"/>
  <c r="M204" i="35"/>
  <c r="E297" i="38"/>
  <c r="M243" i="35"/>
  <c r="M22" i="37"/>
  <c r="K396" i="38"/>
  <c r="E144" i="38"/>
  <c r="L355" i="35"/>
  <c r="D143" i="38"/>
  <c r="D8" i="38"/>
  <c r="L122" i="35"/>
  <c r="E190" i="38"/>
  <c r="J94" i="35"/>
  <c r="M123" i="35"/>
  <c r="M316" i="35"/>
  <c r="L105" i="35"/>
  <c r="Q23" i="37"/>
  <c r="D27" i="38"/>
  <c r="L235" i="35"/>
  <c r="L221" i="35"/>
  <c r="M64" i="35"/>
  <c r="D237" i="38"/>
  <c r="L65" i="35"/>
  <c r="J46" i="35"/>
  <c r="J13" i="35"/>
  <c r="M66" i="35"/>
  <c r="M341" i="35"/>
  <c r="K13" i="37"/>
  <c r="D197" i="38"/>
  <c r="E267" i="38"/>
  <c r="L154" i="35"/>
  <c r="G9" i="38"/>
  <c r="D211" i="38"/>
  <c r="M368" i="35"/>
  <c r="L35" i="35"/>
  <c r="E231" i="38"/>
  <c r="K34" i="35"/>
  <c r="K16" i="35"/>
  <c r="E372" i="38"/>
  <c r="D217" i="38"/>
  <c r="Q13" i="37"/>
  <c r="M203" i="35"/>
  <c r="M289" i="35"/>
  <c r="J5" i="37"/>
  <c r="P17" i="37"/>
  <c r="K82" i="35"/>
  <c r="E393" i="38"/>
  <c r="D299" i="38"/>
  <c r="L50" i="35"/>
  <c r="K120" i="35"/>
  <c r="D63" i="38"/>
  <c r="F61" i="38"/>
  <c r="L142" i="35"/>
  <c r="G50" i="38"/>
  <c r="D95" i="38"/>
  <c r="D159" i="38"/>
  <c r="M11" i="35"/>
  <c r="E354" i="38"/>
  <c r="D194" i="38"/>
  <c r="M148" i="35"/>
  <c r="M280" i="35"/>
  <c r="K17" i="37"/>
  <c r="M306" i="35"/>
  <c r="L111" i="35"/>
  <c r="J66" i="35"/>
  <c r="F65" i="38"/>
  <c r="L2" i="35"/>
  <c r="L166" i="35"/>
  <c r="M145" i="35"/>
  <c r="L36" i="35"/>
  <c r="M271" i="35"/>
  <c r="M235" i="35"/>
  <c r="F31" i="38"/>
  <c r="L211" i="35"/>
  <c r="M153" i="35"/>
  <c r="O17" i="37"/>
  <c r="D365" i="38"/>
  <c r="Q2" i="37"/>
  <c r="L376" i="35"/>
  <c r="D164" i="38"/>
  <c r="M189" i="35"/>
  <c r="F20" i="38"/>
  <c r="E36" i="38"/>
  <c r="D138" i="38"/>
  <c r="D322" i="38"/>
  <c r="L216" i="35"/>
  <c r="L124" i="35"/>
  <c r="D373" i="38"/>
  <c r="F67" i="38"/>
  <c r="F396" i="38"/>
  <c r="M147" i="35"/>
  <c r="N15" i="37"/>
  <c r="K107" i="35"/>
  <c r="J112" i="35"/>
  <c r="J400" i="38"/>
  <c r="M233" i="35"/>
  <c r="J20" i="35"/>
  <c r="L260" i="35"/>
  <c r="G33" i="38"/>
  <c r="K15" i="37"/>
  <c r="M172" i="35"/>
  <c r="L70" i="35"/>
  <c r="D174" i="38"/>
  <c r="L346" i="35"/>
  <c r="E299" i="38"/>
  <c r="E163" i="38"/>
  <c r="E359" i="38"/>
  <c r="M155" i="35"/>
  <c r="D232" i="38"/>
  <c r="L334" i="35"/>
  <c r="M122" i="35"/>
  <c r="D385" i="38"/>
  <c r="D224" i="38"/>
  <c r="M232" i="35"/>
  <c r="L69" i="35"/>
  <c r="M116" i="35"/>
  <c r="D74" i="38"/>
  <c r="L229" i="35"/>
  <c r="D343" i="38"/>
  <c r="Q22" i="37"/>
  <c r="M88" i="35"/>
  <c r="L359" i="35"/>
  <c r="G64" i="38"/>
  <c r="D368" i="38"/>
  <c r="M259" i="35"/>
  <c r="K130" i="35"/>
  <c r="D397" i="38"/>
  <c r="E63" i="38"/>
  <c r="M149" i="35"/>
  <c r="E257" i="38"/>
  <c r="D363" i="38"/>
  <c r="L232" i="35"/>
  <c r="J103" i="35"/>
  <c r="D255" i="38"/>
  <c r="J18" i="37"/>
  <c r="D280" i="38"/>
  <c r="M264" i="35"/>
  <c r="P6" i="37"/>
  <c r="E69" i="38"/>
  <c r="D29" i="38"/>
  <c r="L338" i="35"/>
  <c r="M185" i="35"/>
  <c r="L266" i="35"/>
  <c r="D99" i="38"/>
  <c r="J15" i="37"/>
  <c r="J102" i="35"/>
  <c r="L32" i="35"/>
  <c r="M222" i="35"/>
  <c r="J72" i="35"/>
  <c r="K9" i="35"/>
  <c r="E355" i="38"/>
  <c r="D370" i="38"/>
  <c r="L178" i="35"/>
  <c r="E213" i="38"/>
  <c r="E196" i="38"/>
  <c r="K121" i="35"/>
  <c r="P21" i="37"/>
  <c r="L7" i="35"/>
  <c r="M281" i="35"/>
  <c r="L141" i="35"/>
  <c r="D173" i="38"/>
  <c r="M344" i="35"/>
  <c r="L155" i="35"/>
  <c r="G19" i="38"/>
  <c r="F8" i="38"/>
  <c r="G58" i="38"/>
  <c r="E261" i="38"/>
  <c r="E72" i="38"/>
  <c r="L292" i="35"/>
  <c r="N12" i="37"/>
  <c r="M17" i="35"/>
  <c r="D152" i="38"/>
  <c r="F35" i="38"/>
  <c r="K14" i="37"/>
  <c r="M4" i="37"/>
  <c r="K64" i="35"/>
  <c r="M318" i="35"/>
  <c r="J21" i="35"/>
  <c r="N7" i="37"/>
  <c r="L161" i="35"/>
  <c r="L82" i="35"/>
  <c r="M370" i="35"/>
  <c r="E198" i="38"/>
  <c r="M34" i="35"/>
  <c r="K87" i="35"/>
  <c r="J64" i="35"/>
  <c r="D389" i="38"/>
  <c r="K10" i="37"/>
  <c r="J123" i="35"/>
  <c r="K95" i="35"/>
  <c r="J32" i="35"/>
  <c r="E21" i="38"/>
  <c r="D252" i="38"/>
  <c r="F382" i="38"/>
  <c r="L11" i="37"/>
  <c r="M70" i="35"/>
  <c r="L146" i="35"/>
  <c r="J111" i="35"/>
  <c r="M4" i="35"/>
  <c r="Q5" i="37"/>
  <c r="F49" i="38"/>
  <c r="I390" i="38"/>
  <c r="M180" i="35"/>
  <c r="E306" i="38"/>
  <c r="K53" i="35"/>
  <c r="E161" i="38"/>
  <c r="J17" i="37"/>
  <c r="P8" i="37"/>
  <c r="L331" i="35"/>
  <c r="M113" i="35"/>
  <c r="E80" i="38"/>
  <c r="M52" i="35"/>
  <c r="K72" i="35"/>
  <c r="M205" i="35"/>
  <c r="M72" i="35"/>
  <c r="E233" i="38"/>
  <c r="M74" i="35"/>
  <c r="Q14" i="37"/>
  <c r="E234" i="38"/>
  <c r="E357" i="38"/>
  <c r="M273" i="35"/>
  <c r="M164" i="35"/>
  <c r="E347" i="38"/>
  <c r="L197" i="35"/>
  <c r="E158" i="38"/>
  <c r="M154" i="35"/>
  <c r="J15" i="35"/>
  <c r="L336" i="35"/>
  <c r="J7" i="35"/>
  <c r="L168" i="35"/>
  <c r="L222" i="35"/>
  <c r="F383" i="38"/>
  <c r="E400" i="38"/>
  <c r="M353" i="35"/>
  <c r="E250" i="38"/>
  <c r="L72" i="35"/>
  <c r="K23" i="35"/>
  <c r="D391" i="38"/>
  <c r="M330" i="35"/>
  <c r="M110" i="35"/>
  <c r="J63" i="35"/>
  <c r="M373" i="35"/>
  <c r="E396" i="38"/>
  <c r="E64" i="38"/>
  <c r="L199" i="35"/>
  <c r="M346" i="35"/>
  <c r="D179" i="38"/>
  <c r="F7" i="38"/>
  <c r="J98" i="35"/>
  <c r="E162" i="38"/>
  <c r="K115" i="35"/>
  <c r="L357" i="35"/>
  <c r="L298" i="35"/>
  <c r="M348" i="35"/>
  <c r="L52" i="35"/>
  <c r="M173" i="35"/>
  <c r="E239" i="38"/>
  <c r="M56" i="35"/>
  <c r="L321" i="35"/>
  <c r="E328" i="38"/>
  <c r="K127" i="35"/>
  <c r="J11" i="37"/>
  <c r="M361" i="35"/>
  <c r="L10" i="37"/>
  <c r="M347" i="35"/>
  <c r="J75" i="35"/>
  <c r="Q18" i="37"/>
  <c r="D163" i="38"/>
  <c r="G18" i="38"/>
  <c r="K122" i="35"/>
  <c r="P9" i="37"/>
  <c r="E308" i="38"/>
  <c r="D238" i="38"/>
  <c r="L11" i="35"/>
  <c r="K8" i="37"/>
  <c r="J384" i="38"/>
  <c r="K7" i="35"/>
  <c r="E286" i="38"/>
  <c r="L64" i="35"/>
  <c r="E342" i="38"/>
  <c r="D262" i="38"/>
  <c r="L173" i="35"/>
  <c r="L126" i="35"/>
  <c r="J65" i="35"/>
  <c r="M9" i="37"/>
  <c r="L76" i="35"/>
  <c r="D67" i="38"/>
  <c r="F27" i="38"/>
  <c r="Q6" i="37"/>
  <c r="D146" i="38"/>
  <c r="K36" i="35"/>
  <c r="J122" i="35"/>
  <c r="K32" i="35"/>
  <c r="M184" i="35"/>
  <c r="D144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<sst xmlns="http://schemas.openxmlformats.org/spreadsheetml/2006/main" count="3319" uniqueCount="2057">
  <si>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</si>
  <si>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</si>
  <si>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</si>
  <si>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</si>
  <si>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</si>
  <si>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</si>
  <si>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</si>
  <si>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</si>
  <si>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</si>
  <si>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</si>
  <si>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</si>
  <si>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</si>
  <si>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</si>
  <si>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</si>
  <si>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</si>
  <si>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</si>
  <si>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</si>
  <si>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</si>
  <si>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</si>
  <si>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</si>
  <si>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</si>
  <si>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</si>
  <si>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</si>
  <si>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</si>
  <si>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</si>
  <si>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</si>
  <si>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</si>
  <si>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</si>
  <si>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</si>
  <si>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</si>
  <si>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</si>
  <si>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</si>
  <si>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</si>
  <si>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</si>
  <si>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</si>
  <si>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</si>
  <si>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</si>
  <si>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</si>
  <si>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</si>
  <si>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</si>
  <si>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</si>
  <si>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</si>
  <si>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</si>
  <si>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</si>
  <si>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</si>
  <si>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</si>
  <si>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</si>
  <si>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</si>
  <si>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</si>
  <si>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</si>
  <si>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</si>
  <si>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</si>
  <si>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</si>
  <si>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</si>
  <si>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</si>
  <si>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</si>
  <si>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</si>
  <si>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</si>
  <si>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</si>
  <si>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</si>
  <si>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</si>
  <si>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</si>
  <si>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</si>
  <si>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</si>
  <si>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</si>
  <si>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</si>
  <si>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</si>
  <si>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</si>
  <si>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</si>
  <si>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</si>
  <si>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</si>
  <si>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</si>
  <si>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</si>
  <si>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</si>
  <si>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</si>
  <si>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</si>
  <si>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</si>
  <si>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</si>
  <si>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</si>
  <si>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</si>
  <si>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</si>
  <si>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</si>
  <si>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</si>
  <si>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</si>
  <si>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</si>
  <si>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</si>
  <si>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</si>
  <si>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</si>
  <si>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</si>
  <si>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</si>
  <si>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</si>
  <si>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</si>
  <si>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</si>
  <si>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</si>
  <si>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</si>
  <si>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</si>
  <si>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</si>
  <si>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</si>
  <si>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</si>
  <si>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</si>
  <si>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</si>
  <si>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</si>
  <si>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</si>
  <si>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</si>
  <si>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</si>
  <si>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</si>
  <si>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</si>
  <si>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</si>
  <si>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</si>
  <si>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</si>
  <si>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</si>
  <si>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</si>
  <si>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</si>
  <si>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</si>
  <si>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</si>
  <si>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</si>
  <si>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</si>
  <si>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</si>
  <si>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</si>
  <si>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</si>
  <si>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</si>
  <si>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</si>
  <si>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</si>
  <si>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</si>
  <si>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</si>
  <si>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</si>
  <si>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</si>
  <si>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</si>
  <si>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</si>
  <si>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</si>
  <si>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</si>
  <si>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</si>
  <si>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</si>
  <si>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</si>
  <si>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</si>
  <si>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</si>
  <si>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</si>
  <si>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</si>
  <si>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</si>
  <si>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</si>
  <si>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</si>
  <si>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</si>
  <si>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</si>
  <si>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</si>
  <si>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</si>
  <si>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</si>
  <si>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</si>
  <si>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</si>
  <si>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</si>
  <si>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</si>
  <si>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</si>
  <si>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</si>
  <si>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</si>
  <si>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</si>
  <si>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</si>
  <si>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</si>
  <si>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</si>
  <si>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</si>
  <si>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</si>
  <si>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</si>
  <si>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</si>
  <si>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</si>
  <si>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</si>
  <si>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</si>
  <si>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</si>
  <si>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</si>
  <si>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</si>
  <si>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</si>
  <si>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</si>
  <si>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</si>
  <si>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</si>
  <si>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</si>
  <si>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</si>
  <si>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</si>
  <si>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</si>
  <si>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</si>
  <si>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</si>
  <si>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</si>
  <si>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</si>
  <si>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</si>
  <si>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</si>
  <si>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</si>
  <si>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</si>
  <si>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</si>
  <si>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</si>
  <si>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</si>
  <si>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</si>
  <si>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</si>
  <si>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</si>
  <si>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</si>
  <si>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</si>
  <si>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</si>
  <si>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</si>
  <si>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</si>
  <si>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</si>
  <si>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</si>
  <si>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</si>
  <si>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</si>
  <si>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</si>
  <si>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</si>
  <si>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</si>
  <si>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</si>
  <si>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</si>
  <si>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</si>
  <si>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</si>
  <si>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</si>
  <si>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</si>
  <si>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</si>
  <si>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</si>
  <si>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</si>
  <si>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</si>
  <si>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</si>
  <si>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</si>
  <si>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</si>
  <si>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</si>
  <si>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</si>
  <si>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</si>
  <si>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</si>
  <si>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</si>
  <si>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</si>
  <si>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</si>
  <si>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</si>
  <si>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</si>
  <si>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</si>
  <si>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</si>
  <si>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</si>
  <si>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</si>
  <si>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</si>
  <si>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</si>
  <si>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</si>
  <si>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</si>
  <si>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</si>
  <si>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</si>
  <si>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</si>
  <si>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</si>
  <si>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</si>
  <si>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</si>
  <si>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</si>
  <si>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</si>
  <si>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</si>
  <si>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</si>
  <si>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</si>
  <si>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</si>
  <si>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</si>
  <si>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</si>
  <si>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</si>
  <si>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</si>
  <si>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</si>
  <si>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</si>
  <si>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</si>
  <si>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</si>
  <si>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</si>
  <si>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</si>
  <si>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</si>
  <si>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</si>
  <si>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</si>
  <si>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</si>
  <si>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</si>
  <si>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</si>
  <si>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</si>
  <si>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</si>
  <si>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</si>
  <si>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</si>
  <si>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</si>
  <si>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</si>
  <si>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</si>
  <si>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</si>
  <si>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</si>
  <si>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</si>
  <si>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</si>
  <si>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</si>
  <si>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</si>
  <si>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</si>
  <si>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</si>
  <si>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</si>
  <si>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</si>
  <si>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</si>
  <si>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</si>
  <si>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</si>
  <si>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</si>
  <si>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</si>
  <si>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</si>
  <si>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</si>
  <si>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</si>
  <si>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</si>
  <si>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</si>
  <si>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</si>
  <si>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</si>
  <si>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</si>
  <si>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</si>
  <si>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</si>
  <si>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</si>
  <si>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</si>
  <si>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</si>
  <si>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</si>
  <si>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</si>
  <si>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</si>
  <si>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</si>
  <si>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</si>
  <si>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</si>
  <si>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</si>
  <si>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</si>
  <si>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</si>
  <si>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</si>
  <si>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</si>
  <si>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</si>
  <si>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 xml:space="preserve">Fratello Trade a.d. </t>
  </si>
  <si>
    <t>Banja Luka</t>
  </si>
  <si>
    <t>Mario Derajić</t>
  </si>
  <si>
    <t>Ramići bb</t>
  </si>
  <si>
    <t>www.fratello-trade.com</t>
  </si>
  <si>
    <t>info@fratello-trade.com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</si>
  <si>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</si>
  <si>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</si>
  <si>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</si>
  <si>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</si>
  <si>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</si>
  <si>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</si>
  <si>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</si>
  <si>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</si>
  <si>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</si>
  <si>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</si>
  <si>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</si>
  <si>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</si>
  <si>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</si>
  <si>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</si>
  <si>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</si>
  <si>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</si>
  <si>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</si>
  <si>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</si>
  <si>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</si>
  <si>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</si>
  <si>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</si>
  <si>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</si>
  <si>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</si>
  <si>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</si>
  <si>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</si>
  <si>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</si>
  <si>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</si>
  <si>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</si>
  <si>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</si>
  <si>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</si>
  <si>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</si>
  <si>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</si>
  <si>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</si>
  <si>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</si>
  <si>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</si>
  <si>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</si>
  <si>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</si>
  <si>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</si>
  <si>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</si>
  <si>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</si>
  <si>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</si>
  <si>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</si>
  <si>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</si>
  <si>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</si>
  <si>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</si>
  <si>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</si>
  <si>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</si>
  <si>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</si>
  <si>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</si>
  <si>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</si>
  <si>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</si>
  <si>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</si>
  <si>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</si>
  <si>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</si>
  <si>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</si>
  <si>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</si>
  <si>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</si>
  <si>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</si>
  <si>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</si>
  <si>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</si>
  <si>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</si>
  <si>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</si>
  <si>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</si>
  <si>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</si>
  <si>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</si>
  <si>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</si>
  <si>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</si>
  <si>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</si>
  <si>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</si>
  <si>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</si>
  <si>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</si>
  <si>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</si>
  <si>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</si>
  <si>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</si>
  <si>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</si>
  <si>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</si>
  <si>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</si>
  <si>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</si>
  <si>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</si>
  <si>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</si>
  <si>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</si>
  <si>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</si>
  <si>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</si>
  <si>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</si>
  <si>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</si>
  <si>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</si>
  <si>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</si>
  <si>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</si>
  <si>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</si>
  <si>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</si>
  <si>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</si>
  <si>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</si>
  <si>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</si>
  <si>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</si>
  <si>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</si>
  <si>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</si>
  <si>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</si>
  <si>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</si>
  <si>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</si>
  <si>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</si>
  <si>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</si>
  <si>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</si>
  <si>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</si>
  <si>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</si>
  <si>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</si>
  <si>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</si>
  <si>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</si>
  <si>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</si>
  <si>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</si>
  <si>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</si>
  <si>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</si>
  <si>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</si>
  <si>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</si>
  <si>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</si>
  <si>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</si>
  <si>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</si>
  <si>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</si>
  <si>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</si>
  <si>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</si>
  <si>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</si>
  <si>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</si>
  <si>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</si>
  <si>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</si>
  <si>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</si>
  <si>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</si>
  <si>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</si>
  <si>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</si>
  <si>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</si>
  <si>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</si>
  <si>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</si>
  <si>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</si>
  <si>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</si>
  <si>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</si>
  <si>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</si>
  <si>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</si>
  <si>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</si>
  <si>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</si>
  <si>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</si>
  <si>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</si>
  <si>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</si>
  <si>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</si>
  <si>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</si>
  <si>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</si>
  <si>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</si>
  <si>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</si>
  <si>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</si>
  <si>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</si>
  <si>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</si>
  <si>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</si>
  <si>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</si>
  <si>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</si>
  <si>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</si>
  <si>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</si>
  <si>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</si>
  <si>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</si>
  <si>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</si>
  <si>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</si>
  <si>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</si>
  <si>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</si>
  <si>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</si>
  <si>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</si>
  <si>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</si>
  <si>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</si>
  <si>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</si>
  <si>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</si>
  <si>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</si>
  <si>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</si>
  <si>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</si>
  <si>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</si>
  <si>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</si>
  <si>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</si>
  <si>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</si>
  <si>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</si>
  <si>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</si>
  <si>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</si>
  <si>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</si>
  <si>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</si>
  <si>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</si>
  <si>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</si>
  <si>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</si>
  <si>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</si>
  <si>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</si>
  <si>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</si>
  <si>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</si>
  <si>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</si>
  <si>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</si>
  <si>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</si>
  <si>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</si>
  <si>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</si>
  <si>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</si>
  <si>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</si>
  <si>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</si>
  <si>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</si>
  <si>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</si>
  <si>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</si>
  <si>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</si>
  <si>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</si>
  <si>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</si>
  <si>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</si>
  <si>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</si>
  <si>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</si>
  <si>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</si>
  <si>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</si>
  <si>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</si>
  <si>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</si>
  <si>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</si>
  <si>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</si>
  <si>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</si>
  <si>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</si>
  <si>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</si>
  <si>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</si>
  <si>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</si>
  <si>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</si>
  <si>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</si>
  <si>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</si>
  <si>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</si>
  <si>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</si>
  <si>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</si>
  <si>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</si>
  <si>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</si>
  <si>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</si>
  <si>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</si>
  <si>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</si>
  <si>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</si>
  <si>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</si>
  <si>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</si>
  <si>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</si>
  <si>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</si>
  <si>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</si>
  <si>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</si>
  <si>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</si>
  <si>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</si>
  <si>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</si>
  <si>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</si>
  <si>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</si>
  <si>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</si>
  <si>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</si>
  <si>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</si>
  <si>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</si>
  <si>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</si>
  <si>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</si>
  <si>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</si>
  <si>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</si>
  <si>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</si>
  <si>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</si>
  <si>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</si>
  <si>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</si>
  <si>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</si>
  <si>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</si>
  <si>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</si>
  <si>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</si>
  <si>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</si>
  <si>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</si>
  <si>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</si>
  <si>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</si>
  <si>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</si>
  <si>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</si>
  <si>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</si>
  <si>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</si>
  <si>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</si>
  <si>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</si>
  <si>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</si>
  <si>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</si>
  <si>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</si>
  <si>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</si>
  <si>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</si>
  <si>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</si>
  <si>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</si>
  <si>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</si>
  <si>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</si>
  <si>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</si>
  <si>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</si>
  <si>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</si>
  <si>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</si>
  <si>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</si>
  <si>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</si>
  <si>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</si>
  <si>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</si>
  <si>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</si>
  <si>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</si>
  <si>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</si>
  <si>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</si>
  <si>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</si>
  <si>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</si>
  <si>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</si>
  <si>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</si>
  <si>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</si>
  <si>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</si>
  <si>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</si>
  <si>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</si>
  <si>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</si>
  <si>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</si>
  <si>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</si>
  <si>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</si>
  <si>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</si>
  <si>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</si>
  <si>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</si>
  <si>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</si>
  <si>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</si>
  <si>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</si>
  <si>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</si>
  <si>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</si>
  <si>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</si>
  <si>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</si>
  <si>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</si>
  <si>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</si>
  <si>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</si>
  <si>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</si>
  <si>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</si>
  <si>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</si>
  <si>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</si>
  <si>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</si>
  <si>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</si>
  <si>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</si>
  <si>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</si>
  <si>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</si>
  <si>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</si>
  <si>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</si>
  <si>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</si>
  <si>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</si>
  <si>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</si>
  <si>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</si>
  <si>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</si>
  <si>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</si>
  <si>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</si>
  <si>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</si>
  <si>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</si>
  <si>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</si>
  <si>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</si>
  <si>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</si>
  <si>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</si>
  <si>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</si>
  <si>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</si>
  <si>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</si>
  <si>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</si>
  <si>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</si>
  <si>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</si>
  <si>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</si>
  <si>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</si>
  <si>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</si>
  <si>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</si>
  <si>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</si>
  <si>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</si>
  <si>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</si>
  <si>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</si>
  <si>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</si>
  <si>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</si>
  <si>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</si>
  <si>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</si>
  <si>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</si>
  <si>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</si>
  <si>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</si>
  <si>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</si>
  <si>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</si>
  <si>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</si>
  <si>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</si>
  <si>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</si>
  <si>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</si>
  <si>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</si>
  <si>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</si>
  <si>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</si>
  <si>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</si>
  <si>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</si>
  <si>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</si>
  <si>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</si>
  <si>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</si>
  <si>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</si>
  <si>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</si>
  <si>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</si>
  <si>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</si>
  <si>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</si>
  <si>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</si>
  <si>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</si>
  <si>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</si>
  <si>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</si>
  <si>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</si>
  <si>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</si>
  <si>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</si>
  <si>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</si>
  <si>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</si>
  <si>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</si>
  <si>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</si>
  <si>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</si>
  <si>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</si>
  <si>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</si>
  <si>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</si>
  <si>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</si>
  <si>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</si>
  <si>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</si>
  <si>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</si>
  <si>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</si>
  <si>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</si>
  <si>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</si>
  <si>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</si>
  <si>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</si>
  <si>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</si>
  <si>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</si>
  <si>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</si>
  <si>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</si>
  <si>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</si>
  <si>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</si>
  <si>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</si>
  <si>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</si>
  <si>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</si>
  <si>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</si>
  <si>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</si>
  <si>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</si>
  <si>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</si>
  <si>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</si>
  <si>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</si>
  <si>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</si>
  <si>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</si>
  <si>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</si>
  <si>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</si>
  <si>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</si>
  <si>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</si>
  <si>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</si>
  <si>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</si>
  <si>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</si>
  <si>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</si>
  <si>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</si>
  <si>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</si>
  <si>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</si>
  <si>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</si>
  <si>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</si>
  <si>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</si>
  <si>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</si>
  <si>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</si>
  <si>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</si>
  <si>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</si>
  <si>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</si>
  <si>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</si>
  <si>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</si>
  <si>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</si>
  <si>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</si>
  <si>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</si>
  <si>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</si>
  <si>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</si>
  <si>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</si>
  <si>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</si>
  <si>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</si>
  <si>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</si>
  <si>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</si>
  <si>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</si>
  <si>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</si>
  <si>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</si>
  <si>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</si>
  <si>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</si>
  <si>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</si>
  <si>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</si>
  <si>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</si>
  <si>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</si>
  <si>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</si>
  <si>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</si>
  <si>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</si>
  <si>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</si>
  <si>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</si>
  <si>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</si>
  <si>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</si>
  <si>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</si>
  <si>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</si>
  <si>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</si>
  <si>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</si>
  <si>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</si>
  <si>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</si>
  <si>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</si>
  <si>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</si>
  <si>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</si>
  <si>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</si>
  <si>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</si>
  <si>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</si>
  <si>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</si>
  <si>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</si>
  <si>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</si>
  <si>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</si>
  <si>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</si>
  <si>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</si>
  <si>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</si>
  <si>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</si>
  <si>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</si>
  <si>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</si>
  <si>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</si>
  <si>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</si>
  <si>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</si>
  <si>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</si>
  <si>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</si>
  <si>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</si>
  <si>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</si>
  <si>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</si>
  <si>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</si>
  <si>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</si>
  <si>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</si>
  <si>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</si>
  <si>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</si>
  <si>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</si>
  <si>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</si>
  <si>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</si>
  <si>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</si>
  <si>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</si>
  <si>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</si>
  <si>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</si>
  <si>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</si>
  <si>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</si>
  <si>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</si>
  <si>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</si>
  <si>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</si>
  <si>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</si>
  <si>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</si>
  <si>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</si>
  <si>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</si>
  <si>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</si>
  <si>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</si>
  <si>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</si>
  <si>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</si>
  <si>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</si>
  <si>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</si>
  <si>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</si>
  <si>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</si>
  <si>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</si>
  <si>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</si>
  <si>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</si>
  <si>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</si>
  <si>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</si>
  <si>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</si>
  <si>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</si>
  <si>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</si>
  <si>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</si>
  <si>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</si>
  <si>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</si>
  <si>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</si>
  <si>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</si>
  <si>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</si>
  <si>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</si>
  <si>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</si>
  <si>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</si>
  <si>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</si>
  <si>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</si>
  <si>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</si>
  <si>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</si>
  <si>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</si>
  <si>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</si>
  <si>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</si>
  <si>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</si>
  <si>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</si>
  <si>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</si>
  <si>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</si>
  <si>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</si>
  <si>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</si>
  <si>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</si>
  <si>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</si>
  <si>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</si>
  <si>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</si>
  <si>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</si>
  <si>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</si>
  <si>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</si>
  <si>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</si>
  <si>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</si>
  <si>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</si>
  <si>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</si>
  <si>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</si>
  <si>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</si>
  <si>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</si>
  <si>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</si>
  <si>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</si>
  <si>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</si>
  <si>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</si>
  <si>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</si>
  <si>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</si>
  <si>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</si>
  <si>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</si>
  <si>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</si>
  <si>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</si>
  <si>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</si>
  <si>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</si>
  <si>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</si>
  <si>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</si>
  <si>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</si>
  <si>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</si>
  <si>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</si>
  <si>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</si>
  <si>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</si>
  <si>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</si>
  <si>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</si>
  <si>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</si>
  <si>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</si>
  <si>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</si>
  <si>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</si>
  <si>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</si>
  <si>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</si>
  <si>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</si>
  <si>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</si>
  <si>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</si>
  <si>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</si>
  <si>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</si>
  <si>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</si>
  <si>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</si>
  <si>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</si>
  <si>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</si>
  <si>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</si>
  <si>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</si>
  <si>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</si>
  <si>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</si>
  <si>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</si>
  <si>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</si>
  <si>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</si>
  <si>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</si>
  <si>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</si>
  <si>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</si>
  <si>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</si>
  <si>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</si>
  <si>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</si>
  <si>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</si>
  <si>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</si>
  <si>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</si>
  <si>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</si>
  <si>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</si>
  <si>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</si>
  <si>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</si>
  <si>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</si>
  <si>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</si>
  <si>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</si>
  <si>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</si>
  <si>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</si>
  <si>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</si>
  <si>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</si>
  <si>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</si>
  <si>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</si>
  <si>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</si>
  <si>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</si>
  <si>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</si>
  <si>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</si>
  <si>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</si>
  <si>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</si>
  <si>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</si>
  <si>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</si>
  <si>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</si>
  <si>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</si>
  <si>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</si>
  <si>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</si>
  <si>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</si>
  <si>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</si>
  <si>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</si>
  <si>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</si>
  <si>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</si>
  <si>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</si>
  <si>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</si>
  <si>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</si>
  <si>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</si>
  <si>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</si>
  <si>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</si>
  <si>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</si>
  <si>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</si>
  <si>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</si>
  <si>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</si>
  <si>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</si>
  <si>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</si>
  <si>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</si>
  <si>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</si>
  <si>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</si>
  <si>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</si>
  <si>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</si>
  <si>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</si>
  <si>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</si>
  <si>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</si>
  <si>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</si>
  <si>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</si>
  <si>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</si>
  <si>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</si>
  <si>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</si>
  <si>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</si>
  <si>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</si>
  <si>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</si>
  <si>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</si>
  <si>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</si>
  <si>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</si>
  <si>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</si>
  <si>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</si>
  <si>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</si>
  <si>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</si>
  <si>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</si>
  <si>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</si>
  <si>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</si>
  <si>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</si>
  <si>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</si>
  <si>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</si>
  <si>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</si>
  <si>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</si>
  <si>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</si>
  <si>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</si>
  <si>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</si>
  <si>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</si>
  <si>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</si>
  <si>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</si>
  <si>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</si>
  <si>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</si>
  <si>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</si>
  <si>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</si>
  <si>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</si>
  <si>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</si>
  <si>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</si>
  <si>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</si>
  <si>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</si>
  <si>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</si>
  <si>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</si>
  <si>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</si>
  <si>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</si>
  <si>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</si>
  <si>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</si>
  <si>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</si>
  <si>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</si>
  <si>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</si>
  <si>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</si>
  <si>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</si>
  <si>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</si>
  <si>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</si>
  <si>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</si>
  <si>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</si>
  <si>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</si>
  <si>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</si>
  <si>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</si>
  <si>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</si>
  <si>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</si>
  <si>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</si>
  <si>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</si>
  <si>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</si>
  <si>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</si>
  <si>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</si>
  <si>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</si>
  <si>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</si>
  <si>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</si>
  <si>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</si>
  <si>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</si>
  <si>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</si>
  <si>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</si>
  <si>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</si>
  <si>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</si>
  <si>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</si>
  <si>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</si>
  <si>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</si>
  <si>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</si>
  <si>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</si>
  <si>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</si>
  <si>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</si>
  <si>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</si>
  <si>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</si>
  <si>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</si>
  <si>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</si>
  <si>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</si>
  <si>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</si>
  <si>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</si>
  <si>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</si>
  <si>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</si>
  <si>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</si>
  <si>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</si>
  <si>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</si>
  <si>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</si>
  <si>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</si>
  <si>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</si>
  <si>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</si>
  <si>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</si>
  <si>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</si>
  <si>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</si>
  <si>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</si>
  <si>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</si>
  <si>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</si>
  <si>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</si>
  <si>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</si>
  <si>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</si>
  <si>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</si>
  <si>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</si>
  <si>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</si>
  <si>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</si>
  <si>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</si>
  <si>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</si>
  <si>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</si>
  <si>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</si>
  <si>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</si>
  <si>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</si>
  <si>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</si>
  <si>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</si>
  <si>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</si>
  <si>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</si>
  <si>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</si>
  <si>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</si>
  <si>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</si>
  <si>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</si>
  <si>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</si>
  <si>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</si>
  <si>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</si>
  <si>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</si>
  <si>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</si>
  <si>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</si>
  <si>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</si>
  <si>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</si>
  <si>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</si>
  <si>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</si>
  <si>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</si>
  <si>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</si>
  <si>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</si>
  <si>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</si>
  <si>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</si>
  <si>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</si>
  <si>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</si>
  <si>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</si>
  <si>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</si>
  <si>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</si>
  <si>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</si>
  <si>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</si>
  <si>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</si>
  <si>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</si>
  <si>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</si>
  <si>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</si>
  <si>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</si>
  <si>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</si>
  <si>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</si>
  <si>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</si>
  <si>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</si>
  <si>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</si>
  <si>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</si>
  <si>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</si>
  <si>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</si>
  <si>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</si>
  <si>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</si>
  <si>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</si>
  <si>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</si>
  <si>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</si>
  <si>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</si>
  <si>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</si>
  <si>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</si>
  <si>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</si>
  <si>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</si>
  <si>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</si>
  <si>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</si>
  <si>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</si>
  <si>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</si>
  <si>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</si>
  <si>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</si>
  <si>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</si>
  <si>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</si>
  <si>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</si>
  <si>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</si>
  <si>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</si>
  <si>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</si>
  <si>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</si>
  <si>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</si>
  <si>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</si>
  <si>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</si>
  <si>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</si>
  <si>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</si>
  <si>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</si>
  <si>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</si>
  <si>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</si>
  <si>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</si>
  <si>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</si>
  <si>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</si>
  <si>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</si>
  <si>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</si>
  <si>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</si>
  <si>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</si>
  <si>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</si>
  <si>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</si>
  <si>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</si>
  <si>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</si>
  <si>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</si>
  <si>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</si>
  <si>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</si>
  <si>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</si>
  <si>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</si>
  <si>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</si>
  <si>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</si>
  <si>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</si>
  <si>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</si>
  <si>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</si>
  <si>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</si>
  <si>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</si>
  <si>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</si>
  <si>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</si>
  <si>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</si>
  <si>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</si>
  <si>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</si>
  <si>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</si>
  <si>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</si>
  <si>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</si>
  <si>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</si>
  <si>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</si>
  <si>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</si>
  <si>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</si>
  <si>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</si>
  <si>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</si>
  <si>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</si>
  <si>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</si>
  <si>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</si>
  <si>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</si>
  <si>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</si>
  <si>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</si>
  <si>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</si>
  <si>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</si>
  <si>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</si>
  <si>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</si>
  <si>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</si>
  <si>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</si>
  <si>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</si>
  <si>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</si>
  <si>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</si>
  <si>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</si>
  <si>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</si>
  <si>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</si>
  <si>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</si>
  <si>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</si>
  <si>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</si>
  <si>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</si>
  <si>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</si>
  <si>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</si>
  <si>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</si>
  <si>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</si>
  <si>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</si>
  <si>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</si>
  <si>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</si>
  <si>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</si>
  <si>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</si>
  <si>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</si>
  <si>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</si>
  <si>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</si>
  <si>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</si>
  <si>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</si>
  <si>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</si>
  <si>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</si>
  <si>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</si>
  <si>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</si>
  <si>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</si>
  <si>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</si>
  <si>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</si>
  <si>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</si>
  <si>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</si>
  <si>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</si>
  <si>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</si>
  <si>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</si>
  <si>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</si>
  <si>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</si>
  <si>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</si>
  <si>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</si>
  <si>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</si>
  <si>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</si>
  <si>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</si>
  <si>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</si>
  <si>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</si>
  <si>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</si>
  <si>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</si>
  <si>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</si>
  <si>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</si>
  <si>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</si>
  <si>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</si>
  <si>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</si>
  <si>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</si>
  <si>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</si>
  <si>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</si>
  <si>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</si>
  <si>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</si>
  <si>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</si>
  <si>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</si>
  <si>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</si>
  <si>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</si>
  <si>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</si>
  <si>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</si>
  <si>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</si>
  <si>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</si>
  <si>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</si>
  <si>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</si>
  <si>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</si>
  <si>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</si>
  <si>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</si>
  <si>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</si>
  <si>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</si>
  <si>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</si>
  <si>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</si>
  <si>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</si>
  <si>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</si>
  <si>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</si>
  <si>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</si>
  <si>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</si>
  <si>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</si>
  <si>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</si>
  <si>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</si>
  <si>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</si>
  <si>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</si>
  <si>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</si>
  <si>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</si>
  <si>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</si>
  <si>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</si>
  <si>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</si>
  <si>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</si>
  <si>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</si>
  <si>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</si>
  <si>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</si>
  <si>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</si>
  <si>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</si>
  <si>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</si>
  <si>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</si>
  <si>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</si>
  <si>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</si>
  <si>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</si>
  <si>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</si>
  <si>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</si>
  <si>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</si>
  <si>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</si>
  <si>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</si>
  <si>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</si>
  <si>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</si>
  <si>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</si>
  <si>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</si>
  <si>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</si>
  <si>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</si>
  <si>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</si>
  <si>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</si>
  <si>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</si>
  <si>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</si>
  <si>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</si>
  <si>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</si>
  <si>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</si>
  <si>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</si>
  <si>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</si>
  <si>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</si>
  <si>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</si>
  <si>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</si>
  <si>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</si>
  <si>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</si>
  <si>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</si>
  <si>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</si>
  <si>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</si>
  <si>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</si>
  <si>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</si>
  <si>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</si>
  <si>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</si>
  <si>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</si>
  <si>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</si>
  <si>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</si>
  <si>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</si>
  <si>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</si>
  <si>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</si>
  <si>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</si>
  <si>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</si>
  <si>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</si>
  <si>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</si>
  <si>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</si>
  <si>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</si>
  <si>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</si>
  <si>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</si>
  <si>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</si>
  <si>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</si>
  <si>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</si>
  <si>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</si>
  <si>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</si>
  <si>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</si>
  <si>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</si>
  <si>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</si>
  <si>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</si>
  <si>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</si>
  <si>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</si>
  <si>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</si>
  <si>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</si>
  <si>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</si>
  <si>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</si>
  <si>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</si>
  <si>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</si>
  <si>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</si>
  <si>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</si>
  <si>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</si>
  <si>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</si>
  <si>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</si>
  <si>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</si>
  <si>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</si>
  <si>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</si>
  <si>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</si>
  <si>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</si>
  <si>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</si>
  <si>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</si>
  <si>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</si>
  <si>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</si>
  <si>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</si>
  <si>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</si>
  <si>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</si>
  <si>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</si>
  <si>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</si>
  <si>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</si>
  <si>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</si>
  <si>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</si>
  <si>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</si>
  <si>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</si>
  <si>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</si>
  <si>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</si>
  <si>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</si>
  <si>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</si>
  <si>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</si>
  <si>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</si>
  <si>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</si>
  <si>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</si>
  <si>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</si>
  <si>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</si>
  <si>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</si>
  <si>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</si>
  <si>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</si>
  <si>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</si>
  <si>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</si>
  <si>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</si>
  <si>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</si>
  <si>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</si>
  <si>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</si>
  <si>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</si>
  <si>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</si>
  <si>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</si>
  <si>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</si>
  <si>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</si>
  <si>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</si>
  <si>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</si>
  <si>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</si>
  <si>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</si>
  <si>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</si>
  <si>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</si>
  <si>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</si>
  <si>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</si>
  <si>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</si>
  <si>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</si>
  <si>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</si>
  <si>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</si>
  <si>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</si>
  <si>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</si>
  <si>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</si>
  <si>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</si>
  <si>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</si>
  <si>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</si>
  <si>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</si>
  <si>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</si>
  <si>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</si>
  <si>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</si>
  <si>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</si>
  <si>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</si>
  <si>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</si>
  <si>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</si>
  <si>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</si>
  <si>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</si>
  <si>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</si>
  <si>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</si>
  <si>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</si>
  <si>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</si>
  <si>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</si>
  <si>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</si>
  <si>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</si>
  <si>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</si>
  <si>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</si>
  <si>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</si>
  <si>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</si>
  <si>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</si>
  <si>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</si>
  <si>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</si>
  <si>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</si>
  <si>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</si>
  <si>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</si>
  <si>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</si>
  <si>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</si>
  <si>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</si>
  <si>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</si>
  <si>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</si>
  <si>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</si>
  <si>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</si>
  <si>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</si>
  <si>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</si>
  <si>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</si>
  <si>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</si>
  <si>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</si>
  <si>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</si>
  <si>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</si>
  <si>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</si>
  <si>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</si>
  <si>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</si>
  <si>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</si>
  <si>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</si>
  <si>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</si>
  <si>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</si>
  <si>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</si>
  <si>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</si>
  <si>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</si>
  <si>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</si>
  <si>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</si>
  <si>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</si>
  <si>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</si>
  <si>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</si>
  <si>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</si>
  <si>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</si>
  <si>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</si>
  <si>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</si>
  <si>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</si>
  <si>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</si>
  <si>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</si>
  <si>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</si>
  <si>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</si>
  <si>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</si>
  <si>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</si>
  <si>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</si>
  <si>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</si>
  <si>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</si>
  <si>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</si>
  <si>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</si>
  <si>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</si>
  <si>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</si>
  <si>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</si>
  <si>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</si>
  <si>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</si>
  <si>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</si>
  <si>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</si>
  <si>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</si>
  <si>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</si>
  <si>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</si>
  <si>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</si>
  <si>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</si>
  <si>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</si>
  <si>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</si>
  <si>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</si>
  <si>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</si>
  <si>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</si>
  <si>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</si>
  <si>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</si>
  <si>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</si>
  <si>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</si>
  <si>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</si>
  <si>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</si>
  <si>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</si>
  <si>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</si>
  <si>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</si>
  <si>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</si>
  <si>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</si>
  <si>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</si>
  <si>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</si>
  <si>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</si>
  <si>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</si>
  <si>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</si>
  <si>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</si>
  <si>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</si>
  <si>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</si>
  <si>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</si>
  <si>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</si>
  <si>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</si>
  <si>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</si>
  <si>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</si>
  <si>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</si>
  <si>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</si>
  <si>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</si>
  <si>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</si>
  <si>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</si>
  <si>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</si>
  <si>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</si>
  <si>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</si>
  <si>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</si>
  <si>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</si>
  <si>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</si>
  <si>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</si>
  <si>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</si>
  <si>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</si>
  <si>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</si>
  <si>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</si>
  <si>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</si>
  <si>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</si>
  <si>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</si>
  <si>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</si>
  <si>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</si>
  <si>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</si>
  <si>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</si>
  <si>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</si>
  <si>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</si>
  <si>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</si>
  <si>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</si>
  <si>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</si>
  <si>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</si>
  <si>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</si>
  <si>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</si>
  <si>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</si>
  <si>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</si>
  <si>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</si>
  <si>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</si>
  <si>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</si>
  <si>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</si>
  <si>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</si>
  <si>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</si>
  <si>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</si>
  <si>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</si>
  <si>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</si>
  <si>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</si>
  <si>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</si>
  <si>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</si>
  <si>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</si>
  <si>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</si>
  <si>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</si>
  <si>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</si>
  <si>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</si>
  <si>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</si>
  <si>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</si>
  <si>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</si>
  <si>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</si>
  <si>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</si>
  <si>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</si>
  <si>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</si>
  <si>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</si>
  <si>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</si>
  <si>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</si>
  <si>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</si>
  <si>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</si>
  <si>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</si>
  <si>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</si>
  <si>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</si>
  <si>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</si>
  <si>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</si>
  <si>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</si>
  <si>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</si>
  <si>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</si>
  <si>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</si>
  <si>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</si>
  <si>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</si>
  <si>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</si>
  <si>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</si>
  <si>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</si>
  <si>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</si>
  <si>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</si>
  <si>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</si>
  <si>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</si>
  <si>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</si>
  <si>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</si>
  <si>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</si>
  <si>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</si>
  <si>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</si>
  <si>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</si>
  <si>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</si>
  <si>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</si>
  <si>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</si>
  <si>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</si>
  <si>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</si>
  <si>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</si>
  <si>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</si>
  <si>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</si>
  <si>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</si>
  <si>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</si>
  <si>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</si>
  <si>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</si>
  <si>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</si>
  <si>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</si>
  <si>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</si>
  <si>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</si>
  <si>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</si>
  <si>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</si>
  <si>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</si>
  <si>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</si>
  <si>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</si>
  <si>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</si>
  <si>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</si>
  <si>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</si>
  <si>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</si>
  <si>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</si>
  <si>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</si>
  <si>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</si>
  <si>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</si>
  <si>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</si>
  <si>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</si>
  <si>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</si>
  <si>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</si>
  <si>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</si>
  <si>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</si>
  <si>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</si>
  <si>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</si>
  <si>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</si>
  <si>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</si>
  <si>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</si>
  <si>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</si>
  <si>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</si>
  <si>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</si>
  <si>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</si>
  <si>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</si>
  <si>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</si>
  <si>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</si>
  <si>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</si>
  <si>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</si>
  <si>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</si>
  <si>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</si>
  <si>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</si>
  <si>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</si>
  <si>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</si>
  <si>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</si>
  <si>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</si>
  <si>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</si>
  <si>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</si>
  <si>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</si>
  <si>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</si>
  <si>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</si>
  <si>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</si>
  <si>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</si>
  <si>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</si>
  <si>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</si>
  <si>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</si>
  <si>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</si>
  <si>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</si>
  <si>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</si>
  <si>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</si>
  <si>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</si>
  <si>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</si>
  <si>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</si>
  <si>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</si>
  <si>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</si>
  <si>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</si>
  <si>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</si>
  <si>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</si>
  <si>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</si>
  <si>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</si>
  <si>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</si>
  <si>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</si>
  <si>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</si>
  <si>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</si>
  <si>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</si>
  <si>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</si>
  <si>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</si>
  <si>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</si>
  <si>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</si>
  <si>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</si>
  <si>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</si>
  <si>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</si>
  <si>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</si>
  <si>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</si>
  <si>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</si>
  <si>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</si>
  <si>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</si>
  <si>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</si>
  <si>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</si>
  <si>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</si>
  <si>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</si>
  <si>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</si>
  <si>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</si>
  <si>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</si>
  <si>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</si>
  <si>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</si>
  <si>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</si>
  <si>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</si>
  <si>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</si>
  <si>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</si>
  <si>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</si>
  <si>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</si>
  <si>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</si>
  <si>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</si>
  <si>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</si>
  <si>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</si>
  <si>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</si>
  <si>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</si>
  <si>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</si>
  <si>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</si>
  <si>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</si>
  <si>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</si>
  <si>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</si>
  <si>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</si>
  <si>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</si>
  <si>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</si>
  <si>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</si>
  <si>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</si>
  <si>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</si>
  <si>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</si>
  <si>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</si>
  <si>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</si>
  <si>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</si>
  <si>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</si>
  <si>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</si>
  <si>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</si>
  <si>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</si>
  <si>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</si>
  <si>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</si>
  <si>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</si>
  <si>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</si>
  <si>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</si>
  <si>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</si>
  <si>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</si>
  <si>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</si>
  <si>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</si>
  <si>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</si>
  <si>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</si>
  <si>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</si>
  <si>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</si>
  <si>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</si>
  <si>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</si>
  <si>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</si>
  <si>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</si>
  <si>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</si>
  <si>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</si>
  <si>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</si>
  <si>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</si>
  <si>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</si>
  <si>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</si>
  <si>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</si>
  <si>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</si>
  <si>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</si>
  <si>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</si>
  <si>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</si>
  <si>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</si>
  <si>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</si>
  <si>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</si>
  <si>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</si>
  <si>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</si>
  <si>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</si>
  <si>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</si>
  <si>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</si>
  <si>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</si>
  <si>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</si>
  <si>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</si>
  <si>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</si>
  <si>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</si>
  <si>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</si>
  <si>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</si>
  <si>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</si>
  <si>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</si>
  <si>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</si>
  <si>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</si>
  <si>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</si>
  <si>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</si>
  <si>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</si>
  <si>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</si>
  <si>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</si>
  <si>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</si>
  <si>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</si>
  <si>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</si>
  <si>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</si>
  <si>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</si>
  <si>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</si>
  <si>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</si>
  <si>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</si>
  <si>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</si>
  <si>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</si>
  <si>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</si>
  <si>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</si>
  <si>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</si>
  <si>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</si>
  <si>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</si>
  <si>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</si>
  <si>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</si>
  <si>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</si>
  <si>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</si>
  <si>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</si>
  <si>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</si>
  <si>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</si>
  <si>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</si>
  <si>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</si>
  <si>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</si>
  <si>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</si>
  <si>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</si>
  <si>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</si>
  <si>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</si>
  <si>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</si>
  <si>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</si>
  <si>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</si>
  <si>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</si>
  <si>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</si>
  <si>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</si>
  <si>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</si>
  <si>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</si>
  <si>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</si>
  <si>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</si>
  <si>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</si>
  <si>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</si>
  <si>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</si>
  <si>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</si>
  <si>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</si>
  <si>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</si>
  <si>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</si>
  <si>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</si>
  <si>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</si>
  <si>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</si>
  <si>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</si>
  <si>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</si>
  <si>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</si>
  <si>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</si>
  <si>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</si>
  <si>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</si>
  <si>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</si>
  <si>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</si>
  <si>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</si>
  <si>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</si>
  <si>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</si>
  <si>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</si>
  <si>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</si>
  <si>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</si>
  <si>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</si>
  <si>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</si>
  <si>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</si>
  <si>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</si>
  <si>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</si>
  <si>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</si>
  <si>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</si>
  <si>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</si>
  <si>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</si>
  <si>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</si>
  <si>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</si>
  <si>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</si>
  <si>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</si>
  <si>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</si>
  <si>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</si>
  <si>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</si>
  <si>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</si>
  <si>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</si>
  <si>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</si>
  <si>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</si>
  <si>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</si>
  <si>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</si>
  <si>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</si>
  <si>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</si>
  <si>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</si>
  <si>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</si>
  <si>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</si>
  <si>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</si>
  <si>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</si>
  <si>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</si>
  <si>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</si>
  <si>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</si>
  <si>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</si>
  <si>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</si>
  <si>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</si>
  <si>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</si>
  <si>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</si>
  <si>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</si>
  <si>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</si>
  <si>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</si>
  <si>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</si>
  <si>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</si>
  <si>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</si>
  <si>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</si>
  <si>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</si>
  <si>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</si>
  <si>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</si>
  <si>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</si>
  <si>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</si>
  <si>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</si>
  <si>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</si>
  <si>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</si>
  <si>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</si>
  <si>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</si>
  <si>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</si>
  <si>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</si>
  <si>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</si>
  <si>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</si>
  <si>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</si>
  <si>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</si>
  <si>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</si>
  <si>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</si>
  <si>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</si>
  <si>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</si>
  <si>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</si>
  <si>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</si>
  <si>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</si>
  <si>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</si>
  <si>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</si>
  <si>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</si>
  <si>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</si>
  <si>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</si>
  <si>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</si>
  <si>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</si>
  <si>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</si>
  <si>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</si>
  <si>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</si>
  <si>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</si>
  <si>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</si>
  <si>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</si>
  <si>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</si>
  <si>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</si>
  <si>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</si>
  <si>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</si>
  <si>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</si>
  <si>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</si>
  <si>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</si>
  <si>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</si>
  <si>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</si>
  <si>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</si>
  <si>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</si>
  <si>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</si>
  <si>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</si>
  <si>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</si>
  <si>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</si>
  <si>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</si>
  <si>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</si>
  <si>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</si>
  <si>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</si>
  <si>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</si>
  <si>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</si>
  <si>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</si>
  <si>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</si>
  <si>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</si>
  <si>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</si>
  <si>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</si>
  <si>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</si>
  <si>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</si>
  <si>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</si>
  <si>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</si>
  <si>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</si>
  <si>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</si>
  <si>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</si>
  <si>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</si>
  <si>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</si>
  <si>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</si>
  <si>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</si>
  <si>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</si>
  <si>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</si>
  <si>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</si>
  <si>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</si>
  <si>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</si>
  <si>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</si>
  <si>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</si>
  <si>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</si>
  <si>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</si>
  <si>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</si>
  <si>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</si>
  <si>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</si>
  <si>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</si>
  <si>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</si>
  <si>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</si>
  <si>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</si>
  <si>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</si>
  <si>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</si>
  <si>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</si>
  <si>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</si>
  <si>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</si>
  <si>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</si>
  <si>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</si>
  <si>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</si>
  <si>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</si>
  <si>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</si>
  <si>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</si>
  <si>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</si>
  <si>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</si>
  <si>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</si>
  <si>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</si>
  <si>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</si>
  <si>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</si>
  <si>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</si>
  <si>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</si>
  <si>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</si>
  <si>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</si>
  <si>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</si>
  <si>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</si>
  <si>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</si>
  <si>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</si>
  <si>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</si>
  <si>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</si>
  <si>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</si>
  <si>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</si>
  <si>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SRT-0354/22</t>
  </si>
  <si>
    <t>Nada Diljkan, SRT-0354/22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</si>
</sst>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31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indexed="52"/>
      <name val="Calibri"/>
      <family val="2"/>
      <charset val="238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17"/>
      <name val="Calibri"/>
      <family val="2"/>
      <charset val="238"/>
    </font>
    <font>
      <b/>
      <sz val="11"/>
      <color indexed="61"/>
      <name val="Calibri"/>
      <family val="2"/>
    </font>
    <font>
      <b/>
      <sz val="14"/>
      <color indexed="61"/>
      <name val="Calibri"/>
      <family val="2"/>
    </font>
    <font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9"/>
      <name val="Calibri"/>
      <family val="2"/>
    </font>
    <font>
      <sz val="10"/>
      <color indexed="20"/>
      <name val="Calibri"/>
      <family val="2"/>
      <charset val="238"/>
    </font>
    <font>
      <sz val="8"/>
      <name val="Calibri"/>
      <family val="2"/>
    </font>
    <font>
      <sz val="11"/>
      <color rgb="FF9C0006"/>
      <name val="Calibri"/>
      <family val="2"/>
      <charset val="238"/>
      <scheme val="minor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lightGray">
        <fgColor indexed="22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</fills>
  <borders count="8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45"/>
      </left>
      <right style="thin">
        <color indexed="64"/>
      </right>
      <top style="thin">
        <color indexed="45"/>
      </top>
      <bottom style="thin">
        <color indexed="45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45"/>
      </right>
      <top style="thin">
        <color indexed="45"/>
      </top>
      <bottom/>
      <diagonal/>
    </border>
    <border>
      <left style="thin">
        <color indexed="45"/>
      </left>
      <right style="thin">
        <color indexed="45"/>
      </right>
      <top style="thin">
        <color indexed="45"/>
      </top>
      <bottom/>
      <diagonal/>
    </border>
    <border>
      <left style="thin">
        <color indexed="45"/>
      </left>
      <right style="thin">
        <color indexed="64"/>
      </right>
      <top style="thin">
        <color indexed="45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ck">
        <color indexed="9"/>
      </bottom>
      <diagonal/>
    </border>
    <border>
      <left style="thin">
        <color indexed="9"/>
      </left>
      <right/>
      <top/>
      <bottom style="thick">
        <color indexed="9"/>
      </bottom>
      <diagonal/>
    </border>
    <border>
      <left style="thin">
        <color indexed="9"/>
      </left>
      <right style="thin">
        <color indexed="9"/>
      </right>
      <top/>
      <bottom style="thick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45"/>
      </left>
      <right style="thin">
        <color indexed="45"/>
      </right>
      <top style="thin">
        <color indexed="64"/>
      </top>
      <bottom style="thin">
        <color indexed="45"/>
      </bottom>
      <diagonal/>
    </border>
    <border>
      <left style="thin">
        <color indexed="64"/>
      </left>
      <right style="thin">
        <color indexed="45"/>
      </right>
      <top style="thin">
        <color indexed="64"/>
      </top>
      <bottom style="thin">
        <color indexed="45"/>
      </bottom>
      <diagonal/>
    </border>
    <border>
      <left style="thin">
        <color indexed="64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45"/>
      </left>
      <right style="thin">
        <color indexed="64"/>
      </right>
      <top style="thin">
        <color indexed="64"/>
      </top>
      <bottom style="thin">
        <color indexed="4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24" fillId="9" borderId="0" applyNumberFormat="0" applyBorder="0" applyAlignment="0" applyProtection="0"/>
    <xf numFmtId="0" fontId="25" fillId="10" borderId="86" applyNumberFormat="0" applyAlignment="0" applyProtection="0"/>
    <xf numFmtId="0" fontId="26" fillId="11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27" fillId="0" borderId="0" applyNumberFormat="0" applyFill="0" applyBorder="0" applyAlignment="0" applyProtection="0"/>
    <xf numFmtId="0" fontId="28" fillId="12" borderId="86" applyNumberFormat="0" applyAlignment="0" applyProtection="0"/>
    <xf numFmtId="0" fontId="29" fillId="13" borderId="2">
      <alignment horizontal="center" vertical="center"/>
      <protection locked="0"/>
    </xf>
    <xf numFmtId="169" fontId="6" fillId="13" borderId="3">
      <alignment horizontal="left" indent="1"/>
      <protection locked="0"/>
    </xf>
    <xf numFmtId="0" fontId="29" fillId="13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4" borderId="5">
      <alignment horizontal="left" indent="1"/>
      <protection locked="0"/>
    </xf>
  </cellStyleXfs>
  <cellXfs count="5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3" fillId="4" borderId="6" xfId="0" applyFont="1" applyFill="1" applyBorder="1" applyAlignment="1" applyProtection="1">
      <alignment horizontal="center" vertical="center"/>
      <protection hidden="1"/>
    </xf>
    <xf numFmtId="0" fontId="13" fillId="4" borderId="6" xfId="0" applyFont="1" applyFill="1" applyBorder="1" applyAlignment="1" applyProtection="1">
      <alignment horizontal="center" vertical="center" wrapText="1"/>
      <protection hidden="1"/>
    </xf>
    <xf numFmtId="0" fontId="13" fillId="4" borderId="7" xfId="0" applyFont="1" applyFill="1" applyBorder="1" applyAlignment="1" applyProtection="1">
      <alignment horizontal="center"/>
      <protection hidden="1"/>
    </xf>
    <xf numFmtId="0" fontId="13" fillId="4" borderId="6" xfId="0" applyFont="1" applyFill="1" applyBorder="1" applyAlignment="1" applyProtection="1">
      <alignment horizontal="center"/>
      <protection hidden="1"/>
    </xf>
    <xf numFmtId="0" fontId="13" fillId="4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5" borderId="9" xfId="0" applyNumberFormat="1" applyFont="1" applyFill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5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6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5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5" borderId="14" xfId="0" applyNumberFormat="1" applyFont="1" applyFill="1" applyBorder="1" applyAlignment="1" applyProtection="1">
      <alignment vertical="center"/>
      <protection hidden="1"/>
    </xf>
    <xf numFmtId="3" fontId="4" fillId="5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5" borderId="16" xfId="0" applyNumberFormat="1" applyFont="1" applyFill="1" applyBorder="1" applyAlignment="1" applyProtection="1">
      <alignment vertical="center"/>
      <protection hidden="1"/>
    </xf>
    <xf numFmtId="3" fontId="4" fillId="5" borderId="17" xfId="0" applyNumberFormat="1" applyFont="1" applyFill="1" applyBorder="1" applyAlignment="1" applyProtection="1">
      <alignment vertical="center"/>
      <protection hidden="1"/>
    </xf>
    <xf numFmtId="0" fontId="26" fillId="11" borderId="0" xfId="4" applyAlignment="1">
      <alignment horizontal="center" vertical="center"/>
    </xf>
    <xf numFmtId="0" fontId="13" fillId="4" borderId="18" xfId="0" applyFont="1" applyFill="1" applyBorder="1" applyAlignment="1" applyProtection="1">
      <alignment horizontal="center"/>
      <protection hidden="1"/>
    </xf>
    <xf numFmtId="0" fontId="13" fillId="4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3" fillId="4" borderId="20" xfId="0" applyFont="1" applyFill="1" applyBorder="1" applyAlignment="1" applyProtection="1">
      <alignment horizontal="center" vertical="center" wrapText="1"/>
      <protection hidden="1"/>
    </xf>
    <xf numFmtId="0" fontId="13" fillId="4" borderId="2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2" xfId="0" applyNumberFormat="1" applyFill="1" applyBorder="1" applyAlignment="1" applyProtection="1">
      <alignment horizontal="right" vertical="center"/>
      <protection hidden="1"/>
    </xf>
    <xf numFmtId="3" fontId="0" fillId="0" borderId="22" xfId="0" applyNumberFormat="1" applyFill="1" applyBorder="1" applyAlignment="1" applyProtection="1">
      <alignment horizontal="left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11" applyProtection="1">
      <alignment horizontal="left" indent="1"/>
      <protection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  <xf numFmtId="0" fontId="13" fillId="4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3" xfId="0" applyNumberFormat="1" applyFont="1" applyBorder="1" applyAlignment="1" applyProtection="1">
      <alignment horizontal="right" vertical="center"/>
      <protection hidden="1"/>
    </xf>
    <xf numFmtId="3" fontId="4" fillId="5" borderId="17" xfId="0" applyNumberFormat="1" applyFont="1" applyFill="1" applyBorder="1" applyAlignment="1" applyProtection="1">
      <alignment horizontal="right" vertical="center"/>
      <protection hidden="1"/>
    </xf>
    <xf numFmtId="3" fontId="4" fillId="5" borderId="23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10" borderId="86" xfId="3" applyFont="1"/>
    <xf numFmtId="0" fontId="0" fillId="0" borderId="0" xfId="0" applyAlignment="1">
      <alignment horizontal="center" vertical="center" wrapText="1"/>
    </xf>
    <xf numFmtId="0" fontId="14" fillId="11" borderId="0" xfId="4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5" borderId="24" xfId="5" applyFill="1" applyBorder="1">
      <alignment horizontal="center" vertical="center" wrapText="1"/>
      <protection hidden="1"/>
    </xf>
    <xf numFmtId="166" fontId="5" fillId="5" borderId="1" xfId="1" applyFill="1" applyBorder="1">
      <alignment horizontal="center" vertical="center"/>
      <protection hidden="1"/>
    </xf>
    <xf numFmtId="3" fontId="4" fillId="5" borderId="25" xfId="0" applyNumberFormat="1" applyFont="1" applyFill="1" applyBorder="1" applyAlignment="1" applyProtection="1">
      <alignment horizontal="right" vertical="center"/>
      <protection hidden="1"/>
    </xf>
    <xf numFmtId="168" fontId="5" fillId="0" borderId="24" xfId="5" applyBorder="1">
      <alignment horizontal="center" vertical="center" wrapText="1"/>
      <protection hidden="1"/>
    </xf>
    <xf numFmtId="166" fontId="5" fillId="0" borderId="1" xfId="1" applyFill="1" applyBorder="1">
      <alignment horizontal="center" vertical="center"/>
      <protection hidden="1"/>
    </xf>
    <xf numFmtId="3" fontId="4" fillId="0" borderId="25" xfId="0" applyNumberFormat="1" applyFont="1" applyBorder="1" applyAlignment="1" applyProtection="1">
      <alignment horizontal="right" vertical="center"/>
      <protection hidden="1"/>
    </xf>
    <xf numFmtId="168" fontId="5" fillId="0" borderId="24" xfId="5" applyFill="1" applyBorder="1">
      <alignment horizontal="center" vertical="center" wrapText="1"/>
      <protection hidden="1"/>
    </xf>
    <xf numFmtId="3" fontId="4" fillId="0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25" xfId="0" applyNumberFormat="1" applyFont="1" applyFill="1" applyBorder="1" applyAlignment="1" applyProtection="1">
      <alignment horizontal="right" vertical="center"/>
      <protection hidden="1"/>
    </xf>
    <xf numFmtId="168" fontId="5" fillId="0" borderId="18" xfId="5" applyFill="1" applyBorder="1">
      <alignment horizontal="center" vertical="center" wrapText="1"/>
      <protection hidden="1"/>
    </xf>
    <xf numFmtId="166" fontId="5" fillId="0" borderId="12" xfId="1" applyFill="1" applyBorder="1">
      <alignment horizontal="center" vertical="center"/>
      <protection hidden="1"/>
    </xf>
    <xf numFmtId="0" fontId="13" fillId="4" borderId="26" xfId="0" applyFont="1" applyFill="1" applyBorder="1" applyAlignment="1" applyProtection="1">
      <alignment horizontal="center"/>
      <protection hidden="1"/>
    </xf>
    <xf numFmtId="0" fontId="13" fillId="4" borderId="27" xfId="0" applyFont="1" applyFill="1" applyBorder="1" applyAlignment="1" applyProtection="1">
      <alignment horizontal="center"/>
      <protection hidden="1"/>
    </xf>
    <xf numFmtId="0" fontId="13" fillId="4" borderId="28" xfId="0" applyFont="1" applyFill="1" applyBorder="1" applyAlignment="1" applyProtection="1">
      <alignment horizontal="center"/>
      <protection hidden="1"/>
    </xf>
    <xf numFmtId="168" fontId="5" fillId="0" borderId="29" xfId="5" applyBorder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horizontal="right" vertical="center"/>
      <protection hidden="1"/>
    </xf>
    <xf numFmtId="3" fontId="4" fillId="0" borderId="31" xfId="0" applyNumberFormat="1" applyFont="1" applyBorder="1" applyAlignment="1" applyProtection="1">
      <alignment horizontal="right" vertical="center"/>
      <protection hidden="1"/>
    </xf>
    <xf numFmtId="168" fontId="5" fillId="5" borderId="29" xfId="5" applyFill="1" applyBorder="1">
      <alignment horizontal="center" vertical="center" wrapText="1"/>
      <protection hidden="1"/>
    </xf>
    <xf numFmtId="166" fontId="5" fillId="5" borderId="30" xfId="1" applyFill="1" applyBorder="1">
      <alignment horizontal="center" vertical="center"/>
      <protection hidden="1"/>
    </xf>
    <xf numFmtId="3" fontId="4" fillId="5" borderId="30" xfId="0" applyNumberFormat="1" applyFont="1" applyFill="1" applyBorder="1" applyAlignment="1" applyProtection="1">
      <alignment horizontal="right" vertical="center" wrapText="1"/>
      <protection hidden="1"/>
    </xf>
    <xf numFmtId="3" fontId="4" fillId="5" borderId="3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25" xfId="0" applyNumberFormat="1" applyFont="1" applyFill="1" applyBorder="1" applyAlignment="1" applyProtection="1">
      <alignment horizontal="right" vertical="center" wrapText="1"/>
      <protection hidden="1"/>
    </xf>
    <xf numFmtId="3" fontId="4" fillId="5" borderId="1" xfId="0" applyNumberFormat="1" applyFont="1" applyFill="1" applyBorder="1" applyAlignment="1" applyProtection="1">
      <alignment horizontal="right" vertical="center" wrapText="1"/>
      <protection hidden="1"/>
    </xf>
    <xf numFmtId="3" fontId="4" fillId="5" borderId="25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1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19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30" xfId="1" applyBorder="1">
      <alignment horizontal="center" vertical="center"/>
      <protection hidden="1"/>
    </xf>
    <xf numFmtId="3" fontId="0" fillId="0" borderId="30" xfId="0" applyNumberFormat="1" applyFill="1" applyBorder="1" applyAlignment="1" applyProtection="1">
      <alignment horizontal="right" vertical="center"/>
      <protection hidden="1"/>
    </xf>
    <xf numFmtId="3" fontId="0" fillId="0" borderId="31" xfId="0" applyNumberFormat="1" applyFill="1" applyBorder="1" applyAlignment="1" applyProtection="1">
      <alignment horizontal="right" vertical="center"/>
      <protection hidden="1"/>
    </xf>
    <xf numFmtId="166" fontId="5" fillId="0" borderId="1" xfId="1" applyBorder="1">
      <alignment horizontal="center" vertical="center"/>
      <protection hidden="1"/>
    </xf>
    <xf numFmtId="168" fontId="5" fillId="0" borderId="18" xfId="5" applyBorder="1">
      <alignment horizontal="center" vertical="center" wrapText="1"/>
      <protection hidden="1"/>
    </xf>
    <xf numFmtId="166" fontId="5" fillId="0" borderId="12" xfId="1" applyBorder="1">
      <alignment horizontal="center" vertical="center"/>
      <protection hidden="1"/>
    </xf>
    <xf numFmtId="0" fontId="13" fillId="4" borderId="27" xfId="0" quotePrefix="1" applyFont="1" applyFill="1" applyBorder="1" applyAlignment="1" applyProtection="1">
      <alignment horizontal="center"/>
      <protection hidden="1"/>
    </xf>
    <xf numFmtId="0" fontId="13" fillId="4" borderId="28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5" borderId="1" xfId="0" applyNumberFormat="1" applyFont="1" applyFill="1" applyBorder="1" applyAlignment="1" applyProtection="1">
      <alignment horizontal="right" vertical="center"/>
      <protection locked="0"/>
    </xf>
    <xf numFmtId="3" fontId="4" fillId="5" borderId="25" xfId="0" applyNumberFormat="1" applyFont="1" applyFill="1" applyBorder="1" applyAlignment="1" applyProtection="1">
      <alignment horizontal="right" vertical="center"/>
      <protection locked="0"/>
    </xf>
    <xf numFmtId="0" fontId="29" fillId="13" borderId="2" xfId="8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27" fillId="0" borderId="0" xfId="6" applyAlignment="1" applyProtection="1">
      <alignment horizontal="left"/>
      <protection hidden="1"/>
    </xf>
    <xf numFmtId="0" fontId="27" fillId="0" borderId="0" xfId="6" applyProtection="1">
      <protection hidden="1"/>
    </xf>
    <xf numFmtId="0" fontId="3" fillId="5" borderId="32" xfId="0" applyFont="1" applyFill="1" applyBorder="1" applyAlignment="1" applyProtection="1">
      <alignment horizontal="right" vertical="center" indent="1"/>
      <protection hidden="1"/>
    </xf>
    <xf numFmtId="0" fontId="29" fillId="13" borderId="33" xfId="8" applyBorder="1">
      <alignment horizontal="center" vertical="center"/>
      <protection locked="0"/>
    </xf>
    <xf numFmtId="0" fontId="6" fillId="3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3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29" fillId="13" borderId="34" xfId="10" applyBorder="1" applyProtection="1">
      <alignment horizontal="left" vertical="center"/>
      <protection hidden="1"/>
    </xf>
    <xf numFmtId="0" fontId="29" fillId="13" borderId="35" xfId="10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36" xfId="0" applyFill="1" applyBorder="1"/>
    <xf numFmtId="0" fontId="0" fillId="0" borderId="37" xfId="0" applyFill="1" applyBorder="1"/>
    <xf numFmtId="0" fontId="0" fillId="0" borderId="38" xfId="0" applyFill="1" applyBorder="1" applyAlignment="1">
      <alignment horizontal="left" vertical="center"/>
    </xf>
    <xf numFmtId="0" fontId="0" fillId="0" borderId="39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40" xfId="0" applyFill="1" applyBorder="1" applyAlignment="1">
      <alignment horizontal="left" vertical="center"/>
    </xf>
    <xf numFmtId="0" fontId="0" fillId="0" borderId="41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3" fillId="4" borderId="42" xfId="0" applyFont="1" applyFill="1" applyBorder="1" applyAlignment="1" applyProtection="1">
      <alignment horizontal="center"/>
      <protection hidden="1"/>
    </xf>
    <xf numFmtId="0" fontId="25" fillId="10" borderId="86" xfId="3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7" borderId="34" xfId="5" applyFont="1" applyFill="1" applyBorder="1">
      <alignment horizontal="center" vertical="center" wrapText="1"/>
      <protection hidden="1"/>
    </xf>
    <xf numFmtId="168" fontId="5" fillId="0" borderId="24" xfId="5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5" borderId="24" xfId="5" applyFont="1" applyFill="1" applyBorder="1">
      <alignment horizontal="center" vertical="center" wrapText="1"/>
      <protection hidden="1"/>
    </xf>
    <xf numFmtId="166" fontId="5" fillId="5" borderId="1" xfId="1" applyFont="1" applyFill="1" applyBorder="1">
      <alignment horizontal="center" vertical="center"/>
      <protection hidden="1"/>
    </xf>
    <xf numFmtId="0" fontId="5" fillId="0" borderId="43" xfId="0" applyFont="1" applyBorder="1" applyAlignment="1" applyProtection="1">
      <protection hidden="1"/>
    </xf>
    <xf numFmtId="3" fontId="5" fillId="0" borderId="43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8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29" fillId="13" borderId="34" xfId="8" applyBorder="1">
      <alignment horizontal="center" vertical="center"/>
      <protection locked="0"/>
    </xf>
    <xf numFmtId="0" fontId="29" fillId="13" borderId="5" xfId="8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5" fillId="0" borderId="0" xfId="0" applyFont="1" applyFill="1" applyProtection="1">
      <protection hidden="1"/>
    </xf>
    <xf numFmtId="0" fontId="16" fillId="0" borderId="0" xfId="0" applyFont="1" applyFill="1" applyAlignment="1" applyProtection="1">
      <alignment horizontal="center" vertical="center"/>
      <protection hidden="1"/>
    </xf>
    <xf numFmtId="0" fontId="17" fillId="0" borderId="0" xfId="0" applyFont="1" applyFill="1" applyProtection="1">
      <protection hidden="1"/>
    </xf>
    <xf numFmtId="0" fontId="0" fillId="0" borderId="34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5" borderId="1" xfId="0" applyNumberFormat="1" applyFont="1" applyFill="1" applyBorder="1" applyAlignment="1" applyProtection="1">
      <alignment horizontal="right" vertical="center"/>
      <protection hidden="1"/>
    </xf>
    <xf numFmtId="3" fontId="0" fillId="5" borderId="25" xfId="0" applyNumberFormat="1" applyFont="1" applyFill="1" applyBorder="1" applyAlignment="1" applyProtection="1">
      <alignment horizontal="right" vertical="center"/>
      <protection hidden="1"/>
    </xf>
    <xf numFmtId="3" fontId="0" fillId="0" borderId="25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5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3" xfId="0" applyNumberFormat="1" applyFont="1" applyBorder="1" applyAlignment="1" applyProtection="1">
      <alignment horizontal="right" vertical="center"/>
      <protection hidden="1"/>
    </xf>
    <xf numFmtId="3" fontId="0" fillId="5" borderId="17" xfId="0" applyNumberFormat="1" applyFont="1" applyFill="1" applyBorder="1" applyAlignment="1" applyProtection="1">
      <alignment horizontal="right" vertical="center"/>
      <protection hidden="1"/>
    </xf>
    <xf numFmtId="3" fontId="0" fillId="5" borderId="23" xfId="0" applyNumberFormat="1" applyFont="1" applyFill="1" applyBorder="1" applyAlignment="1" applyProtection="1">
      <alignment horizontal="right" vertical="center"/>
      <protection hidden="1"/>
    </xf>
    <xf numFmtId="3" fontId="0" fillId="0" borderId="30" xfId="0" applyNumberFormat="1" applyFont="1" applyBorder="1" applyAlignment="1" applyProtection="1">
      <alignment horizontal="right" vertical="center"/>
      <protection hidden="1"/>
    </xf>
    <xf numFmtId="3" fontId="0" fillId="5" borderId="1" xfId="0" applyNumberFormat="1" applyFont="1" applyFill="1" applyBorder="1" applyAlignment="1" applyProtection="1">
      <alignment horizontal="right" vertical="center"/>
      <protection locked="0"/>
    </xf>
    <xf numFmtId="3" fontId="0" fillId="5" borderId="25" xfId="0" applyNumberFormat="1" applyFont="1" applyFill="1" applyBorder="1" applyAlignment="1" applyProtection="1">
      <alignment horizontal="right" vertical="center"/>
      <protection locked="0"/>
    </xf>
    <xf numFmtId="3" fontId="0" fillId="0" borderId="1" xfId="0" applyNumberFormat="1" applyFont="1" applyBorder="1" applyAlignment="1" applyProtection="1">
      <alignment horizontal="right" vertical="center"/>
      <protection locked="0"/>
    </xf>
    <xf numFmtId="3" fontId="0" fillId="0" borderId="25" xfId="0" applyNumberFormat="1" applyFont="1" applyBorder="1" applyAlignment="1" applyProtection="1">
      <alignment horizontal="right" vertical="center"/>
      <protection locked="0"/>
    </xf>
    <xf numFmtId="3" fontId="0" fillId="0" borderId="1" xfId="0" applyNumberFormat="1" applyFont="1" applyFill="1" applyBorder="1" applyAlignment="1" applyProtection="1">
      <alignment horizontal="right" vertical="center"/>
      <protection locked="0"/>
    </xf>
    <xf numFmtId="3" fontId="0" fillId="0" borderId="25" xfId="0" applyNumberFormat="1" applyFont="1" applyFill="1" applyBorder="1" applyAlignment="1" applyProtection="1">
      <alignment horizontal="right" vertical="center"/>
      <protection locked="0"/>
    </xf>
    <xf numFmtId="3" fontId="4" fillId="0" borderId="1" xfId="0" applyNumberFormat="1" applyFont="1" applyFill="1" applyBorder="1" applyAlignment="1" applyProtection="1">
      <alignment horizontal="right" vertical="center"/>
      <protection locked="0"/>
    </xf>
    <xf numFmtId="3" fontId="4" fillId="0" borderId="25" xfId="0" applyNumberFormat="1" applyFont="1" applyFill="1" applyBorder="1" applyAlignment="1" applyProtection="1">
      <alignment horizontal="right" vertical="center"/>
      <protection locked="0"/>
    </xf>
    <xf numFmtId="3" fontId="0" fillId="5" borderId="1" xfId="0" applyNumberFormat="1" applyFont="1" applyFill="1" applyBorder="1" applyAlignment="1" applyProtection="1">
      <alignment horizontal="right" vertical="center" wrapText="1"/>
      <protection locked="0"/>
    </xf>
    <xf numFmtId="3" fontId="0" fillId="5" borderId="25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25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25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4" xfId="10" quotePrefix="1" applyFill="1" applyAlignment="1" applyProtection="1">
      <alignment horizontal="left" vertical="center" indent="1"/>
      <protection hidden="1"/>
    </xf>
    <xf numFmtId="3" fontId="4" fillId="5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11" applyFont="1" applyProtection="1">
      <alignment horizontal="left" indent="1"/>
      <protection hidden="1"/>
    </xf>
    <xf numFmtId="168" fontId="4" fillId="7" borderId="34" xfId="5" applyFont="1" applyFill="1" applyBorder="1">
      <alignment horizontal="center" vertical="center" wrapText="1"/>
      <protection hidden="1"/>
    </xf>
    <xf numFmtId="168" fontId="4" fillId="5" borderId="44" xfId="5" applyFont="1" applyFill="1" applyBorder="1">
      <alignment horizontal="center" vertical="center" wrapText="1"/>
      <protection hidden="1"/>
    </xf>
    <xf numFmtId="166" fontId="4" fillId="5" borderId="9" xfId="1" applyFont="1" applyFill="1" applyBorder="1">
      <alignment horizontal="center" vertical="center"/>
      <protection hidden="1"/>
    </xf>
    <xf numFmtId="168" fontId="4" fillId="0" borderId="24" xfId="5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5" borderId="24" xfId="5" applyFont="1" applyFill="1" applyBorder="1">
      <alignment horizontal="center" vertical="center" wrapText="1"/>
      <protection hidden="1"/>
    </xf>
    <xf numFmtId="166" fontId="4" fillId="5" borderId="1" xfId="1" applyFont="1" applyFill="1" applyBorder="1">
      <alignment horizontal="center" vertical="center"/>
      <protection hidden="1"/>
    </xf>
    <xf numFmtId="168" fontId="4" fillId="5" borderId="7" xfId="5" applyFont="1" applyFill="1" applyBorder="1">
      <alignment horizontal="center" vertical="center" wrapText="1"/>
      <protection hidden="1"/>
    </xf>
    <xf numFmtId="166" fontId="4" fillId="5" borderId="6" xfId="1" applyFont="1" applyFill="1" applyBorder="1">
      <alignment horizontal="center" vertical="center"/>
      <protection hidden="1"/>
    </xf>
    <xf numFmtId="168" fontId="4" fillId="0" borderId="18" xfId="5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7" borderId="45" xfId="0" applyFont="1" applyFill="1" applyBorder="1" applyAlignment="1" applyProtection="1">
      <protection hidden="1"/>
    </xf>
    <xf numFmtId="0" fontId="0" fillId="7" borderId="35" xfId="0" applyFont="1" applyFill="1" applyBorder="1" applyAlignment="1" applyProtection="1">
      <protection hidden="1"/>
    </xf>
    <xf numFmtId="0" fontId="4" fillId="7" borderId="46" xfId="0" applyFont="1" applyFill="1" applyBorder="1" applyAlignment="1" applyProtection="1">
      <alignment vertical="center"/>
      <protection hidden="1"/>
    </xf>
    <xf numFmtId="0" fontId="4" fillId="7" borderId="45" xfId="0" applyFont="1" applyFill="1" applyBorder="1" applyAlignment="1" applyProtection="1">
      <alignment vertical="center" wrapText="1"/>
      <protection hidden="1"/>
    </xf>
    <xf numFmtId="0" fontId="4" fillId="7" borderId="47" xfId="0" applyFont="1" applyFill="1" applyBorder="1" applyAlignment="1" applyProtection="1">
      <alignment vertical="center" wrapText="1"/>
      <protection hidden="1"/>
    </xf>
    <xf numFmtId="0" fontId="4" fillId="7" borderId="46" xfId="0" applyFont="1" applyFill="1" applyBorder="1" applyAlignment="1" applyProtection="1">
      <alignment horizontal="center" vertical="center" wrapText="1"/>
      <protection hidden="1"/>
    </xf>
    <xf numFmtId="0" fontId="4" fillId="7" borderId="35" xfId="0" applyFont="1" applyFill="1" applyBorder="1" applyAlignment="1" applyProtection="1">
      <alignment horizontal="center" vertical="center" wrapText="1"/>
      <protection hidden="1"/>
    </xf>
    <xf numFmtId="3" fontId="4" fillId="0" borderId="42" xfId="0" applyNumberFormat="1" applyFont="1" applyBorder="1" applyAlignment="1" applyProtection="1">
      <alignment vertical="center"/>
      <protection hidden="1"/>
    </xf>
    <xf numFmtId="3" fontId="4" fillId="0" borderId="48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5" borderId="16" xfId="0" applyNumberFormat="1" applyFont="1" applyFill="1" applyBorder="1" applyAlignment="1" applyProtection="1">
      <alignment vertical="center"/>
      <protection hidden="1"/>
    </xf>
    <xf numFmtId="3" fontId="0" fillId="5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49" xfId="0" applyFill="1" applyBorder="1"/>
    <xf numFmtId="0" fontId="0" fillId="0" borderId="50" xfId="0" applyFill="1" applyBorder="1"/>
    <xf numFmtId="0" fontId="0" fillId="0" borderId="51" xfId="0" applyFill="1" applyBorder="1"/>
    <xf numFmtId="3" fontId="4" fillId="0" borderId="48" xfId="0" applyNumberFormat="1" applyFont="1" applyBorder="1" applyAlignment="1" applyProtection="1">
      <alignment horizontal="right" vertical="center"/>
      <protection hidden="1"/>
    </xf>
    <xf numFmtId="3" fontId="4" fillId="0" borderId="52" xfId="0" applyNumberFormat="1" applyFont="1" applyBorder="1" applyAlignment="1" applyProtection="1">
      <alignment horizontal="right" vertical="center"/>
      <protection hidden="1"/>
    </xf>
    <xf numFmtId="49" fontId="5" fillId="0" borderId="4" xfId="11" applyBorder="1" applyAlignment="1">
      <protection hidden="1"/>
    </xf>
    <xf numFmtId="49" fontId="5" fillId="0" borderId="4" xfId="11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11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29" xfId="5" applyFont="1" applyBorder="1" applyAlignment="1">
      <alignment horizontal="center" vertical="center" wrapText="1"/>
      <protection hidden="1"/>
    </xf>
    <xf numFmtId="166" fontId="4" fillId="0" borderId="30" xfId="1" applyFont="1" applyFill="1" applyBorder="1">
      <alignment horizontal="center" vertical="center"/>
      <protection hidden="1"/>
    </xf>
    <xf numFmtId="168" fontId="4" fillId="5" borderId="24" xfId="5" applyFont="1" applyFill="1" applyBorder="1" applyAlignment="1">
      <alignment horizontal="center" vertical="center" wrapText="1"/>
      <protection hidden="1"/>
    </xf>
    <xf numFmtId="168" fontId="4" fillId="0" borderId="24" xfId="5" applyFont="1" applyBorder="1" applyAlignment="1">
      <alignment horizontal="center" vertical="center" wrapText="1"/>
      <protection hidden="1"/>
    </xf>
    <xf numFmtId="168" fontId="4" fillId="0" borderId="24" xfId="5" applyFont="1" applyFill="1" applyBorder="1" applyAlignment="1">
      <alignment horizontal="center" vertical="center" wrapText="1"/>
      <protection hidden="1"/>
    </xf>
    <xf numFmtId="168" fontId="5" fillId="5" borderId="24" xfId="5" applyFont="1" applyFill="1" applyBorder="1" applyAlignment="1">
      <alignment horizontal="center" vertical="center" wrapText="1"/>
      <protection hidden="1"/>
    </xf>
    <xf numFmtId="168" fontId="5" fillId="0" borderId="24" xfId="5" applyFont="1" applyBorder="1" applyAlignment="1">
      <alignment horizontal="center" vertical="center" wrapText="1"/>
      <protection hidden="1"/>
    </xf>
    <xf numFmtId="168" fontId="5" fillId="0" borderId="24" xfId="5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8" borderId="2" xfId="0" applyFill="1" applyBorder="1" applyAlignment="1">
      <alignment wrapText="1"/>
    </xf>
    <xf numFmtId="168" fontId="4" fillId="0" borderId="29" xfId="5" applyFont="1" applyBorder="1" applyProtection="1">
      <alignment horizontal="center" vertical="center" wrapText="1"/>
      <protection hidden="1"/>
    </xf>
    <xf numFmtId="166" fontId="4" fillId="0" borderId="30" xfId="1" applyFont="1" applyBorder="1" applyProtection="1">
      <alignment horizontal="center" vertical="center"/>
      <protection hidden="1"/>
    </xf>
    <xf numFmtId="168" fontId="4" fillId="5" borderId="24" xfId="5" applyFont="1" applyFill="1" applyBorder="1" applyProtection="1">
      <alignment horizontal="center" vertical="center" wrapText="1"/>
      <protection hidden="1"/>
    </xf>
    <xf numFmtId="166" fontId="4" fillId="5" borderId="1" xfId="1" applyFont="1" applyFill="1" applyBorder="1" applyProtection="1">
      <alignment horizontal="center" vertical="center"/>
      <protection hidden="1"/>
    </xf>
    <xf numFmtId="168" fontId="4" fillId="0" borderId="24" xfId="5" applyFont="1" applyBorder="1" applyProtection="1">
      <alignment horizontal="center" vertical="center" wrapText="1"/>
      <protection hidden="1"/>
    </xf>
    <xf numFmtId="166" fontId="4" fillId="0" borderId="1" xfId="1" applyFont="1" applyBorder="1" applyProtection="1">
      <alignment horizontal="center" vertical="center"/>
      <protection hidden="1"/>
    </xf>
    <xf numFmtId="168" fontId="4" fillId="0" borderId="18" xfId="5" applyFont="1" applyBorder="1" applyProtection="1">
      <alignment horizontal="center" vertical="center" wrapText="1"/>
      <protection hidden="1"/>
    </xf>
    <xf numFmtId="166" fontId="4" fillId="0" borderId="12" xfId="1" applyFont="1" applyBorder="1" applyProtection="1">
      <alignment horizontal="center" vertical="center"/>
      <protection hidden="1"/>
    </xf>
    <xf numFmtId="168" fontId="5" fillId="5" borderId="24" xfId="5" applyFont="1" applyFill="1" applyBorder="1" applyProtection="1">
      <alignment horizontal="center" vertical="center" wrapText="1"/>
      <protection hidden="1"/>
    </xf>
    <xf numFmtId="166" fontId="5" fillId="5" borderId="1" xfId="1" applyFont="1" applyFill="1" applyBorder="1" applyProtection="1">
      <alignment horizontal="center" vertical="center"/>
      <protection hidden="1"/>
    </xf>
    <xf numFmtId="168" fontId="5" fillId="0" borderId="24" xfId="5" applyFont="1" applyBorder="1" applyProtection="1">
      <alignment horizontal="center" vertical="center" wrapText="1"/>
      <protection hidden="1"/>
    </xf>
    <xf numFmtId="166" fontId="5" fillId="0" borderId="1" xfId="1" applyFont="1" applyBorder="1" applyProtection="1">
      <alignment horizontal="center" vertical="center"/>
      <protection hidden="1"/>
    </xf>
    <xf numFmtId="168" fontId="5" fillId="5" borderId="18" xfId="5" applyFont="1" applyFill="1" applyBorder="1" applyAlignment="1">
      <alignment horizontal="center" vertical="center" wrapText="1"/>
      <protection hidden="1"/>
    </xf>
    <xf numFmtId="166" fontId="5" fillId="5" borderId="12" xfId="1" applyFont="1" applyFill="1" applyBorder="1">
      <alignment horizontal="center" vertical="center"/>
      <protection hidden="1"/>
    </xf>
    <xf numFmtId="3" fontId="0" fillId="0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25" xfId="0" applyNumberFormat="1" applyFont="1" applyFill="1" applyBorder="1" applyAlignment="1" applyProtection="1">
      <alignment horizontal="right" vertical="center"/>
      <protection hidden="1"/>
    </xf>
    <xf numFmtId="0" fontId="13" fillId="4" borderId="12" xfId="0" quotePrefix="1" applyNumberFormat="1" applyFont="1" applyFill="1" applyBorder="1" applyAlignment="1" applyProtection="1">
      <alignment horizontal="center"/>
      <protection hidden="1"/>
    </xf>
    <xf numFmtId="166" fontId="4" fillId="0" borderId="1" xfId="1" applyFont="1" applyBorder="1">
      <alignment horizontal="center" vertical="center"/>
      <protection hidden="1"/>
    </xf>
    <xf numFmtId="168" fontId="5" fillId="0" borderId="29" xfId="5" applyFont="1" applyBorder="1">
      <alignment horizontal="center" vertical="center" wrapText="1"/>
      <protection hidden="1"/>
    </xf>
    <xf numFmtId="166" fontId="5" fillId="0" borderId="30" xfId="1" applyFont="1" applyBorder="1">
      <alignment horizontal="center" vertical="center"/>
      <protection hidden="1"/>
    </xf>
    <xf numFmtId="166" fontId="5" fillId="0" borderId="1" xfId="1" applyFont="1" applyBorder="1">
      <alignment horizontal="center" vertical="center"/>
      <protection hidden="1"/>
    </xf>
    <xf numFmtId="168" fontId="5" fillId="5" borderId="18" xfId="5" applyFont="1" applyFill="1" applyBorder="1">
      <alignment horizontal="center" vertical="center" wrapText="1"/>
      <protection hidden="1"/>
    </xf>
    <xf numFmtId="3" fontId="4" fillId="0" borderId="19" xfId="0" applyNumberFormat="1" applyFont="1" applyBorder="1" applyAlignment="1" applyProtection="1">
      <alignment horizontal="right" vertical="center"/>
      <protection hidden="1"/>
    </xf>
    <xf numFmtId="170" fontId="4" fillId="5" borderId="15" xfId="0" applyNumberFormat="1" applyFont="1" applyFill="1" applyBorder="1" applyAlignment="1" applyProtection="1">
      <alignment horizontal="right" vertical="center"/>
      <protection hidden="1"/>
    </xf>
    <xf numFmtId="170" fontId="4" fillId="5" borderId="53" xfId="0" applyNumberFormat="1" applyFont="1" applyFill="1" applyBorder="1" applyAlignment="1" applyProtection="1">
      <alignment horizontal="right" vertical="center"/>
      <protection hidden="1"/>
    </xf>
    <xf numFmtId="170" fontId="4" fillId="0" borderId="12" xfId="0" applyNumberFormat="1" applyFont="1" applyFill="1" applyBorder="1" applyAlignment="1" applyProtection="1">
      <alignment horizontal="right" vertical="center"/>
      <protection hidden="1"/>
    </xf>
    <xf numFmtId="170" fontId="4" fillId="0" borderId="19" xfId="0" applyNumberFormat="1" applyFont="1" applyFill="1" applyBorder="1" applyAlignment="1" applyProtection="1">
      <alignment horizontal="right" vertical="center"/>
      <protection hidden="1"/>
    </xf>
    <xf numFmtId="3" fontId="0" fillId="5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5" borderId="1" xfId="0" applyNumberFormat="1" applyFont="1" applyFill="1" applyBorder="1" applyAlignment="1" applyProtection="1">
      <alignment horizontal="right" vertical="center"/>
      <protection locked="0"/>
    </xf>
    <xf numFmtId="167" fontId="4" fillId="5" borderId="11" xfId="0" applyNumberFormat="1" applyFont="1" applyFill="1" applyBorder="1" applyAlignment="1" applyProtection="1">
      <alignment horizontal="right" vertical="center"/>
      <protection locked="0"/>
    </xf>
    <xf numFmtId="3" fontId="4" fillId="5" borderId="11" xfId="0" applyNumberFormat="1" applyFont="1" applyFill="1" applyBorder="1" applyAlignment="1" applyProtection="1">
      <alignment horizontal="right" vertical="center"/>
      <protection locked="0"/>
    </xf>
    <xf numFmtId="3" fontId="4" fillId="5" borderId="0" xfId="0" applyNumberFormat="1" applyFont="1" applyFill="1" applyBorder="1" applyAlignment="1" applyProtection="1">
      <alignment horizontal="right" vertical="center"/>
      <protection locked="0"/>
    </xf>
    <xf numFmtId="3" fontId="4" fillId="5" borderId="54" xfId="0" applyNumberFormat="1" applyFont="1" applyFill="1" applyBorder="1" applyAlignment="1" applyProtection="1">
      <alignment horizontal="right" vertical="center"/>
      <protection locked="0"/>
    </xf>
    <xf numFmtId="3" fontId="0" fillId="5" borderId="17" xfId="0" applyNumberFormat="1" applyFont="1" applyFill="1" applyBorder="1" applyAlignment="1" applyProtection="1">
      <alignment horizontal="right" vertical="center"/>
      <protection locked="0"/>
    </xf>
    <xf numFmtId="3" fontId="0" fillId="5" borderId="23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3" xfId="0" applyNumberFormat="1" applyFont="1" applyBorder="1" applyAlignment="1" applyProtection="1">
      <alignment horizontal="right" vertical="center"/>
      <protection locked="0"/>
    </xf>
    <xf numFmtId="3" fontId="4" fillId="5" borderId="17" xfId="0" applyNumberFormat="1" applyFont="1" applyFill="1" applyBorder="1" applyAlignment="1" applyProtection="1">
      <alignment horizontal="right" vertical="center"/>
      <protection locked="0"/>
    </xf>
    <xf numFmtId="3" fontId="4" fillId="5" borderId="23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3" xfId="0" applyNumberFormat="1" applyFont="1" applyBorder="1" applyAlignment="1" applyProtection="1">
      <alignment horizontal="right" vertical="center"/>
      <protection locked="0"/>
    </xf>
    <xf numFmtId="3" fontId="4" fillId="0" borderId="25" xfId="0" applyNumberFormat="1" applyFont="1" applyBorder="1" applyAlignment="1" applyProtection="1">
      <alignment horizontal="right" vertical="center"/>
      <protection locked="0"/>
    </xf>
    <xf numFmtId="0" fontId="4" fillId="5" borderId="1" xfId="0" applyNumberFormat="1" applyFont="1" applyFill="1" applyBorder="1" applyAlignment="1" applyProtection="1">
      <alignment horizontal="right" vertical="center"/>
      <protection locked="0"/>
    </xf>
    <xf numFmtId="0" fontId="4" fillId="5" borderId="25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NumberFormat="1" applyFont="1" applyFill="1" applyBorder="1" applyAlignment="1" applyProtection="1">
      <alignment horizontal="right" vertical="center"/>
      <protection locked="0"/>
    </xf>
    <xf numFmtId="0" fontId="0" fillId="0" borderId="25" xfId="0" applyNumberFormat="1" applyFont="1" applyFill="1" applyBorder="1" applyAlignment="1" applyProtection="1">
      <alignment horizontal="right" vertical="center"/>
      <protection locked="0"/>
    </xf>
    <xf numFmtId="0" fontId="0" fillId="5" borderId="1" xfId="0" applyNumberFormat="1" applyFont="1" applyFill="1" applyBorder="1" applyAlignment="1" applyProtection="1">
      <alignment horizontal="right" vertical="center"/>
      <protection locked="0"/>
    </xf>
    <xf numFmtId="0" fontId="0" fillId="5" borderId="25" xfId="0" applyNumberFormat="1" applyFont="1" applyFill="1" applyBorder="1" applyAlignment="1" applyProtection="1">
      <alignment horizontal="right" vertical="center"/>
      <protection locked="0"/>
    </xf>
    <xf numFmtId="0" fontId="0" fillId="5" borderId="12" xfId="0" applyNumberFormat="1" applyFont="1" applyFill="1" applyBorder="1" applyAlignment="1" applyProtection="1">
      <alignment horizontal="right" vertical="center"/>
      <protection locked="0"/>
    </xf>
    <xf numFmtId="0" fontId="0" fillId="5" borderId="19" xfId="0" applyNumberFormat="1" applyFont="1" applyFill="1" applyBorder="1" applyAlignment="1" applyProtection="1">
      <alignment horizontal="right" vertical="center"/>
      <protection locked="0"/>
    </xf>
    <xf numFmtId="3" fontId="0" fillId="0" borderId="30" xfId="0" applyNumberFormat="1" applyFont="1" applyBorder="1" applyAlignment="1" applyProtection="1">
      <alignment horizontal="right" vertical="center"/>
      <protection locked="0"/>
    </xf>
    <xf numFmtId="3" fontId="0" fillId="0" borderId="31" xfId="0" applyNumberFormat="1" applyFont="1" applyBorder="1" applyAlignment="1" applyProtection="1">
      <alignment horizontal="right" vertical="center"/>
      <protection locked="0"/>
    </xf>
    <xf numFmtId="3" fontId="0" fillId="5" borderId="12" xfId="0" applyNumberFormat="1" applyFont="1" applyFill="1" applyBorder="1" applyAlignment="1" applyProtection="1">
      <alignment horizontal="right" vertical="center"/>
      <protection locked="0"/>
    </xf>
    <xf numFmtId="3" fontId="0" fillId="5" borderId="19" xfId="0" applyNumberFormat="1" applyFont="1" applyFill="1" applyBorder="1" applyAlignment="1" applyProtection="1">
      <alignment horizontal="right" vertical="center"/>
      <protection locked="0"/>
    </xf>
    <xf numFmtId="3" fontId="4" fillId="0" borderId="30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55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56" xfId="0" applyFill="1" applyBorder="1" applyProtection="1">
      <protection hidden="1"/>
    </xf>
    <xf numFmtId="0" fontId="6" fillId="0" borderId="57" xfId="0" applyFont="1" applyFill="1" applyBorder="1" applyProtection="1">
      <protection hidden="1"/>
    </xf>
    <xf numFmtId="0" fontId="0" fillId="0" borderId="58" xfId="0" applyFill="1" applyBorder="1" applyProtection="1">
      <protection hidden="1"/>
    </xf>
    <xf numFmtId="0" fontId="18" fillId="0" borderId="57" xfId="0" applyFont="1" applyFill="1" applyBorder="1" applyProtection="1">
      <protection hidden="1"/>
    </xf>
    <xf numFmtId="0" fontId="18" fillId="0" borderId="59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60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37" xfId="0" applyNumberFormat="1" applyFill="1" applyBorder="1"/>
    <xf numFmtId="0" fontId="0" fillId="0" borderId="4" xfId="0" applyFill="1" applyBorder="1"/>
    <xf numFmtId="0" fontId="28" fillId="12" borderId="86" xfId="7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2" fillId="9" borderId="0" xfId="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6" fillId="0" borderId="0" xfId="0" applyFont="1" applyFill="1" applyAlignment="1" applyProtection="1">
      <alignment horizontal="center" vertical="center"/>
      <protection hidden="1"/>
    </xf>
    <xf numFmtId="0" fontId="19" fillId="13" borderId="62" xfId="8" applyFont="1" applyBorder="1" applyAlignment="1">
      <alignment horizontal="center" vertical="center"/>
      <protection locked="0"/>
    </xf>
    <xf numFmtId="0" fontId="19" fillId="13" borderId="63" xfId="8" applyFont="1" applyBorder="1" applyAlignment="1">
      <alignment horizontal="center" vertical="center"/>
      <protection locked="0"/>
    </xf>
    <xf numFmtId="0" fontId="19" fillId="13" borderId="64" xfId="8" applyFont="1" applyBorder="1" applyAlignment="1">
      <alignment horizontal="center" vertical="center"/>
      <protection locked="0"/>
    </xf>
    <xf numFmtId="0" fontId="19" fillId="13" borderId="65" xfId="8" applyFont="1" applyBorder="1" applyAlignment="1">
      <alignment horizontal="center" vertical="center"/>
      <protection locked="0"/>
    </xf>
    <xf numFmtId="0" fontId="19" fillId="13" borderId="0" xfId="8" applyFont="1" applyBorder="1" applyAlignment="1">
      <alignment horizontal="center" vertical="center"/>
      <protection locked="0"/>
    </xf>
    <xf numFmtId="0" fontId="19" fillId="13" borderId="66" xfId="8" applyFont="1" applyBorder="1" applyAlignment="1">
      <alignment horizontal="center" vertical="center"/>
      <protection locked="0"/>
    </xf>
    <xf numFmtId="0" fontId="19" fillId="13" borderId="67" xfId="8" applyFont="1" applyBorder="1" applyAlignment="1">
      <alignment horizontal="center" vertical="center"/>
      <protection locked="0"/>
    </xf>
    <xf numFmtId="0" fontId="19" fillId="13" borderId="68" xfId="8" applyFont="1" applyBorder="1" applyAlignment="1">
      <alignment horizontal="center" vertical="center"/>
      <protection locked="0"/>
    </xf>
    <xf numFmtId="0" fontId="19" fillId="13" borderId="61" xfId="8" applyFont="1" applyBorder="1" applyAlignment="1">
      <alignment horizontal="center" vertical="center"/>
      <protection locked="0"/>
    </xf>
    <xf numFmtId="0" fontId="19" fillId="0" borderId="4" xfId="8" applyFont="1" applyFill="1" applyBorder="1" applyAlignment="1" applyProtection="1">
      <alignment horizontal="right" vertical="center" indent="1"/>
      <protection hidden="1"/>
    </xf>
    <xf numFmtId="0" fontId="19" fillId="13" borderId="34" xfId="8" applyFont="1" applyBorder="1" applyAlignment="1">
      <alignment horizontal="right" vertical="center" indent="1"/>
      <protection locked="0"/>
    </xf>
    <xf numFmtId="0" fontId="19" fillId="13" borderId="35" xfId="8" applyFont="1" applyBorder="1" applyAlignment="1">
      <alignment horizontal="right" vertical="center" indent="1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0" fillId="13" borderId="4" xfId="10" applyFont="1" applyAlignment="1">
      <alignment horizontal="left" vertical="center"/>
      <protection locked="0"/>
    </xf>
    <xf numFmtId="0" fontId="12" fillId="13" borderId="4" xfId="10" applyFont="1">
      <alignment horizontal="left" vertical="center"/>
      <protection locked="0"/>
    </xf>
    <xf numFmtId="0" fontId="29" fillId="13" borderId="4" xfId="10">
      <alignment horizontal="left" vertical="center"/>
      <protection locked="0"/>
    </xf>
    <xf numFmtId="0" fontId="29" fillId="13" borderId="34" xfId="8" applyBorder="1" applyAlignment="1">
      <alignment horizontal="right" vertical="center" indent="1"/>
      <protection locked="0"/>
    </xf>
    <xf numFmtId="0" fontId="29" fillId="13" borderId="45" xfId="8" applyBorder="1" applyAlignment="1">
      <alignment horizontal="right" vertical="center" indent="1"/>
      <protection locked="0"/>
    </xf>
    <xf numFmtId="0" fontId="29" fillId="13" borderId="35" xfId="8" applyBorder="1" applyAlignment="1">
      <alignment horizontal="right" vertical="center" indent="1"/>
      <protection locked="0"/>
    </xf>
    <xf numFmtId="0" fontId="29" fillId="13" borderId="4" xfId="10" applyBorder="1">
      <alignment horizontal="left" vertical="center"/>
      <protection locked="0"/>
    </xf>
    <xf numFmtId="0" fontId="0" fillId="5" borderId="16" xfId="0" applyFont="1" applyFill="1" applyBorder="1" applyAlignment="1" applyProtection="1">
      <alignment horizontal="left" vertical="center" wrapText="1"/>
      <protection hidden="1"/>
    </xf>
    <xf numFmtId="0" fontId="0" fillId="5" borderId="71" xfId="0" applyFont="1" applyFill="1" applyBorder="1" applyAlignment="1" applyProtection="1">
      <alignment horizontal="left" vertical="center" wrapText="1"/>
      <protection hidden="1"/>
    </xf>
    <xf numFmtId="0" fontId="0" fillId="5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5" borderId="16" xfId="0" applyFont="1" applyFill="1" applyBorder="1" applyAlignment="1" applyProtection="1">
      <alignment horizontal="left" vertical="center" wrapText="1"/>
      <protection hidden="1"/>
    </xf>
    <xf numFmtId="0" fontId="4" fillId="5" borderId="71" xfId="0" applyFont="1" applyFill="1" applyBorder="1" applyAlignment="1" applyProtection="1">
      <alignment horizontal="left" vertical="center" wrapText="1"/>
      <protection hidden="1"/>
    </xf>
    <xf numFmtId="0" fontId="4" fillId="5" borderId="17" xfId="0" applyFont="1" applyFill="1" applyBorder="1" applyAlignment="1" applyProtection="1">
      <alignment horizontal="left" vertical="center" wrapText="1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13" fillId="4" borderId="42" xfId="0" applyFont="1" applyFill="1" applyBorder="1" applyAlignment="1" applyProtection="1">
      <alignment horizontal="center"/>
      <protection hidden="1"/>
    </xf>
    <xf numFmtId="0" fontId="13" fillId="4" borderId="48" xfId="0" applyFont="1" applyFill="1" applyBorder="1" applyAlignment="1" applyProtection="1">
      <alignment horizontal="center"/>
      <protection hidden="1"/>
    </xf>
    <xf numFmtId="0" fontId="13" fillId="4" borderId="69" xfId="0" applyFont="1" applyFill="1" applyBorder="1" applyAlignment="1" applyProtection="1">
      <alignment horizontal="center" vertical="center" wrapText="1"/>
      <protection hidden="1"/>
    </xf>
    <xf numFmtId="0" fontId="13" fillId="4" borderId="44" xfId="0" applyFont="1" applyFill="1" applyBorder="1" applyAlignment="1" applyProtection="1">
      <alignment horizontal="center" vertical="center" wrapText="1"/>
      <protection hidden="1"/>
    </xf>
    <xf numFmtId="0" fontId="13" fillId="4" borderId="30" xfId="0" applyFont="1" applyFill="1" applyBorder="1" applyAlignment="1" applyProtection="1">
      <alignment horizontal="center" vertical="center" wrapText="1"/>
      <protection hidden="1"/>
    </xf>
    <xf numFmtId="0" fontId="13" fillId="4" borderId="70" xfId="0" applyFont="1" applyFill="1" applyBorder="1" applyAlignment="1" applyProtection="1">
      <alignment horizontal="center" vertical="center" wrapText="1"/>
      <protection hidden="1"/>
    </xf>
    <xf numFmtId="0" fontId="4" fillId="0" borderId="42" xfId="0" applyFont="1" applyBorder="1" applyAlignment="1" applyProtection="1">
      <alignment horizontal="left" vertical="center" wrapText="1"/>
      <protection hidden="1"/>
    </xf>
    <xf numFmtId="0" fontId="4" fillId="0" borderId="73" xfId="0" applyFont="1" applyBorder="1" applyAlignment="1" applyProtection="1">
      <alignment horizontal="left" vertical="center" wrapText="1"/>
      <protection hidden="1"/>
    </xf>
    <xf numFmtId="0" fontId="4" fillId="0" borderId="48" xfId="0" applyFont="1" applyBorder="1" applyAlignment="1" applyProtection="1">
      <alignment horizontal="left" vertical="center" wrapText="1"/>
      <protection hidden="1"/>
    </xf>
    <xf numFmtId="0" fontId="4" fillId="7" borderId="45" xfId="0" applyFont="1" applyFill="1" applyBorder="1" applyAlignment="1" applyProtection="1">
      <alignment horizontal="left" vertical="center"/>
      <protection hidden="1"/>
    </xf>
    <xf numFmtId="0" fontId="4" fillId="7" borderId="47" xfId="0" applyFont="1" applyFill="1" applyBorder="1" applyAlignment="1" applyProtection="1">
      <alignment horizontal="left" vertical="center"/>
      <protection hidden="1"/>
    </xf>
    <xf numFmtId="0" fontId="4" fillId="5" borderId="14" xfId="0" applyFont="1" applyFill="1" applyBorder="1" applyAlignment="1" applyProtection="1">
      <alignment horizontal="left" vertical="center" wrapText="1"/>
      <protection hidden="1"/>
    </xf>
    <xf numFmtId="0" fontId="4" fillId="5" borderId="74" xfId="0" applyFont="1" applyFill="1" applyBorder="1" applyAlignment="1" applyProtection="1">
      <alignment horizontal="left" vertical="center" wrapText="1"/>
      <protection hidden="1"/>
    </xf>
    <xf numFmtId="0" fontId="4" fillId="5" borderId="15" xfId="0" applyFont="1" applyFill="1" applyBorder="1" applyAlignment="1" applyProtection="1">
      <alignment horizontal="left" vertical="center" wrapText="1"/>
      <protection hidden="1"/>
    </xf>
    <xf numFmtId="0" fontId="13" fillId="4" borderId="75" xfId="0" applyFont="1" applyFill="1" applyBorder="1" applyAlignment="1" applyProtection="1">
      <alignment horizontal="center" vertical="center" wrapText="1"/>
      <protection hidden="1"/>
    </xf>
    <xf numFmtId="0" fontId="13" fillId="4" borderId="76" xfId="0" applyFont="1" applyFill="1" applyBorder="1" applyAlignment="1" applyProtection="1">
      <alignment horizontal="center" vertical="center" wrapText="1"/>
      <protection hidden="1"/>
    </xf>
    <xf numFmtId="0" fontId="13" fillId="4" borderId="77" xfId="0" applyFont="1" applyFill="1" applyBorder="1" applyAlignment="1" applyProtection="1">
      <alignment horizontal="center" vertical="center"/>
      <protection hidden="1"/>
    </xf>
    <xf numFmtId="0" fontId="13" fillId="4" borderId="43" xfId="0" applyFont="1" applyFill="1" applyBorder="1" applyAlignment="1" applyProtection="1">
      <alignment horizontal="center" vertical="center"/>
      <protection hidden="1"/>
    </xf>
    <xf numFmtId="0" fontId="13" fillId="4" borderId="78" xfId="0" applyFont="1" applyFill="1" applyBorder="1" applyAlignment="1" applyProtection="1">
      <alignment horizontal="center" vertical="center"/>
      <protection hidden="1"/>
    </xf>
    <xf numFmtId="0" fontId="13" fillId="4" borderId="79" xfId="0" applyFont="1" applyFill="1" applyBorder="1" applyAlignment="1" applyProtection="1">
      <alignment horizontal="center" vertical="center"/>
      <protection hidden="1"/>
    </xf>
    <xf numFmtId="0" fontId="13" fillId="4" borderId="80" xfId="0" applyFont="1" applyFill="1" applyBorder="1" applyAlignment="1" applyProtection="1">
      <alignment horizontal="center" vertical="center"/>
      <protection hidden="1"/>
    </xf>
    <xf numFmtId="0" fontId="13" fillId="4" borderId="81" xfId="0" applyFont="1" applyFill="1" applyBorder="1" applyAlignment="1" applyProtection="1">
      <alignment horizontal="center" vertical="center"/>
      <protection hidden="1"/>
    </xf>
    <xf numFmtId="0" fontId="13" fillId="4" borderId="77" xfId="0" applyFont="1" applyFill="1" applyBorder="1" applyAlignment="1" applyProtection="1">
      <alignment horizontal="center" vertical="center" wrapText="1"/>
      <protection hidden="1"/>
    </xf>
    <xf numFmtId="0" fontId="13" fillId="4" borderId="78" xfId="0" applyFont="1" applyFill="1" applyBorder="1" applyAlignment="1" applyProtection="1">
      <alignment horizontal="center" vertical="center" wrapText="1"/>
      <protection hidden="1"/>
    </xf>
    <xf numFmtId="0" fontId="13" fillId="4" borderId="79" xfId="0" applyFont="1" applyFill="1" applyBorder="1" applyAlignment="1" applyProtection="1">
      <alignment horizontal="center" vertical="center" wrapText="1"/>
      <protection hidden="1"/>
    </xf>
    <xf numFmtId="0" fontId="13" fillId="4" borderId="81" xfId="0" applyFont="1" applyFill="1" applyBorder="1" applyAlignment="1" applyProtection="1">
      <alignment horizontal="center" vertical="center" wrapText="1"/>
      <protection hidden="1"/>
    </xf>
    <xf numFmtId="0" fontId="13" fillId="4" borderId="72" xfId="0" applyFont="1" applyFill="1" applyBorder="1" applyAlignment="1" applyProtection="1">
      <alignment horizontal="center" vertical="center" wrapText="1"/>
      <protection hidden="1"/>
    </xf>
    <xf numFmtId="0" fontId="13" fillId="4" borderId="73" xfId="0" applyFont="1" applyFill="1" applyBorder="1" applyAlignment="1" applyProtection="1">
      <alignment horizontal="center"/>
      <protection hidden="1"/>
    </xf>
    <xf numFmtId="49" fontId="5" fillId="0" borderId="4" xfId="11" applyFont="1">
      <alignment horizontal="left" indent="1"/>
      <protection hidden="1"/>
    </xf>
    <xf numFmtId="0" fontId="13" fillId="4" borderId="3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49" fontId="4" fillId="0" borderId="4" xfId="11" applyFont="1" applyAlignment="1">
      <alignment horizontal="left"/>
      <protection hidden="1"/>
    </xf>
    <xf numFmtId="0" fontId="5" fillId="0" borderId="4" xfId="12" applyFont="1">
      <alignment horizontal="left" inden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3" fillId="4" borderId="31" xfId="0" applyFont="1" applyFill="1" applyBorder="1" applyAlignment="1" applyProtection="1">
      <alignment horizontal="center" vertical="center" wrapText="1"/>
      <protection hidden="1"/>
    </xf>
    <xf numFmtId="0" fontId="4" fillId="7" borderId="45" xfId="0" applyFont="1" applyFill="1" applyBorder="1" applyAlignment="1" applyProtection="1">
      <alignment horizontal="left" vertical="center" wrapTex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5" borderId="12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 applyProtection="1">
      <alignment horizontal="left" vertical="center" wrapText="1"/>
      <protection hidden="1"/>
    </xf>
    <xf numFmtId="0" fontId="4" fillId="5" borderId="1" xfId="0" applyFont="1" applyFill="1" applyBorder="1" applyAlignment="1" applyProtection="1">
      <alignment horizontal="left" vertical="center" wrapText="1"/>
      <protection hidden="1"/>
    </xf>
    <xf numFmtId="0" fontId="0" fillId="0" borderId="1" xfId="0" applyFont="1" applyBorder="1" applyAlignment="1" applyProtection="1">
      <alignment horizontal="left" vertical="center" wrapText="1"/>
      <protection hidden="1"/>
    </xf>
    <xf numFmtId="0" fontId="0" fillId="5" borderId="1" xfId="0" applyFont="1" applyFill="1" applyBorder="1" applyAlignment="1" applyProtection="1">
      <alignment horizontal="left" vertical="center" wrapText="1"/>
      <protection hidden="1"/>
    </xf>
    <xf numFmtId="0" fontId="13" fillId="4" borderId="82" xfId="0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0" fontId="13" fillId="4" borderId="27" xfId="0" applyFont="1" applyFill="1" applyBorder="1" applyAlignment="1" applyProtection="1">
      <alignment horizontal="center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49" fontId="5" fillId="0" borderId="4" xfId="11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49" fontId="4" fillId="0" borderId="0" xfId="11" applyFont="1" applyBorder="1" applyAlignment="1">
      <alignment horizontal="left"/>
      <protection hidden="1"/>
    </xf>
    <xf numFmtId="0" fontId="13" fillId="4" borderId="85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3" fillId="4" borderId="83" xfId="0" applyFont="1" applyFill="1" applyBorder="1" applyAlignment="1" applyProtection="1">
      <alignment horizontal="center" vertical="center" wrapText="1"/>
      <protection hidden="1"/>
    </xf>
    <xf numFmtId="0" fontId="13" fillId="4" borderId="84" xfId="0" applyFont="1" applyFill="1" applyBorder="1" applyAlignment="1" applyProtection="1">
      <alignment horizontal="center" vertical="center" wrapText="1"/>
      <protection hidden="1"/>
    </xf>
    <xf numFmtId="0" fontId="5" fillId="0" borderId="4" xfId="12">
      <alignment horizontal="left" indent="1"/>
      <protection hidden="1"/>
    </xf>
    <xf numFmtId="0" fontId="13" fillId="4" borderId="82" xfId="0" applyFont="1" applyFill="1" applyBorder="1" applyAlignment="1" applyProtection="1">
      <alignment horizontal="center" vertical="center" wrapText="1"/>
      <protection hidden="1"/>
    </xf>
    <xf numFmtId="0" fontId="13" fillId="4" borderId="20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5" borderId="30" xfId="0" applyFont="1" applyFill="1" applyBorder="1" applyAlignment="1" applyProtection="1">
      <alignment horizontal="left" vertical="center" wrapText="1"/>
      <protection hidden="1"/>
    </xf>
    <xf numFmtId="0" fontId="0" fillId="0" borderId="1" xfId="0" applyFont="1" applyFill="1" applyBorder="1" applyAlignment="1" applyProtection="1">
      <alignment horizontal="left" vertical="center" wrapText="1"/>
      <protection hidden="1"/>
    </xf>
    <xf numFmtId="0" fontId="4" fillId="0" borderId="12" xfId="0" applyFont="1" applyFill="1" applyBorder="1" applyAlignment="1" applyProtection="1">
      <alignment horizontal="left" vertical="center" wrapText="1"/>
      <protection hidden="1"/>
    </xf>
    <xf numFmtId="0" fontId="4" fillId="0" borderId="12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5" borderId="42" xfId="0" applyFont="1" applyFill="1" applyBorder="1" applyAlignment="1" applyProtection="1">
      <alignment horizontal="left" vertical="center" wrapText="1"/>
      <protection hidden="1"/>
    </xf>
    <xf numFmtId="0" fontId="0" fillId="5" borderId="73" xfId="0" applyFont="1" applyFill="1" applyBorder="1" applyAlignment="1" applyProtection="1">
      <alignment horizontal="left" vertical="center" wrapText="1"/>
      <protection hidden="1"/>
    </xf>
    <xf numFmtId="0" fontId="0" fillId="5" borderId="48" xfId="0" applyFont="1" applyFill="1" applyBorder="1" applyAlignment="1" applyProtection="1">
      <alignment horizontal="left" vertical="center" wrapText="1"/>
      <protection hidden="1"/>
    </xf>
    <xf numFmtId="0" fontId="0" fillId="0" borderId="30" xfId="0" applyFont="1" applyBorder="1" applyAlignment="1" applyProtection="1">
      <alignment horizontal="left" vertical="center" wrapText="1"/>
      <protection hidden="1"/>
    </xf>
    <xf numFmtId="0" fontId="5" fillId="0" borderId="4" xfId="12" applyProtection="1">
      <alignment horizontal="left" indent="1"/>
      <protection hidden="1"/>
    </xf>
    <xf numFmtId="49" fontId="5" fillId="0" borderId="4" xfId="11" applyProtection="1">
      <alignment horizontal="left" indent="1"/>
      <protection hidden="1"/>
    </xf>
    <xf numFmtId="49" fontId="5" fillId="0" borderId="45" xfId="11" applyBorder="1" applyProtection="1">
      <alignment horizontal="left" indent="1"/>
      <protection hidden="1"/>
    </xf>
    <xf numFmtId="0" fontId="0" fillId="0" borderId="0" xfId="0" applyBorder="1" applyAlignment="1" applyProtection="1">
      <alignment wrapText="1"/>
      <protection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  <xf numFmtId="0" fontId="13" fillId="4" borderId="29" xfId="0" applyFont="1" applyFill="1" applyBorder="1" applyAlignment="1" applyProtection="1">
      <alignment horizontal="center" vertical="center"/>
      <protection hidden="1"/>
    </xf>
    <xf numFmtId="0" fontId="13" fillId="4" borderId="24" xfId="0" applyFont="1" applyFill="1" applyBorder="1" applyAlignment="1" applyProtection="1">
      <alignment horizontal="center" vertical="center"/>
      <protection hidden="1"/>
    </xf>
    <xf numFmtId="0" fontId="0" fillId="0" borderId="16" xfId="0" applyFont="1" applyBorder="1" applyAlignment="1" applyProtection="1">
      <alignment vertical="center" wrapText="1"/>
      <protection hidden="1"/>
    </xf>
    <xf numFmtId="0" fontId="0" fillId="0" borderId="71" xfId="0" applyFont="1" applyBorder="1" applyAlignment="1" applyProtection="1">
      <alignment vertical="center" wrapText="1"/>
      <protection hidden="1"/>
    </xf>
    <xf numFmtId="0" fontId="0" fillId="0" borderId="17" xfId="0" applyFont="1" applyBorder="1" applyAlignment="1" applyProtection="1">
      <alignment vertical="center" wrapText="1"/>
      <protection hidden="1"/>
    </xf>
    <xf numFmtId="0" fontId="0" fillId="5" borderId="16" xfId="0" applyFont="1" applyFill="1" applyBorder="1" applyAlignment="1" applyProtection="1">
      <alignment vertical="center" wrapText="1"/>
      <protection hidden="1"/>
    </xf>
    <xf numFmtId="0" fontId="0" fillId="5" borderId="71" xfId="0" applyFont="1" applyFill="1" applyBorder="1" applyAlignment="1" applyProtection="1">
      <alignment vertical="center" wrapText="1"/>
      <protection hidden="1"/>
    </xf>
    <xf numFmtId="0" fontId="0" fillId="5" borderId="17" xfId="0" applyFont="1" applyFill="1" applyBorder="1" applyAlignment="1" applyProtection="1">
      <alignment vertical="center" wrapText="1"/>
      <protection hidden="1"/>
    </xf>
    <xf numFmtId="0" fontId="4" fillId="5" borderId="16" xfId="0" applyFont="1" applyFill="1" applyBorder="1" applyAlignment="1" applyProtection="1">
      <alignment vertical="center" wrapText="1"/>
      <protection hidden="1"/>
    </xf>
    <xf numFmtId="0" fontId="4" fillId="5" borderId="71" xfId="0" applyFont="1" applyFill="1" applyBorder="1" applyAlignment="1" applyProtection="1">
      <alignment vertical="center" wrapText="1"/>
      <protection hidden="1"/>
    </xf>
    <xf numFmtId="0" fontId="4" fillId="5" borderId="17" xfId="0" applyFont="1" applyFill="1" applyBorder="1" applyAlignment="1" applyProtection="1">
      <alignment vertical="center" wrapText="1"/>
      <protection hidden="1"/>
    </xf>
    <xf numFmtId="49" fontId="4" fillId="0" borderId="4" xfId="11" applyFont="1" applyProtection="1">
      <alignment horizontal="left" indent="1"/>
      <protection hidden="1"/>
    </xf>
    <xf numFmtId="0" fontId="13" fillId="4" borderId="42" xfId="0" applyFont="1" applyFill="1" applyBorder="1" applyAlignment="1" applyProtection="1">
      <alignment horizontal="center" wrapText="1"/>
      <protection hidden="1"/>
    </xf>
    <xf numFmtId="0" fontId="13" fillId="4" borderId="73" xfId="0" applyFont="1" applyFill="1" applyBorder="1" applyAlignment="1" applyProtection="1">
      <alignment horizontal="center" wrapText="1"/>
      <protection hidden="1"/>
    </xf>
    <xf numFmtId="0" fontId="13" fillId="4" borderId="48" xfId="0" applyFont="1" applyFill="1" applyBorder="1" applyAlignment="1" applyProtection="1">
      <alignment horizontal="center" wrapText="1"/>
      <protection hidden="1"/>
    </xf>
    <xf numFmtId="0" fontId="4" fillId="0" borderId="14" xfId="0" applyFont="1" applyBorder="1" applyAlignment="1" applyProtection="1">
      <alignment vertical="center" wrapText="1"/>
      <protection hidden="1"/>
    </xf>
    <xf numFmtId="0" fontId="4" fillId="0" borderId="74" xfId="0" applyFont="1" applyBorder="1" applyAlignment="1" applyProtection="1">
      <alignment vertical="center" wrapText="1"/>
      <protection hidden="1"/>
    </xf>
    <xf numFmtId="0" fontId="4" fillId="0" borderId="15" xfId="0" applyFont="1" applyBorder="1" applyAlignment="1" applyProtection="1">
      <alignment vertical="center" wrapText="1"/>
      <protection hidden="1"/>
    </xf>
    <xf numFmtId="0" fontId="13" fillId="4" borderId="43" xfId="0" applyFont="1" applyFill="1" applyBorder="1" applyAlignment="1" applyProtection="1">
      <alignment horizontal="center" vertical="center" wrapText="1"/>
      <protection hidden="1"/>
    </xf>
    <xf numFmtId="0" fontId="13" fillId="4" borderId="80" xfId="0" applyFont="1" applyFill="1" applyBorder="1" applyAlignment="1" applyProtection="1">
      <alignment horizontal="center" vertical="center" wrapText="1"/>
      <protection hidden="1"/>
    </xf>
    <xf numFmtId="0" fontId="4" fillId="0" borderId="42" xfId="0" applyFont="1" applyBorder="1" applyAlignment="1" applyProtection="1">
      <alignment vertical="center" wrapText="1"/>
      <protection hidden="1"/>
    </xf>
    <xf numFmtId="0" fontId="4" fillId="0" borderId="73" xfId="0" applyFont="1" applyBorder="1" applyAlignment="1" applyProtection="1">
      <alignment vertical="center" wrapText="1"/>
      <protection hidden="1"/>
    </xf>
    <xf numFmtId="0" fontId="4" fillId="0" borderId="48" xfId="0" applyFont="1" applyBorder="1" applyAlignment="1" applyProtection="1">
      <alignment vertical="center" wrapText="1"/>
      <protection hidden="1"/>
    </xf>
    <xf numFmtId="0" fontId="4" fillId="0" borderId="16" xfId="0" applyFont="1" applyBorder="1" applyAlignment="1" applyProtection="1">
      <alignment vertical="center" wrapText="1"/>
      <protection hidden="1"/>
    </xf>
    <xf numFmtId="0" fontId="4" fillId="0" borderId="71" xfId="0" applyFont="1" applyBorder="1" applyAlignment="1" applyProtection="1">
      <alignment vertical="center" wrapText="1"/>
      <protection hidden="1"/>
    </xf>
    <xf numFmtId="0" fontId="4" fillId="0" borderId="17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2" builtinId="27"/>
    <cellStyle name="Calculation" xfId="3" builtinId="22" customBuiltin="1"/>
    <cellStyle name="Good" xfId="4" builtinId="26"/>
    <cellStyle name="Grupa" xfId="5"/>
    <cellStyle name="Hyperlink" xfId="6" builtinId="8"/>
    <cellStyle name="Input" xfId="7" builtinId="20"/>
    <cellStyle name="Normal" xfId="0" builtinId="0" customBuiltin="1"/>
    <cellStyle name="UnosBroj" xfId="8"/>
    <cellStyle name="UnosPodataka" xfId="9"/>
    <cellStyle name="UnosTekst" xfId="10"/>
    <cellStyle name="Zaglavlje" xfId="11"/>
    <cellStyle name="ZiroRacun" xfId="12"/>
    <cellStyle name="ZiroRacunUnos" xfId="13"/>
  </cellStyles>
  <dxfs count="91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0" formatCode="General"/>
      <alignment horizontal="right" vertical="bottom" textRotation="0" wrapText="0" relative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alignment horizontal="right" vertical="bottom" textRotation="0" wrapText="0" indent="0" justifyLastLine="0" shrinkToFit="0" readingOrder="0"/>
      <protection locked="1" hidden="1"/>
    </dxf>
    <dxf>
      <alignment horizontal="center" vertical="center" textRotation="0" wrapText="1" relativeIndent="0" justifyLastLine="0" shrinkToFit="0" readingOrder="0"/>
      <protection locked="1" hidden="1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9"/>
        </left>
        <right/>
        <top style="thin">
          <color indexed="9"/>
        </top>
        <bottom style="thin">
          <color indexed="9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9"/>
        </right>
        <top style="thin">
          <color indexed="9"/>
        </top>
        <bottom style="thin">
          <color indexed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left" vertical="center" textRotation="0" wrapText="0" relativeIndent="0" justifyLastLine="0" shrinkToFit="0" readingOrder="0"/>
      <border diagonalUp="0" diagonalDown="0" outline="0">
        <left style="thin">
          <color indexed="9"/>
        </left>
        <right style="thin">
          <color indexed="9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9"/>
        </left>
        <right style="thin">
          <color indexed="9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/m/yyyy"/>
    </dxf>
    <dxf>
      <alignment horizontal="left" vertical="bottom" textRotation="0" wrapText="0" relative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0" formatCode="General"/>
    </dxf>
    <dxf>
      <numFmt numFmtId="172" formatCode="d/m/yyyy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30" formatCode="@"/>
      <alignment horizontal="left" vertical="bottom" textRotation="0" wrapText="1" relativeIndent="0" justifyLastLine="0" shrinkToFit="0" readingOrder="0"/>
    </dxf>
    <dxf>
      <numFmt numFmtId="30" formatCode="@"/>
      <alignment horizontal="left" vertical="bottom" textRotation="0" wrapText="1" relativeIndent="0" justifyLastLine="0" shrinkToFit="0" readingOrder="0"/>
    </dxf>
    <dxf>
      <numFmt numFmtId="30" formatCode="@"/>
      <alignment horizontal="left" vertical="bottom" textRotation="0" wrapText="1" relative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left" vertical="bottom" textRotation="0" wrapText="1" relativeIndent="0" justifyLastLine="0" shrinkToFit="0" readingOrder="0"/>
    </dxf>
    <dxf>
      <alignment horizontal="center" vertical="center" textRotation="0" wrapText="1" relative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relative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3199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DDD364D7-E504-4B4B-9DAB-91DD6CC11C28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3D2769D5-2181-436C-AFFD-F643A52B9E6B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6B2DB41-0F44-4415-A703-5DFEC6846728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884CF6CD-28C3-440B-9B99-E0444053A9B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DD9000A0-371B-4E67-BD3F-FC1408140CD3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2BDED57B-6B53-4CDB-90C0-1E4F21499F9B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7113EF6-03CD-4615-ADB9-5062526AF47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4FD2EE8F-842B-49AD-947D-B8CC957F4D8A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72961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CDBE89BA-B9EC-44D7-9DA0-11F58057082F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3A8714A7-8CA5-4FBE-85E0-BED2CA3C6CAF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8BECF6E1-5FDE-4F43-9A17-2779FEC7CC2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E61186F-BF6F-415F-9E10-39EF16864E07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1B38E95B-D5AF-46DB-9F7F-DA5F9000CECD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8C5D854C-4BC7-480A-A391-7D0B0A7F5B93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AD7D5684-F95D-4A6C-8F8C-2F2907EB8FC0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6829A2A2-E7AE-4239-9CA9-420953516E6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9912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80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ACB3B493-A2E1-4413-A9E4-206197E2D4D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80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63713CF0-197B-493E-8DFE-78770A537A3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80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6B11F173-D9EF-4DA7-B60D-AAD8DAA77A7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80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AEF2BE75-9449-411C-AEFE-32A8CC6D32F2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80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E3B7C84D-09CC-46B9-9377-41C2895D2825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80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04BEDCC6-78A0-4077-82E8-F42872E858F7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80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D6F38C82-82F2-45AE-A2D4-9EE2A95E4BC7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80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1F0F420F-1031-4EB7-BC41-7E9E373A592C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2904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27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68DAE691-C907-4C59-A501-78EA75F7AAAF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27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206F3D7-1C77-4818-BE50-5A6E2EC651C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2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AA36D7D1-2892-46F0-AEAC-198C3803704B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27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3236B980-29CD-4374-9D0B-714ACC96631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2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CEAE93C1-BAA9-4377-810E-0588EE24AA2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2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D0F0DCC1-616F-493D-A743-E2FD7827839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27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EE8EE721-935D-49B4-ACF3-0A29E8F281B1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27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8D96A537-5F0F-44C7-8AAB-B51D75AABD63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3277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32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7D08705-76BB-48A5-BD1A-D1141AF09462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32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14FEB1D3-2CF7-455A-A340-3DF715C1C503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31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43F74E79-3DDE-4118-9F23-B0A6460412F9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32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D36EB06-4E1A-4F3A-BC39-B67CBEBF8E66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31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EE2B7D8C-F9BA-4436-A122-3A1604A83401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31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290F1C3A-4BC7-4502-9529-3D42D68E8D8C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32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0341C05-257C-40AB-8AC9-9B91361FE1E2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32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A4EF08F-7B3B-409A-BCED-F3825A7E8D8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8567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32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1D4A77C2-26F1-454C-BCCD-092465C3EA85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32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FAC0D1E5-3B1D-4799-BB23-6BA5E3C4075F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31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5D9105B7-F86F-43F7-B8BA-BCD1FBF327C8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32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F160465-78AE-4F56-84F1-78951E1F1015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31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5D51D807-2AC0-464A-9EB4-302C3159EE20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31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4D9C338-0BF6-484A-8195-A944B1E03A3E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32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ED13F93-AE65-4065-8520-80B632316B1E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32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1C265584-7950-4616-8FF1-8CA455AEB56C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3108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32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65983381-2E2D-4D77-BBCC-7E354CA42B6D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32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0E9FA4B2-3919-4A75-9FE2-1BF29616829D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31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C999E1C2-2690-4E49-998A-E6065B9C0D8C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32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D6965A94-A999-49D7-8FA7-914AB24AA4E3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31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3EC4652-5693-4C16-9BBB-44F51D9E4F0A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31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667F407-6F61-4671-A9D6-804E4F81639A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32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AC6942D-6E56-4A8E-B95E-D29BAB5EF244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32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59F04A0C-3DDF-49FC-88DE-1620798BD93E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7725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67" y="3914732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4403084-68F9-4FDA-8A61-53B4990CD741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01) Bilans stanja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58" y="3914732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E2350316-8D8D-4448-8D8D-07484ADE2338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02a) Bilans uspjeha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3" y="4143331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5011BCC0-2F70-4179-ACD6-881ABFB3AEAD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02b) Izvještaj o ostalim dobicima i gubicima u periodu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496" y="3914732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B63CF508-27AD-450A-90AC-900BEC4CA1A2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03) Bilans tokova gotovine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85" y="4143331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2488438C-697B-434A-9433-FDD938885741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04) Aneks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08" y="4143331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7C89A6A0-F897-40EF-8E31-5DE9D5E328DB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05) Izvještaj o promjenama u kapitalu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3" y="3914732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9E9DB55F-C4D0-484F-A3F2-DDDBEA5397CB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Osnovni podaci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85" y="3914732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 rtl="0">
              <a:defRPr sz="1000"/>
            </a:pPr>
            <a:fld id="{AD7CA5DB-20AD-42B4-807F-B074E0CE324F}" type="TxLink">
              <a:rPr lang="sr-Latn-CS" sz="1050" b="0" i="0" u="none" strike="noStrike" baseline="0">
                <a:solidFill>
                  <a:srgbClr val="000000"/>
                </a:solidFill>
                <a:latin typeface="Calibri"/>
              </a:rPr>
              <a:pPr algn="l" rtl="0">
                <a:defRPr sz="1000"/>
              </a:pPr>
              <a:t>Uputstvo za popunjavanje</a:t>
            </a:fld>
            <a:endParaRPr lang="sr-Latn-CS" sz="105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57150</xdr:rowOff>
    </xdr:from>
    <xdr:to>
      <xdr:col>21</xdr:col>
      <xdr:colOff>409575</xdr:colOff>
      <xdr:row>10</xdr:row>
      <xdr:rowOff>114300</xdr:rowOff>
    </xdr:to>
    <xdr:pic>
      <xdr:nvPicPr>
        <xdr:cNvPr id="104453" name="Picture 7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00950" y="590550"/>
          <a:ext cx="4791075" cy="1352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79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78" dataCellStyle="Normal">
      <calculatedColumnFormula>CHOOSE( ID_Jezik, C2, D2, E2)</calculatedColumnFormula>
    </tableColumn>
    <tableColumn id="7" name="Kolona za pravljenje imena" dataDxfId="77" dataCellStyle="Normal">
      <calculatedColumnFormula>SUBSTITUTE(A2&amp;"_"&amp;B2," ","_")</calculatedColumnFormula>
    </tableColumn>
    <tableColumn id="8" name="Kontrola broj" dataDxfId="76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4" dataDxfId="33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APIF_Import!$M2, Podesavanja!$N$3:$Q$9, 4, 0)</calculatedColumnFormula>
    </tableColumn>
    <tableColumn id="11" name="AOP" dataDxfId="10">
      <calculatedColumnFormula>VLOOKUP( APIF_Import!$L2, Aop!$A$2:$N$415, 4, 0)</calculatedColumnFormula>
    </tableColumn>
    <tableColumn id="3" name="Kolona1" dataDxfId="9">
      <calculatedColumnFormula>IF( ISNA( VLOOKUP( APIF_Import!$M2 &amp; APIF_Import!$D$1,Podesavanja!$AA$3:$AD$24, 4, 0)), "", SUBSTITUTE( VALUE( VLOOKUP( APIF_Import!$C2, INDIRECT( "Lookup_" &amp; APIF_Import!$M2), VLOOKUP( APIF_Import!$M2 &amp; APIF_Import!$D$1,Podesavanja!$AA$3:$AD$24, 4, 0), 0)), ".", ","))</calculatedColumnFormula>
    </tableColumn>
    <tableColumn id="4" name="Kolona2" dataDxfId="8">
      <calculatedColumnFormula>IF( ISNA( VLOOKUP( APIF_Import!$M2 &amp; APIF_Import!$E$1,Podesavanja!$AA$3:$AD$24, 4, 0)), "", SUBSTITUTE( VALUE( VLOOKUP( APIF_Import!$C2, INDIRECT( "Lookup_" &amp; APIF_Import!$M2), VLOOKUP( APIF_Import!$M2 &amp; APIF_Import!$E$1,Podesavanja!$AA$3:$AD$24, 4, 0), 0)), ".", ","))</calculatedColumnFormula>
    </tableColumn>
    <tableColumn id="5" name="Kolona3" dataDxfId="7">
      <calculatedColumnFormula>IF( ISNA( VLOOKUP( APIF_Import!$M2 &amp; APIF_Import!$F$1,Podesavanja!$AA$3:$AD$24, 4, 0)), "", VLOOKUP( APIF_Import!$C2, INDIRECT( "Lookup_" &amp; APIF_Import!$M2), VLOOKUP( APIF_Import!$M2 &amp; APIF_Import!$F$1,Podesavanja!$AA$3:$AD$24, 4, 0), 0))</calculatedColumnFormula>
    </tableColumn>
    <tableColumn id="6" name="Kolona4" dataDxfId="6">
      <calculatedColumnFormula>IF( ISNA( VLOOKUP( APIF_Import!$M2 &amp; APIF_Import!$G$1,Podesavanja!$AA$3:$AD$24, 4, 0)), "", VLOOKUP( APIF_Import!$C2, INDIRECT( "Lookup_" &amp; APIF_Import!$M2), VLOOKUP( APIF_Import!$M2 &amp; APIF_Import!$G$1,Podesavanja!$AA$3:$AD$24, 4, 0), 0))</calculatedColumnFormula>
    </tableColumn>
    <tableColumn id="7" name="Kolona5" dataDxfId="5">
      <calculatedColumnFormula>IF( ISNA( VLOOKUP( APIF_Import!$M2 &amp; APIF_Import!$H$1,Podesavanja!$AA$3:$AD$24, 4, 0)), "", VLOOKUP( APIF_Import!$C2, INDIRECT( "Lookup_" &amp; APIF_Import!$M2), VLOOKUP( APIF_Import!$M2 &amp; APIF_Import!$H$1,Podesavanja!$AA$3:$AD$24, 4, 0), 0))</calculatedColumnFormula>
    </tableColumn>
    <tableColumn id="8" name="Kolona6" dataDxfId="4">
      <calculatedColumnFormula>IF( ISNA( VLOOKUP( APIF_Import!$M2 &amp; APIF_Import!$I$1,Podesavanja!$AA$3:$AD$24, 4, 0)), "", VLOOKUP( APIF_Import!$C2, INDIRECT( "Lookup_" &amp; APIF_Import!$M2), VLOOKUP( APIF_Import!$M2 &amp; APIF_Import!$I$1,Podesavanja!$AA$3:$AD$24, 4, 0), 0))</calculatedColumnFormula>
    </tableColumn>
    <tableColumn id="9" name="Kolona7" dataDxfId="3">
      <calculatedColumnFormula>IF( ISNA( VLOOKUP( APIF_Import!$M2 &amp; APIF_Import!$J$1,Podesavanja!$AA$3:$AD$24, 4, 0)), "", VLOOKUP( APIF_Import!$C2, INDIRECT( "Lookup_" &amp; APIF_Import!$M2), VLOOKUP( APIF_Import!$M2 &amp; APIF_Import!$J$1,Podesavanja!$AA$3:$AD$24, 4, 0), 0))</calculatedColumnFormula>
    </tableColumn>
    <tableColumn id="10" name="Kolona8" dataDxfId="2">
      <calculatedColumnFormula>IF( ISNA( VLOOKUP( APIF_Import!$M2 &amp; APIF_Import!$K$1,Podesavanja!$AA$3:$AD$24, 4, 0)), "", VLOOKUP( APIF_Import!$C2, INDIRECT( "Lookup_" &amp; APIF_Import!$M2), VLOOKUP( APIF_Import!$M2 &amp; APIF_Import!$K$1,Podesavanja!$AA$3:$AD$24,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1" dataDxfId="70">
  <autoFilter ref="A1:N415"/>
  <tableColumns count="14">
    <tableColumn id="1" name="Id" dataDxfId="69">
      <calculatedColumnFormula>ROW()-ROW($A$1)</calculatedColumnFormula>
    </tableColumn>
    <tableColumn id="10" name="Bilans"/>
    <tableColumn id="2" name="Aop nivo" dataDxfId="68"/>
    <tableColumn id="4" name="AOP" dataDxfId="67"/>
    <tableColumn id="14" name="Grupa Prikaz" dataDxfId="66">
      <calculatedColumnFormula>VLOOKUP( Aop!$A2, Aop!$A$2:$N$415, ID_Jezik + 9, 1)</calculatedColumnFormula>
    </tableColumn>
    <tableColumn id="7" name="Pozicija Prikaz" dataDxfId="65">
      <calculatedColumnFormula>REPT( "  ", Aop!$C2) &amp; VLOOKUP( Aop!$A2, Aop!$A$2:$N$415, ID_Jezik + 6, 1)</calculatedColumnFormula>
    </tableColumn>
    <tableColumn id="5" name="Pozicija Srpski - latinica">
      <calculatedColumnFormula>CONCATENATE("Stanje na dan ",Datum_Format," god. (915 ± 916 ± 917 ± 918 ± 919 ± 920 - 921 + 922)")</calculatedColumnFormula>
    </tableColumn>
    <tableColumn id="9" name="Pozicija Srpski - cirilica">
      <calculatedColumnFormula>CONCATENATE("Стaњe нa дaн ",Datum_Format," гoд. (915 ± 916 ± 917 ± 918 ± 919 ± 920 - 921 + 922)")</calculatedColumnFormula>
    </tableColumn>
    <tableColumn id="6" name="Pozicija Engleski">
      <calculatedColumnFormula>CONCATENATE("Value on day ",  Podesavanja!$Y$3," (915 ± 916 ± 917 ± 918 ± 919 ± 920 - 921 + 922)")</calculatedColumnFormula>
    </tableColumn>
    <tableColumn id="11" name="Grupa Sr - latinica" dataDxfId="64"/>
    <tableColumn id="12" name="Grupa Sr - cirilica" dataDxfId="63"/>
    <tableColumn id="13" name="Grupa En" dataDxfId="62"/>
    <tableColumn id="16" name="Bold" dataDxfId="61"/>
    <tableColumn id="17" name="Visina reda" dataDxfId="6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dataCellStyle="Normal">
  <autoFilter ref="H2:L6"/>
  <tableColumns count="5">
    <tableColumn id="1" name="Datum izvještaja" dataDxfId="59" dataCellStyle="Normal">
      <calculatedColumnFormula>DATE(Godina, K3, L3)</calculatedColumnFormula>
    </tableColumn>
    <tableColumn id="6" name="Vrsta_Id" dataCellStyle="Normal"/>
    <tableColumn id="5" name="Vrsta izvještaja" dataCellStyle="Normal">
      <calculatedColumnFormula>Vrsta_izvjestaja_Godisnji</calculatedColumnFormula>
    </tableColumn>
    <tableColumn id="2" name="Mjesec" dataDxfId="58" dataCellStyle="Normal"/>
    <tableColumn id="3" name="Dan" dataDxfId="57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56">
      <calculatedColumnFormula array="1">MIN(IF(Aop!$B$2:$B$415=Podesavanja!$N3,Aop!$A$2:$A$415))</calculatedColumnFormula>
    </tableColumn>
    <tableColumn id="1" name="Max Id">
      <calculatedColumnFormula array="1">MAX(IF(Aop!$B$2:$B$415=Podesavanja!$N3,Aop!$A$2:$A$415))</calculatedColumnFormula>
    </tableColumn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55"/>
    <tableColumn id="2" name="Opis" dataDxfId="54">
      <calculatedColumnFormula>IF( Revidiran_izvjestaj, Revizija_Uzdrzavanje, "")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3">
      <calculatedColumnFormula>DATE( Godina + T3, U3, V3)</calculatedColumnFormula>
    </tableColumn>
    <tableColumn id="6" name="Datum format" dataDxfId="52">
      <calculatedColumnFormula>TEXT(W3, "dd.mm.yyyy.")</calculatedColumnFormula>
    </tableColumn>
    <tableColumn id="7" name="Datum format eng" dataDxfId="51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 headerRowCellStyle="Input">
  <autoFilter ref="AA2:AD24"/>
  <tableColumns count="4">
    <tableColumn id="4" name="LookupText" dataDxfId="50">
      <calculatedColumnFormula>CONCATENATE(Podesavanja!$AB3,Podesavanja!$AC3)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49" dataDxfId="48" dataCellStyle="Normal">
  <autoFilter ref="A1:M379"/>
  <tableColumns count="13">
    <tableColumn id="1" name="Id" dataDxfId="47" dataCellStyle="Normal"/>
    <tableColumn id="2" name="Bilans" dataDxfId="46" dataCellStyle="Normal">
      <calculatedColumnFormula>VLOOKUP( $A2, Aop!$A$2:$N$415, 2, 0)</calculatedColumnFormula>
    </tableColumn>
    <tableColumn id="5" name="Vrsta_izvjestaja" dataDxfId="45" dataCellStyle="Normal">
      <calculatedColumnFormula>ID_Izvjestaj</calculatedColumnFormula>
    </tableColumn>
    <tableColumn id="10" name="MB" dataDxfId="44" dataCellStyle="Normal">
      <calculatedColumnFormula>Podatak_MB</calculatedColumnFormula>
    </tableColumn>
    <tableColumn id="11" name="JIB" dataDxfId="43" dataCellStyle="Normal">
      <calculatedColumnFormula>Podatak_JIB</calculatedColumnFormula>
    </tableColumn>
    <tableColumn id="13" name="Konsolidovan" dataDxfId="42" dataCellStyle="Normal">
      <calculatedColumnFormula>Konsolidovan_izvjestaj</calculatedColumnFormula>
    </tableColumn>
    <tableColumn id="12" name="Datum" dataDxfId="41" dataCellStyle="Normal">
      <calculatedColumnFormula>Datum_Broj</calculatedColumnFormula>
    </tableColumn>
    <tableColumn id="3" name="AOP" dataDxfId="40" dataCellStyle="Normal">
      <calculatedColumnFormula>VLOOKUP( $A2, Aop!$A$2:$N$415, 4, 0)</calculatedColumnFormula>
    </tableColumn>
    <tableColumn id="4" name="Godina" dataDxfId="39" dataCellStyle="Normal">
      <calculatedColumnFormula>Godina</calculatedColumnFormula>
    </tableColumn>
    <tableColumn id="6" name="Bruto" dataDxfId="38" dataCellStyle="Normal"/>
    <tableColumn id="7" name="Ispravka" dataDxfId="37" dataCellStyle="Normal"/>
    <tableColumn id="8" name="Neto" dataDxfId="36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5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69" t="s">
        <v>1203</v>
      </c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</row>
    <row r="6" spans="2:21" ht="18.75" x14ac:dyDescent="0.25">
      <c r="B6" s="193" t="s">
        <v>1783</v>
      </c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</row>
    <row r="7" spans="2:21" ht="15" x14ac:dyDescent="0.25">
      <c r="B7" s="192" t="s">
        <v>1566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5" t="s">
        <v>1781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2" t="s">
        <v>1582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2" t="s">
        <v>270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2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3" t="s">
        <v>1785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2" t="s">
        <v>1784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2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49" t="s">
        <v>834</v>
      </c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1"/>
      <c r="N15" s="20"/>
      <c r="O15" s="20"/>
      <c r="P15" s="20"/>
      <c r="Q15" s="20"/>
    </row>
    <row r="16" spans="2:21" ht="15" x14ac:dyDescent="0.25">
      <c r="B16" s="352" t="s">
        <v>853</v>
      </c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353"/>
      <c r="N16" s="20"/>
      <c r="O16" s="20"/>
      <c r="P16" s="20"/>
      <c r="Q16" s="20"/>
    </row>
    <row r="17" spans="2:17" ht="15" x14ac:dyDescent="0.25">
      <c r="B17" s="354" t="s">
        <v>835</v>
      </c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353"/>
      <c r="N17" s="20"/>
      <c r="O17" s="20"/>
      <c r="P17" s="20"/>
      <c r="Q17" s="20"/>
    </row>
    <row r="18" spans="2:17" ht="15" x14ac:dyDescent="0.25">
      <c r="B18" s="355" t="s">
        <v>836</v>
      </c>
      <c r="C18" s="356"/>
      <c r="D18" s="356"/>
      <c r="E18" s="356"/>
      <c r="F18" s="356"/>
      <c r="G18" s="356"/>
      <c r="H18" s="356"/>
      <c r="I18" s="356"/>
      <c r="J18" s="356"/>
      <c r="K18" s="356"/>
      <c r="L18" s="356"/>
      <c r="M18" s="357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3" t="s">
        <v>826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2" t="s">
        <v>1201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2" t="s">
        <v>1782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5" t="s">
        <v>150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2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3" t="s">
        <v>827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2" t="s">
        <v>1202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2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3" t="s">
        <v>1786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2" t="s">
        <v>271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2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3" t="s">
        <v>828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2" t="s">
        <v>1612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2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3" t="s">
        <v>1375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2" t="s">
        <v>272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2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3" t="s">
        <v>1787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2" t="s">
        <v>870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2" t="s">
        <v>1200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2" t="s">
        <v>1199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2" t="s">
        <v>151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2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3" t="s">
        <v>152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45" t="s">
        <v>163</v>
      </c>
      <c r="C44" s="345" t="s">
        <v>161</v>
      </c>
      <c r="D44" s="345" t="s">
        <v>162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48" t="s">
        <v>99</v>
      </c>
      <c r="C45" s="346">
        <f>--(VLOOKUP( 64, Lookup_BSa, 4, 0) = VLOOKUP( 164, Lookup_BSp, 4, 0))</f>
        <v>1</v>
      </c>
      <c r="D45" s="346">
        <f>--(VLOOKUP( 64, Lookup_BSa, 5, 0) = VLOOKUP( 164, Lookup_BSp, 5, 0))</f>
        <v>1</v>
      </c>
      <c r="E45" s="344" t="s">
        <v>153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48" t="s">
        <v>100</v>
      </c>
      <c r="C46" s="346">
        <f>--(VLOOKUP( 65, Lookup_BSa, 4, 0) = VLOOKUP( 165, Lookup_BSp, 4, 0))</f>
        <v>1</v>
      </c>
      <c r="D46" s="346">
        <f>--(VLOOKUP( 65, Lookup_BSa, 5, 0) = VLOOKUP( 165, Lookup_BSp, 5, 0))</f>
        <v>1</v>
      </c>
      <c r="E46" s="344" t="s">
        <v>154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48" t="s">
        <v>101</v>
      </c>
      <c r="C47" s="346">
        <f>--(VLOOKUP( 66, Lookup_BSa, 4, 0) = VLOOKUP( 166, Lookup_BSp, 4, 0))</f>
        <v>1</v>
      </c>
      <c r="D47" s="346">
        <f>--(VLOOKUP( 66, Lookup_BSa, 5, 0) = VLOOKUP( 166, Lookup_BSp, 5, 0))</f>
        <v>1</v>
      </c>
      <c r="E47" s="344" t="s">
        <v>155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48" t="s">
        <v>102</v>
      </c>
      <c r="C48" s="346">
        <f>--( IF( VLOOKUP( 63, Lookup_BSa, 4, 0) &gt; 0, VLOOKUP( 101, Lookup_BSp, 4, 0) = 0, TRUE))</f>
        <v>1</v>
      </c>
      <c r="D48" s="346">
        <f>--( IF( VLOOKUP( 63, Lookup_BSa, 5, 0) &gt; 0, VLOOKUP( 101, Lookup_BSp, 5, 0) = 0, TRUE))</f>
        <v>1</v>
      </c>
      <c r="E48" s="344" t="s">
        <v>164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48" t="s">
        <v>103</v>
      </c>
      <c r="C49" s="346">
        <f>--( IF( AND( VLOOKUP( 63, Lookup_BSa, 4, 0) &gt; 0,  VLOOKUP( 102, Lookup_BSp, 4, 0) &gt; 0),  VLOOKUP( 123, Lookup_BSp, 4, 0) &gt; 0, TRUE))</f>
        <v>1</v>
      </c>
      <c r="D49" s="346">
        <f>--( IF( AND( VLOOKUP( 63, Lookup_BSa, 5, 0) &gt; 0,  VLOOKUP( 102, Lookup_BSp, 5, 0) &gt; 0),  VLOOKUP( 123, Lookup_BSp, 5, 0) &gt; 0, TRUE))</f>
        <v>1</v>
      </c>
      <c r="E49" s="344" t="s">
        <v>165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48" t="s">
        <v>104</v>
      </c>
      <c r="C50" s="346">
        <f>--( IF( VLOOKUP( 63, Lookup_BSa, 4, 0) = 0, VLOOKUP( 299, Lookup_BUa, 2, 0) = VLOOKUP( 121, Lookup_BSp, 4, 0), TRUE))</f>
        <v>1</v>
      </c>
      <c r="D50" s="346">
        <f>IF( AND( ID_Izvjestaj = 4, VLOOKUP( 63, Lookup_BSa, 5, 0) = 0),--( VLOOKUP( 299, Lookup_BUa, 3, 0) = VLOOKUP( 121, Lookup_BSp, 5, 0)),"")</f>
        <v>1</v>
      </c>
      <c r="E50" s="344" t="s">
        <v>276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48" t="s">
        <v>105</v>
      </c>
      <c r="C51" s="346">
        <f>--( IF( VLOOKUP( 63, Lookup_BSa, 4, 0) = 0, VLOOKUP( 300, Lookup_BUa, 2, 0) = VLOOKUP( 125, Lookup_BSp, 4, 0), TRUE))</f>
        <v>1</v>
      </c>
      <c r="D51" s="346">
        <f>IF( AND( ID_Izvjestaj = 4, VLOOKUP( 63, Lookup_BSa, 5, 0) = 0),--( VLOOKUP( 300, Lookup_BUa, 3, 0) = VLOOKUP( 125, Lookup_BSp, 5, 0)),"")</f>
        <v>1</v>
      </c>
      <c r="E51" s="344" t="s">
        <v>172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48" t="s">
        <v>106</v>
      </c>
      <c r="C52" s="346">
        <f>--(VLOOKUP( 548, Lookup_BTG, 2, 0) = VLOOKUP( 56, Lookup_BSa, 4, 0))</f>
        <v>1</v>
      </c>
      <c r="D52" s="346">
        <f>IF( ID_Izvjestaj = 4, --( VLOOKUP( 548, Lookup_BTG, 3, 0) = VLOOKUP( 56, Lookup_BSa, 5, 0)), "")</f>
        <v>1</v>
      </c>
      <c r="E52" s="344" t="s">
        <v>156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48" t="s">
        <v>107</v>
      </c>
      <c r="C53" s="347"/>
      <c r="D53" s="346">
        <f>--( IF( VLOOKUP( 101, Lookup_BSp, 5, 0) &gt; 0, VLOOKUP( 915, Lookup_BPK, 7, 0) = VLOOKUP( 101, Lookup_BSp, 5, 0), TRUE))</f>
        <v>1</v>
      </c>
      <c r="E53" s="344" t="s">
        <v>158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48" t="s">
        <v>108</v>
      </c>
      <c r="C54" s="346">
        <f>--( IF( VLOOKUP( 101, Lookup_BSp, 4, 0) &gt; 0, VLOOKUP( 923, Lookup_BPK, 7, 0) = VLOOKUP( 101, Lookup_BSp, 4, 0), TRUE))</f>
        <v>1</v>
      </c>
      <c r="D54" s="346"/>
      <c r="E54" s="344" t="s">
        <v>157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48" t="s">
        <v>109</v>
      </c>
      <c r="C55" s="347"/>
      <c r="D55" s="346">
        <f>--( IF( VLOOKUP( 101, Lookup_BSp, 5, 0) = 0, VLOOKUP( 915, Lookup_BPK, 7, 0) = -VLOOKUP( 63, Lookup_BSa, 5, 0), TRUE))</f>
        <v>1</v>
      </c>
      <c r="E55" s="344" t="s">
        <v>159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48" t="s">
        <v>110</v>
      </c>
      <c r="C56" s="346">
        <f>--( IF( VLOOKUP( 101, Lookup_BSp, 4, 0) = 0, VLOOKUP( 923, Lookup_BPK, 7, 0) = -VLOOKUP( 63, Lookup_BSa, 4, 0), TRUE))</f>
        <v>1</v>
      </c>
      <c r="D56" s="346"/>
      <c r="E56" s="344" t="s">
        <v>160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2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3" t="s">
        <v>275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2" t="s">
        <v>166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2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0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1364</v>
      </c>
      <c r="B1" s="76" t="s">
        <v>1491</v>
      </c>
      <c r="C1" s="76" t="s">
        <v>1490</v>
      </c>
      <c r="D1" s="76" t="s">
        <v>1241</v>
      </c>
      <c r="E1" s="77" t="s">
        <v>1570</v>
      </c>
      <c r="F1" s="77" t="s">
        <v>1496</v>
      </c>
      <c r="G1" s="76" t="s">
        <v>1493</v>
      </c>
      <c r="H1" s="76" t="s">
        <v>1494</v>
      </c>
      <c r="I1" s="76" t="s">
        <v>1495</v>
      </c>
      <c r="J1" s="76" t="s">
        <v>96</v>
      </c>
      <c r="K1" s="76" t="s">
        <v>97</v>
      </c>
      <c r="L1" s="76" t="s">
        <v>98</v>
      </c>
      <c r="M1" s="76" t="s">
        <v>82</v>
      </c>
      <c r="N1" s="76" t="s">
        <v>83</v>
      </c>
    </row>
    <row r="2" spans="1:14" x14ac:dyDescent="0.2">
      <c r="A2">
        <f t="shared" ref="A2:A65" si="0">ROW()-ROW($A$1)</f>
        <v>1</v>
      </c>
      <c r="B2" t="s">
        <v>297</v>
      </c>
      <c r="C2">
        <v>0</v>
      </c>
      <c r="E2" s="2">
        <f>VLOOKUP( Aop!$A2, Aop!$A$2:$N$415, ID_Jezik + 9, 1)</f>
        <v>0</v>
      </c>
      <c r="F2" t="str">
        <f>REPT( "  ", Aop!$C2) &amp; VLOOKUP( Aop!$A2, Aop!$A$2:$N$415, ID_Jezik + 6, 1)</f>
        <v>AKTIVA</v>
      </c>
      <c r="G2" t="s">
        <v>1228</v>
      </c>
      <c r="H2" t="s">
        <v>1794</v>
      </c>
      <c r="I2" t="s">
        <v>1247</v>
      </c>
      <c r="J2" s="267"/>
      <c r="K2" s="267"/>
      <c r="L2" s="267"/>
      <c r="M2" s="10">
        <v>1</v>
      </c>
      <c r="N2" s="10"/>
    </row>
    <row r="3" spans="1:14" x14ac:dyDescent="0.2">
      <c r="A3">
        <f t="shared" si="0"/>
        <v>2</v>
      </c>
      <c r="B3" t="s">
        <v>297</v>
      </c>
      <c r="C3">
        <v>1</v>
      </c>
      <c r="D3">
        <v>1</v>
      </c>
      <c r="E3" s="2">
        <f>VLOOKUP( Aop!$A3, Aop!$A$2:$N$415, ID_Jezik + 9, 1)</f>
        <v>0</v>
      </c>
      <c r="F3" t="str">
        <f>REPT( "  ", Aop!$C3) &amp; VLOOKUP( Aop!$A3, Aop!$A$2:$N$415, ID_Jezik + 6, 1)</f>
        <v xml:space="preserve">  A. STALNA SREDSTVA (002 + 008 + 015 + 021 + 030)</v>
      </c>
      <c r="G3" t="s">
        <v>1795</v>
      </c>
      <c r="H3" t="s">
        <v>1796</v>
      </c>
      <c r="I3" t="s">
        <v>1797</v>
      </c>
      <c r="J3" s="267"/>
      <c r="K3" s="267"/>
      <c r="L3" s="267"/>
      <c r="M3" s="10">
        <v>1</v>
      </c>
      <c r="N3" s="10"/>
    </row>
    <row r="4" spans="1:14" x14ac:dyDescent="0.2">
      <c r="A4">
        <f t="shared" si="0"/>
        <v>3</v>
      </c>
      <c r="B4" t="s">
        <v>297</v>
      </c>
      <c r="C4">
        <v>2</v>
      </c>
      <c r="D4">
        <v>2</v>
      </c>
      <c r="E4" s="2" t="str">
        <f>VLOOKUP( Aop!$A4, Aop!$A$2:$N$415, ID_Jezik + 9, 1)</f>
        <v>01</v>
      </c>
      <c r="F4" t="str">
        <f>REPT( "  ", Aop!$C4) &amp; VLOOKUP( Aop!$A4, Aop!$A$2:$N$415, ID_Jezik + 6, 1)</f>
        <v xml:space="preserve">    I - NEMATERIJALNA SREDSTVA (003 do 007)</v>
      </c>
      <c r="G4" t="s">
        <v>1798</v>
      </c>
      <c r="H4" t="s">
        <v>1799</v>
      </c>
      <c r="I4" t="s">
        <v>1800</v>
      </c>
      <c r="J4" s="267" t="s">
        <v>1613</v>
      </c>
      <c r="K4" s="267" t="s">
        <v>1613</v>
      </c>
      <c r="L4" s="267" t="s">
        <v>1613</v>
      </c>
      <c r="M4" s="10">
        <v>1</v>
      </c>
      <c r="N4" s="10"/>
    </row>
    <row r="5" spans="1:14" x14ac:dyDescent="0.2">
      <c r="A5">
        <f t="shared" si="0"/>
        <v>4</v>
      </c>
      <c r="B5" t="s">
        <v>297</v>
      </c>
      <c r="C5">
        <v>3</v>
      </c>
      <c r="D5">
        <v>3</v>
      </c>
      <c r="E5" s="2" t="str">
        <f>VLOOKUP( Aop!$A5, Aop!$A$2:$N$415, ID_Jezik + 9, 1)</f>
        <v>010, dio 019</v>
      </c>
      <c r="F5" t="str">
        <f>REPT( "  ", Aop!$C5) &amp; VLOOKUP( Aop!$A5, Aop!$A$2:$N$415, ID_Jezik + 6, 1)</f>
        <v xml:space="preserve">      1. Ulaganja u razvoj</v>
      </c>
      <c r="G5" t="s">
        <v>1249</v>
      </c>
      <c r="H5" t="s">
        <v>1801</v>
      </c>
      <c r="I5" t="s">
        <v>1802</v>
      </c>
      <c r="J5" s="267" t="s">
        <v>1054</v>
      </c>
      <c r="K5" s="267" t="s">
        <v>1055</v>
      </c>
      <c r="L5" s="267" t="s">
        <v>1056</v>
      </c>
      <c r="M5" s="10"/>
      <c r="N5" s="10"/>
    </row>
    <row r="6" spans="1:14" x14ac:dyDescent="0.2">
      <c r="A6">
        <f t="shared" si="0"/>
        <v>5</v>
      </c>
      <c r="B6" t="s">
        <v>297</v>
      </c>
      <c r="C6">
        <v>3</v>
      </c>
      <c r="D6">
        <v>4</v>
      </c>
      <c r="E6" s="2" t="str">
        <f>VLOOKUP( Aop!$A6, Aop!$A$2:$N$415, ID_Jezik + 9, 1)</f>
        <v>011, dio 019</v>
      </c>
      <c r="F6" t="str">
        <f>REPT( "  ", Aop!$C6) &amp; VLOOKUP( Aop!$A6, Aop!$A$2:$N$415, ID_Jezik + 6, 1)</f>
        <v xml:space="preserve">      2. Koncesije, patenti, licence i ostala prava</v>
      </c>
      <c r="G6" t="s">
        <v>1251</v>
      </c>
      <c r="H6" t="s">
        <v>1803</v>
      </c>
      <c r="I6" t="s">
        <v>1804</v>
      </c>
      <c r="J6" s="267" t="s">
        <v>1057</v>
      </c>
      <c r="K6" s="267" t="s">
        <v>1058</v>
      </c>
      <c r="L6" s="267" t="s">
        <v>1059</v>
      </c>
      <c r="M6" s="10"/>
      <c r="N6" s="10"/>
    </row>
    <row r="7" spans="1:14" x14ac:dyDescent="0.2">
      <c r="A7">
        <f t="shared" si="0"/>
        <v>6</v>
      </c>
      <c r="B7" t="s">
        <v>297</v>
      </c>
      <c r="C7">
        <v>3</v>
      </c>
      <c r="D7">
        <v>5</v>
      </c>
      <c r="E7" s="2" t="str">
        <f>VLOOKUP( Aop!$A7, Aop!$A$2:$N$415, ID_Jezik + 9, 1)</f>
        <v>012, dio 019</v>
      </c>
      <c r="F7" t="str">
        <f>REPT( "  ", Aop!$C7) &amp; VLOOKUP( Aop!$A7, Aop!$A$2:$N$415, ID_Jezik + 6, 1)</f>
        <v xml:space="preserve">      3. Goodwill</v>
      </c>
      <c r="G7" t="s">
        <v>1252</v>
      </c>
      <c r="H7" t="s">
        <v>1252</v>
      </c>
      <c r="I7" t="s">
        <v>1805</v>
      </c>
      <c r="J7" s="267" t="s">
        <v>1060</v>
      </c>
      <c r="K7" s="267" t="s">
        <v>1061</v>
      </c>
      <c r="L7" s="267" t="s">
        <v>1062</v>
      </c>
      <c r="M7" s="10"/>
      <c r="N7" s="10"/>
    </row>
    <row r="8" spans="1:14" x14ac:dyDescent="0.2">
      <c r="A8">
        <f t="shared" si="0"/>
        <v>7</v>
      </c>
      <c r="B8" t="s">
        <v>297</v>
      </c>
      <c r="C8">
        <v>3</v>
      </c>
      <c r="D8">
        <v>6</v>
      </c>
      <c r="E8" s="2" t="str">
        <f>VLOOKUP( Aop!$A8, Aop!$A$2:$N$415, ID_Jezik + 9, 1)</f>
        <v>014, dio 019</v>
      </c>
      <c r="F8" t="str">
        <f>REPT( "  ", Aop!$C8) &amp; VLOOKUP( Aop!$A8, Aop!$A$2:$N$415, ID_Jezik + 6, 1)</f>
        <v xml:space="preserve">      4. Ostala nematerijalna sredstva</v>
      </c>
      <c r="G8" t="s">
        <v>1806</v>
      </c>
      <c r="H8" t="s">
        <v>1807</v>
      </c>
      <c r="I8" t="s">
        <v>1808</v>
      </c>
      <c r="J8" s="267" t="s">
        <v>1063</v>
      </c>
      <c r="K8" s="267" t="s">
        <v>1064</v>
      </c>
      <c r="L8" s="267" t="s">
        <v>1065</v>
      </c>
      <c r="M8" s="10"/>
      <c r="N8" s="10"/>
    </row>
    <row r="9" spans="1:14" x14ac:dyDescent="0.2">
      <c r="A9">
        <f t="shared" si="0"/>
        <v>8</v>
      </c>
      <c r="B9" t="s">
        <v>297</v>
      </c>
      <c r="C9">
        <v>3</v>
      </c>
      <c r="D9">
        <v>7</v>
      </c>
      <c r="E9" s="2" t="str">
        <f>VLOOKUP( Aop!$A9, Aop!$A$2:$N$415, ID_Jezik + 9, 1)</f>
        <v>015, 016, dio 019</v>
      </c>
      <c r="F9" t="str">
        <f>REPT( "  ", Aop!$C9) &amp; VLOOKUP( Aop!$A9, Aop!$A$2:$N$415, ID_Jezik + 6, 1)</f>
        <v xml:space="preserve">      5. Avansi i nematerijalna sredstva u pripremi</v>
      </c>
      <c r="G9" t="s">
        <v>1809</v>
      </c>
      <c r="H9" t="s">
        <v>1810</v>
      </c>
      <c r="I9" t="s">
        <v>1811</v>
      </c>
      <c r="J9" s="267" t="s">
        <v>1066</v>
      </c>
      <c r="K9" s="267" t="s">
        <v>1067</v>
      </c>
      <c r="L9" s="267" t="s">
        <v>1068</v>
      </c>
      <c r="M9" s="10"/>
      <c r="N9" s="10"/>
    </row>
    <row r="10" spans="1:14" x14ac:dyDescent="0.2">
      <c r="A10">
        <f t="shared" si="0"/>
        <v>9</v>
      </c>
      <c r="B10" t="s">
        <v>297</v>
      </c>
      <c r="C10">
        <v>2</v>
      </c>
      <c r="D10">
        <v>8</v>
      </c>
      <c r="E10" s="2" t="str">
        <f>VLOOKUP( Aop!$A10, Aop!$A$2:$N$415, ID_Jezik + 9, 1)</f>
        <v>02</v>
      </c>
      <c r="F10" t="str">
        <f>REPT( "  ", Aop!$C10) &amp; VLOOKUP( Aop!$A10, Aop!$A$2:$N$415, ID_Jezik + 6, 1)</f>
        <v xml:space="preserve">    II - NEKRETNINE, POSTROJENJA, OPREMA I INVESTICIONE NEKRETNINE (009 do 014)</v>
      </c>
      <c r="G10" t="s">
        <v>1812</v>
      </c>
      <c r="H10" t="s">
        <v>1813</v>
      </c>
      <c r="I10" t="s">
        <v>1814</v>
      </c>
      <c r="J10" s="267" t="s">
        <v>1614</v>
      </c>
      <c r="K10" s="267" t="s">
        <v>1614</v>
      </c>
      <c r="L10" s="267" t="s">
        <v>1614</v>
      </c>
      <c r="M10" s="10">
        <v>1</v>
      </c>
      <c r="N10" s="10"/>
    </row>
    <row r="11" spans="1:14" x14ac:dyDescent="0.2">
      <c r="A11">
        <f t="shared" si="0"/>
        <v>10</v>
      </c>
      <c r="B11" t="s">
        <v>297</v>
      </c>
      <c r="C11">
        <v>3</v>
      </c>
      <c r="D11">
        <v>9</v>
      </c>
      <c r="E11" s="2" t="str">
        <f>VLOOKUP( Aop!$A11, Aop!$A$2:$N$415, ID_Jezik + 9, 1)</f>
        <v>020, dio 029</v>
      </c>
      <c r="F11" t="str">
        <f>REPT( "  ", Aop!$C11) &amp; VLOOKUP( Aop!$A11, Aop!$A$2:$N$415, ID_Jezik + 6, 1)</f>
        <v xml:space="preserve">      1. Zemljište</v>
      </c>
      <c r="G11" t="s">
        <v>1253</v>
      </c>
      <c r="H11" t="s">
        <v>1815</v>
      </c>
      <c r="I11" t="s">
        <v>1816</v>
      </c>
      <c r="J11" s="267" t="s">
        <v>1069</v>
      </c>
      <c r="K11" s="267" t="s">
        <v>1070</v>
      </c>
      <c r="L11" s="267" t="s">
        <v>1071</v>
      </c>
      <c r="M11" s="10"/>
      <c r="N11" s="10"/>
    </row>
    <row r="12" spans="1:14" x14ac:dyDescent="0.2">
      <c r="A12">
        <f t="shared" si="0"/>
        <v>11</v>
      </c>
      <c r="B12" t="s">
        <v>297</v>
      </c>
      <c r="C12">
        <v>3</v>
      </c>
      <c r="D12">
        <v>10</v>
      </c>
      <c r="E12" s="2" t="str">
        <f>VLOOKUP( Aop!$A12, Aop!$A$2:$N$415, ID_Jezik + 9, 1)</f>
        <v>021, dio 029</v>
      </c>
      <c r="F12" t="str">
        <f>REPT( "  ", Aop!$C12) &amp; VLOOKUP( Aop!$A12, Aop!$A$2:$N$415, ID_Jezik + 6, 1)</f>
        <v xml:space="preserve">      2. Građevinski objekti</v>
      </c>
      <c r="G12" t="s">
        <v>1229</v>
      </c>
      <c r="H12" t="s">
        <v>1817</v>
      </c>
      <c r="I12" t="s">
        <v>1818</v>
      </c>
      <c r="J12" s="267" t="s">
        <v>1072</v>
      </c>
      <c r="K12" s="267" t="s">
        <v>1073</v>
      </c>
      <c r="L12" s="267" t="s">
        <v>1074</v>
      </c>
      <c r="M12" s="10"/>
      <c r="N12" s="10"/>
    </row>
    <row r="13" spans="1:14" x14ac:dyDescent="0.2">
      <c r="A13">
        <f t="shared" si="0"/>
        <v>12</v>
      </c>
      <c r="B13" t="s">
        <v>297</v>
      </c>
      <c r="C13">
        <v>3</v>
      </c>
      <c r="D13">
        <v>11</v>
      </c>
      <c r="E13" s="2" t="str">
        <f>VLOOKUP( Aop!$A13, Aop!$A$2:$N$415, ID_Jezik + 9, 1)</f>
        <v>022, dio 029</v>
      </c>
      <c r="F13" t="str">
        <f>REPT( "  ", Aop!$C13) &amp; VLOOKUP( Aop!$A13, Aop!$A$2:$N$415, ID_Jezik + 6, 1)</f>
        <v xml:space="preserve">      3. Postrojenja i oprema</v>
      </c>
      <c r="G13" t="s">
        <v>1254</v>
      </c>
      <c r="H13" t="s">
        <v>1819</v>
      </c>
      <c r="I13" t="s">
        <v>1820</v>
      </c>
      <c r="J13" s="267" t="s">
        <v>1075</v>
      </c>
      <c r="K13" s="267" t="s">
        <v>1076</v>
      </c>
      <c r="L13" s="267" t="s">
        <v>1077</v>
      </c>
      <c r="M13" s="10"/>
      <c r="N13" s="10"/>
    </row>
    <row r="14" spans="1:14" x14ac:dyDescent="0.2">
      <c r="A14">
        <f t="shared" si="0"/>
        <v>13</v>
      </c>
      <c r="B14" t="s">
        <v>297</v>
      </c>
      <c r="C14">
        <v>3</v>
      </c>
      <c r="D14">
        <v>12</v>
      </c>
      <c r="E14" s="2" t="str">
        <f>VLOOKUP( Aop!$A14, Aop!$A$2:$N$415, ID_Jezik + 9, 1)</f>
        <v>023, dio 029</v>
      </c>
      <c r="F14" t="str">
        <f>REPT( "  ", Aop!$C14) &amp; VLOOKUP( Aop!$A14, Aop!$A$2:$N$415, ID_Jezik + 6, 1)</f>
        <v xml:space="preserve">      4. Investicione nekretnine</v>
      </c>
      <c r="G14" t="s">
        <v>1255</v>
      </c>
      <c r="H14" t="s">
        <v>1821</v>
      </c>
      <c r="I14" t="s">
        <v>1822</v>
      </c>
      <c r="J14" s="267" t="s">
        <v>1078</v>
      </c>
      <c r="K14" s="267" t="s">
        <v>1079</v>
      </c>
      <c r="L14" s="267" t="s">
        <v>1080</v>
      </c>
      <c r="M14" s="10"/>
      <c r="N14" s="10"/>
    </row>
    <row r="15" spans="1:14" x14ac:dyDescent="0.2">
      <c r="A15">
        <f t="shared" si="0"/>
        <v>14</v>
      </c>
      <c r="B15" t="s">
        <v>297</v>
      </c>
      <c r="C15">
        <v>3</v>
      </c>
      <c r="D15">
        <v>13</v>
      </c>
      <c r="E15" s="2" t="str">
        <f>VLOOKUP( Aop!$A15, Aop!$A$2:$N$415, ID_Jezik + 9, 1)</f>
        <v>024, dio 029</v>
      </c>
      <c r="F15" t="str">
        <f>REPT( "  ", Aop!$C15) &amp; VLOOKUP( Aop!$A15, Aop!$A$2:$N$415, ID_Jezik + 6, 1)</f>
        <v xml:space="preserve">      5. Ulaganje na tuđim nekretninama, postrojenjima i opremi</v>
      </c>
      <c r="G15" t="s">
        <v>1823</v>
      </c>
      <c r="H15" t="s">
        <v>1824</v>
      </c>
      <c r="I15" t="s">
        <v>1825</v>
      </c>
      <c r="J15" s="267" t="s">
        <v>1081</v>
      </c>
      <c r="K15" s="267" t="s">
        <v>1082</v>
      </c>
      <c r="L15" s="267" t="s">
        <v>1083</v>
      </c>
      <c r="M15" s="10"/>
      <c r="N15" s="10"/>
    </row>
    <row r="16" spans="1:14" x14ac:dyDescent="0.2">
      <c r="A16">
        <f t="shared" si="0"/>
        <v>15</v>
      </c>
      <c r="B16" t="s">
        <v>297</v>
      </c>
      <c r="C16">
        <v>3</v>
      </c>
      <c r="D16">
        <v>14</v>
      </c>
      <c r="E16" s="2" t="str">
        <f>VLOOKUP( Aop!$A16, Aop!$A$2:$N$415, ID_Jezik + 9, 1)</f>
        <v>027, 028, dio 029</v>
      </c>
      <c r="F16" t="str">
        <f>REPT( "  ", Aop!$C16) &amp; VLOOKUP( Aop!$A16, Aop!$A$2:$N$415, ID_Jezik + 6, 1)</f>
        <v xml:space="preserve">      6. Avansi i nekretnine, postrojenja, oprema i investicione nekretnine u pripremi</v>
      </c>
      <c r="G16" t="s">
        <v>1826</v>
      </c>
      <c r="H16" t="s">
        <v>1827</v>
      </c>
      <c r="I16" t="s">
        <v>1828</v>
      </c>
      <c r="J16" s="267" t="s">
        <v>1084</v>
      </c>
      <c r="K16" s="267" t="s">
        <v>1085</v>
      </c>
      <c r="L16" s="267" t="s">
        <v>1086</v>
      </c>
      <c r="M16" s="10"/>
      <c r="N16" s="10"/>
    </row>
    <row r="17" spans="1:14" x14ac:dyDescent="0.2">
      <c r="A17">
        <f t="shared" si="0"/>
        <v>16</v>
      </c>
      <c r="B17" t="s">
        <v>297</v>
      </c>
      <c r="C17">
        <v>2</v>
      </c>
      <c r="D17">
        <v>15</v>
      </c>
      <c r="E17" s="2" t="str">
        <f>VLOOKUP( Aop!$A17, Aop!$A$2:$N$415, ID_Jezik + 9, 1)</f>
        <v>03</v>
      </c>
      <c r="F17" t="str">
        <f>REPT( "  ", Aop!$C17) &amp; VLOOKUP( Aop!$A17, Aop!$A$2:$N$415, ID_Jezik + 6, 1)</f>
        <v xml:space="preserve">    III - BIOLOŠKA SREDSTVA I SREDSTVA KULTURE (016 do 020)</v>
      </c>
      <c r="G17" t="s">
        <v>1829</v>
      </c>
      <c r="H17" t="s">
        <v>1830</v>
      </c>
      <c r="I17" t="s">
        <v>1831</v>
      </c>
      <c r="J17" s="267" t="s">
        <v>1615</v>
      </c>
      <c r="K17" s="267" t="s">
        <v>1615</v>
      </c>
      <c r="L17" s="267" t="s">
        <v>1615</v>
      </c>
      <c r="M17" s="10">
        <v>1</v>
      </c>
      <c r="N17" s="10"/>
    </row>
    <row r="18" spans="1:14" x14ac:dyDescent="0.2">
      <c r="A18">
        <f t="shared" si="0"/>
        <v>17</v>
      </c>
      <c r="B18" t="s">
        <v>297</v>
      </c>
      <c r="C18">
        <v>3</v>
      </c>
      <c r="D18">
        <v>16</v>
      </c>
      <c r="E18" s="2" t="str">
        <f>VLOOKUP( Aop!$A18, Aop!$A$2:$N$415, ID_Jezik + 9, 1)</f>
        <v>030, dio 039</v>
      </c>
      <c r="F18" t="str">
        <f>REPT( "  ", Aop!$C18) &amp; VLOOKUP( Aop!$A18, Aop!$A$2:$N$415, ID_Jezik + 6, 1)</f>
        <v xml:space="preserve">      1. Šume</v>
      </c>
      <c r="G18" t="s">
        <v>1256</v>
      </c>
      <c r="H18" t="s">
        <v>1832</v>
      </c>
      <c r="I18" t="s">
        <v>1833</v>
      </c>
      <c r="J18" s="267" t="s">
        <v>1087</v>
      </c>
      <c r="K18" s="267" t="s">
        <v>1088</v>
      </c>
      <c r="L18" s="267" t="s">
        <v>1089</v>
      </c>
      <c r="M18" s="10"/>
      <c r="N18" s="10"/>
    </row>
    <row r="19" spans="1:14" x14ac:dyDescent="0.2">
      <c r="A19">
        <f t="shared" si="0"/>
        <v>18</v>
      </c>
      <c r="B19" t="s">
        <v>297</v>
      </c>
      <c r="C19">
        <v>3</v>
      </c>
      <c r="D19">
        <v>17</v>
      </c>
      <c r="E19" s="2" t="str">
        <f>VLOOKUP( Aop!$A19, Aop!$A$2:$N$415, ID_Jezik + 9, 1)</f>
        <v>031, dio 039</v>
      </c>
      <c r="F19" t="str">
        <f>REPT( "  ", Aop!$C19) &amp; VLOOKUP( Aop!$A19, Aop!$A$2:$N$415, ID_Jezik + 6, 1)</f>
        <v xml:space="preserve">      2. Višegodišnji zasadi</v>
      </c>
      <c r="G19" t="s">
        <v>1257</v>
      </c>
      <c r="H19" t="s">
        <v>1834</v>
      </c>
      <c r="I19" t="s">
        <v>1835</v>
      </c>
      <c r="J19" s="267" t="s">
        <v>1090</v>
      </c>
      <c r="K19" s="267" t="s">
        <v>1091</v>
      </c>
      <c r="L19" s="267" t="s">
        <v>1092</v>
      </c>
      <c r="M19" s="10"/>
      <c r="N19" s="10"/>
    </row>
    <row r="20" spans="1:14" x14ac:dyDescent="0.2">
      <c r="A20">
        <f t="shared" si="0"/>
        <v>19</v>
      </c>
      <c r="B20" t="s">
        <v>297</v>
      </c>
      <c r="C20">
        <v>3</v>
      </c>
      <c r="D20">
        <v>18</v>
      </c>
      <c r="E20" s="2" t="str">
        <f>VLOOKUP( Aop!$A20, Aop!$A$2:$N$415, ID_Jezik + 9, 1)</f>
        <v>032, dio 039</v>
      </c>
      <c r="F20" t="str">
        <f>REPT( "  ", Aop!$C20) &amp; VLOOKUP( Aop!$A20, Aop!$A$2:$N$415, ID_Jezik + 6, 1)</f>
        <v xml:space="preserve">      3. Osnovno stado</v>
      </c>
      <c r="G20" t="s">
        <v>1258</v>
      </c>
      <c r="H20" t="s">
        <v>1836</v>
      </c>
      <c r="I20" t="s">
        <v>1837</v>
      </c>
      <c r="J20" s="267" t="s">
        <v>1093</v>
      </c>
      <c r="K20" s="267" t="s">
        <v>1094</v>
      </c>
      <c r="L20" s="267" t="s">
        <v>1095</v>
      </c>
      <c r="M20" s="10"/>
      <c r="N20" s="10"/>
    </row>
    <row r="21" spans="1:14" x14ac:dyDescent="0.2">
      <c r="A21">
        <f t="shared" si="0"/>
        <v>20</v>
      </c>
      <c r="B21" t="s">
        <v>297</v>
      </c>
      <c r="C21">
        <v>3</v>
      </c>
      <c r="D21">
        <v>19</v>
      </c>
      <c r="E21" s="2" t="str">
        <f>VLOOKUP( Aop!$A21, Aop!$A$2:$N$415, ID_Jezik + 9, 1)</f>
        <v>033, dio 039</v>
      </c>
      <c r="F21" t="str">
        <f>REPT( "  ", Aop!$C21) &amp; VLOOKUP( Aop!$A21, Aop!$A$2:$N$415, ID_Jezik + 6, 1)</f>
        <v xml:space="preserve">      4. Sredstva kulture</v>
      </c>
      <c r="G21" t="s">
        <v>1259</v>
      </c>
      <c r="H21" t="s">
        <v>1838</v>
      </c>
      <c r="I21" t="s">
        <v>1839</v>
      </c>
      <c r="J21" s="267" t="s">
        <v>1096</v>
      </c>
      <c r="K21" s="267" t="s">
        <v>1097</v>
      </c>
      <c r="L21" s="267" t="s">
        <v>1098</v>
      </c>
      <c r="M21" s="10"/>
      <c r="N21" s="10"/>
    </row>
    <row r="22" spans="1:14" x14ac:dyDescent="0.2">
      <c r="A22">
        <f t="shared" si="0"/>
        <v>21</v>
      </c>
      <c r="B22" t="s">
        <v>297</v>
      </c>
      <c r="C22">
        <v>3</v>
      </c>
      <c r="D22">
        <v>20</v>
      </c>
      <c r="E22" s="2" t="str">
        <f>VLOOKUP( Aop!$A22, Aop!$A$2:$N$415, ID_Jezik + 9, 1)</f>
        <v>037, 038, dio 039</v>
      </c>
      <c r="F22" t="str">
        <f>REPT( "  ", Aop!$C22) &amp; VLOOKUP( Aop!$A22, Aop!$A$2:$N$415, ID_Jezik + 6, 1)</f>
        <v xml:space="preserve">      5. Avansi i biološka sredstva i sredstva kulture u pripremi</v>
      </c>
      <c r="G22" t="s">
        <v>786</v>
      </c>
      <c r="H22" t="s">
        <v>1840</v>
      </c>
      <c r="I22" t="s">
        <v>1841</v>
      </c>
      <c r="J22" s="267" t="s">
        <v>1099</v>
      </c>
      <c r="K22" s="267" t="s">
        <v>1100</v>
      </c>
      <c r="L22" s="267" t="s">
        <v>1101</v>
      </c>
      <c r="M22" s="10"/>
      <c r="N22" s="10"/>
    </row>
    <row r="23" spans="1:14" x14ac:dyDescent="0.2">
      <c r="A23">
        <f t="shared" si="0"/>
        <v>22</v>
      </c>
      <c r="B23" t="s">
        <v>297</v>
      </c>
      <c r="C23">
        <v>2</v>
      </c>
      <c r="D23">
        <v>21</v>
      </c>
      <c r="E23" s="2" t="str">
        <f>VLOOKUP( Aop!$A23, Aop!$A$2:$N$415, ID_Jezik + 9, 1)</f>
        <v>04</v>
      </c>
      <c r="F23" t="str">
        <f>REPT( "  ", Aop!$C23) &amp; VLOOKUP( Aop!$A23, Aop!$A$2:$N$415, ID_Jezik + 6, 1)</f>
        <v xml:space="preserve">    IV - DUGOROČNI FINANSIJSKI PLASMANI (022 do 029)</v>
      </c>
      <c r="G23" t="s">
        <v>1842</v>
      </c>
      <c r="H23" t="s">
        <v>1843</v>
      </c>
      <c r="I23" t="s">
        <v>1844</v>
      </c>
      <c r="J23" s="267" t="s">
        <v>1616</v>
      </c>
      <c r="K23" s="267" t="s">
        <v>1616</v>
      </c>
      <c r="L23" s="267" t="s">
        <v>1616</v>
      </c>
      <c r="M23" s="10">
        <v>1</v>
      </c>
      <c r="N23" s="10"/>
    </row>
    <row r="24" spans="1:14" x14ac:dyDescent="0.2">
      <c r="A24">
        <f t="shared" si="0"/>
        <v>23</v>
      </c>
      <c r="B24" t="s">
        <v>297</v>
      </c>
      <c r="C24">
        <v>3</v>
      </c>
      <c r="D24">
        <v>22</v>
      </c>
      <c r="E24" s="2" t="str">
        <f>VLOOKUP( Aop!$A24, Aop!$A$2:$N$415, ID_Jezik + 9, 1)</f>
        <v>040, dio 049</v>
      </c>
      <c r="F24" t="str">
        <f>REPT( "  ", Aop!$C24) &amp; VLOOKUP( Aop!$A24, Aop!$A$2:$N$415, ID_Jezik + 6, 1)</f>
        <v xml:space="preserve">      1. Učešće u kapitalu zavisnih pravnih lica</v>
      </c>
      <c r="G24" t="s">
        <v>1261</v>
      </c>
      <c r="H24" t="s">
        <v>1845</v>
      </c>
      <c r="I24" t="s">
        <v>1846</v>
      </c>
      <c r="J24" s="267" t="s">
        <v>1260</v>
      </c>
      <c r="K24" s="267" t="s">
        <v>1102</v>
      </c>
      <c r="L24" s="267" t="s">
        <v>1160</v>
      </c>
      <c r="M24" s="10"/>
      <c r="N24" s="10"/>
    </row>
    <row r="25" spans="1:14" x14ac:dyDescent="0.2">
      <c r="A25">
        <f t="shared" si="0"/>
        <v>24</v>
      </c>
      <c r="B25" t="s">
        <v>297</v>
      </c>
      <c r="C25">
        <v>3</v>
      </c>
      <c r="D25">
        <v>23</v>
      </c>
      <c r="E25" s="2" t="str">
        <f>VLOOKUP( Aop!$A25, Aop!$A$2:$N$415, ID_Jezik + 9, 1)</f>
        <v>041, dio 049</v>
      </c>
      <c r="F25" t="str">
        <f>REPT( "  ", Aop!$C25) &amp; VLOOKUP( Aop!$A25, Aop!$A$2:$N$415, ID_Jezik + 6, 1)</f>
        <v xml:space="preserve">      2. Učešće u kapitalu drugih pravnih lica</v>
      </c>
      <c r="G25" t="s">
        <v>1265</v>
      </c>
      <c r="H25" t="s">
        <v>1847</v>
      </c>
      <c r="I25" t="s">
        <v>1848</v>
      </c>
      <c r="J25" s="267" t="s">
        <v>1262</v>
      </c>
      <c r="K25" s="267" t="s">
        <v>1103</v>
      </c>
      <c r="L25" s="267" t="s">
        <v>1161</v>
      </c>
      <c r="M25" s="10"/>
      <c r="N25" s="10"/>
    </row>
    <row r="26" spans="1:14" x14ac:dyDescent="0.2">
      <c r="A26">
        <f t="shared" si="0"/>
        <v>25</v>
      </c>
      <c r="B26" t="s">
        <v>297</v>
      </c>
      <c r="C26">
        <v>3</v>
      </c>
      <c r="D26">
        <v>24</v>
      </c>
      <c r="E26" s="2" t="str">
        <f>VLOOKUP( Aop!$A26, Aop!$A$2:$N$415, ID_Jezik + 9, 1)</f>
        <v>042, dio 049</v>
      </c>
      <c r="F26" t="str">
        <f>REPT( "  ", Aop!$C26) &amp; VLOOKUP( Aop!$A26, Aop!$A$2:$N$415, ID_Jezik + 6, 1)</f>
        <v xml:space="preserve">      3. Dugoročni krediti povezanim pravnim licima</v>
      </c>
      <c r="G26" t="s">
        <v>1230</v>
      </c>
      <c r="H26" t="s">
        <v>1849</v>
      </c>
      <c r="I26" t="s">
        <v>1850</v>
      </c>
      <c r="J26" s="267" t="s">
        <v>1263</v>
      </c>
      <c r="K26" s="267" t="s">
        <v>1104</v>
      </c>
      <c r="L26" s="267" t="s">
        <v>1162</v>
      </c>
      <c r="M26" s="10"/>
      <c r="N26" s="10"/>
    </row>
    <row r="27" spans="1:14" x14ac:dyDescent="0.2">
      <c r="A27">
        <f t="shared" si="0"/>
        <v>26</v>
      </c>
      <c r="B27" t="s">
        <v>297</v>
      </c>
      <c r="C27">
        <v>3</v>
      </c>
      <c r="D27">
        <v>25</v>
      </c>
      <c r="E27" s="2" t="str">
        <f>VLOOKUP( Aop!$A27, Aop!$A$2:$N$415, ID_Jezik + 9, 1)</f>
        <v>043, dio 049</v>
      </c>
      <c r="F27" t="str">
        <f>REPT( "  ", Aop!$C27) &amp; VLOOKUP( Aop!$A27, Aop!$A$2:$N$415, ID_Jezik + 6, 1)</f>
        <v xml:space="preserve">      4. Dugoročni krediti u zemlji</v>
      </c>
      <c r="G27" t="s">
        <v>1266</v>
      </c>
      <c r="H27" t="s">
        <v>1851</v>
      </c>
      <c r="I27" t="s">
        <v>1852</v>
      </c>
      <c r="J27" s="267" t="s">
        <v>1264</v>
      </c>
      <c r="K27" s="267" t="s">
        <v>1105</v>
      </c>
      <c r="L27" s="267" t="s">
        <v>1163</v>
      </c>
      <c r="M27" s="10"/>
      <c r="N27" s="10"/>
    </row>
    <row r="28" spans="1:14" x14ac:dyDescent="0.2">
      <c r="A28">
        <f t="shared" si="0"/>
        <v>27</v>
      </c>
      <c r="B28" t="s">
        <v>297</v>
      </c>
      <c r="C28">
        <v>3</v>
      </c>
      <c r="D28">
        <v>26</v>
      </c>
      <c r="E28" s="2" t="str">
        <f>VLOOKUP( Aop!$A28, Aop!$A$2:$N$415, ID_Jezik + 9, 1)</f>
        <v>044, dio 049</v>
      </c>
      <c r="F28" t="str">
        <f>REPT( "  ", Aop!$C28) &amp; VLOOKUP( Aop!$A28, Aop!$A$2:$N$415, ID_Jezik + 6, 1)</f>
        <v xml:space="preserve">      5. Dugoročni krediti u inostranstvu</v>
      </c>
      <c r="G28" t="s">
        <v>1268</v>
      </c>
      <c r="H28" t="s">
        <v>1853</v>
      </c>
      <c r="I28" t="s">
        <v>1854</v>
      </c>
      <c r="J28" s="267" t="s">
        <v>1267</v>
      </c>
      <c r="K28" s="267" t="s">
        <v>1106</v>
      </c>
      <c r="L28" s="267" t="s">
        <v>1164</v>
      </c>
      <c r="M28" s="10"/>
      <c r="N28" s="10"/>
    </row>
    <row r="29" spans="1:14" x14ac:dyDescent="0.2">
      <c r="A29">
        <f t="shared" si="0"/>
        <v>28</v>
      </c>
      <c r="B29" t="s">
        <v>297</v>
      </c>
      <c r="C29">
        <v>3</v>
      </c>
      <c r="D29">
        <v>27</v>
      </c>
      <c r="E29" s="2" t="str">
        <f>VLOOKUP( Aop!$A29, Aop!$A$2:$N$415, ID_Jezik + 9, 1)</f>
        <v>045, dio 049</v>
      </c>
      <c r="F29" t="str">
        <f>REPT( "  ", Aop!$C29) &amp; VLOOKUP( Aop!$A29, Aop!$A$2:$N$415, ID_Jezik + 6, 1)</f>
        <v xml:space="preserve">      6. Finansijska sredstva raspoloživa za prodaju</v>
      </c>
      <c r="G29" t="s">
        <v>1270</v>
      </c>
      <c r="H29" t="s">
        <v>1855</v>
      </c>
      <c r="I29" t="s">
        <v>1856</v>
      </c>
      <c r="J29" s="267" t="s">
        <v>1269</v>
      </c>
      <c r="K29" s="267" t="s">
        <v>1107</v>
      </c>
      <c r="L29" s="267" t="s">
        <v>1165</v>
      </c>
      <c r="M29" s="10"/>
      <c r="N29" s="10"/>
    </row>
    <row r="30" spans="1:14" x14ac:dyDescent="0.2">
      <c r="A30">
        <f t="shared" si="0"/>
        <v>29</v>
      </c>
      <c r="B30" t="s">
        <v>297</v>
      </c>
      <c r="C30">
        <v>3</v>
      </c>
      <c r="D30">
        <v>28</v>
      </c>
      <c r="E30" s="2" t="str">
        <f>VLOOKUP( Aop!$A30, Aop!$A$2:$N$415, ID_Jezik + 9, 1)</f>
        <v>046, dio 049</v>
      </c>
      <c r="F30" t="str">
        <f>REPT( "  ", Aop!$C30) &amp; VLOOKUP( Aop!$A30, Aop!$A$2:$N$415, ID_Jezik + 6, 1)</f>
        <v xml:space="preserve">      7. Finansijska sredstva koja se drže do roka dospijeća</v>
      </c>
      <c r="G30" t="s">
        <v>1272</v>
      </c>
      <c r="H30" t="s">
        <v>1857</v>
      </c>
      <c r="I30" t="s">
        <v>1858</v>
      </c>
      <c r="J30" s="267" t="s">
        <v>1271</v>
      </c>
      <c r="K30" s="267" t="s">
        <v>1108</v>
      </c>
      <c r="L30" s="267" t="s">
        <v>1166</v>
      </c>
      <c r="M30" s="10"/>
      <c r="N30" s="10"/>
    </row>
    <row r="31" spans="1:14" x14ac:dyDescent="0.2">
      <c r="A31">
        <f t="shared" si="0"/>
        <v>30</v>
      </c>
      <c r="B31" t="s">
        <v>297</v>
      </c>
      <c r="C31">
        <v>3</v>
      </c>
      <c r="D31">
        <v>29</v>
      </c>
      <c r="E31" s="2" t="str">
        <f>VLOOKUP( Aop!$A31, Aop!$A$2:$N$415, ID_Jezik + 9, 1)</f>
        <v>048, dio 049</v>
      </c>
      <c r="F31" t="str">
        <f>REPT( "  ", Aop!$C31) &amp; VLOOKUP( Aop!$A31, Aop!$A$2:$N$415, ID_Jezik + 6, 1)</f>
        <v xml:space="preserve">      8. Ostali dugoročni finansijski plasmani</v>
      </c>
      <c r="G31" t="s">
        <v>1274</v>
      </c>
      <c r="H31" t="s">
        <v>1859</v>
      </c>
      <c r="I31" t="s">
        <v>1860</v>
      </c>
      <c r="J31" s="267" t="s">
        <v>1273</v>
      </c>
      <c r="K31" s="267" t="s">
        <v>1109</v>
      </c>
      <c r="L31" s="267" t="s">
        <v>1167</v>
      </c>
      <c r="M31" s="10"/>
      <c r="N31" s="10"/>
    </row>
    <row r="32" spans="1:14" x14ac:dyDescent="0.2">
      <c r="A32">
        <f t="shared" si="0"/>
        <v>31</v>
      </c>
      <c r="B32" t="s">
        <v>297</v>
      </c>
      <c r="C32">
        <v>2</v>
      </c>
      <c r="D32">
        <v>30</v>
      </c>
      <c r="E32" s="2" t="str">
        <f>VLOOKUP( Aop!$A32, Aop!$A$2:$N$415, ID_Jezik + 9, 1)</f>
        <v>050</v>
      </c>
      <c r="F32" t="str">
        <f>REPT( "  ", Aop!$C32) &amp; VLOOKUP( Aop!$A32, Aop!$A$2:$N$415, ID_Jezik + 6, 1)</f>
        <v xml:space="preserve">    V - ODLOŽENA PORESKA SREDSTVA</v>
      </c>
      <c r="G32" t="s">
        <v>1861</v>
      </c>
      <c r="H32" t="s">
        <v>1862</v>
      </c>
      <c r="I32" t="s">
        <v>1863</v>
      </c>
      <c r="J32" s="267" t="s">
        <v>1617</v>
      </c>
      <c r="K32" s="267" t="s">
        <v>1617</v>
      </c>
      <c r="L32" s="267" t="s">
        <v>1617</v>
      </c>
      <c r="M32" s="10">
        <v>1</v>
      </c>
      <c r="N32" s="10"/>
    </row>
    <row r="33" spans="1:14" x14ac:dyDescent="0.2">
      <c r="A33">
        <f t="shared" si="0"/>
        <v>32</v>
      </c>
      <c r="B33" t="s">
        <v>297</v>
      </c>
      <c r="C33">
        <v>1</v>
      </c>
      <c r="D33">
        <v>31</v>
      </c>
      <c r="E33" s="2">
        <f>VLOOKUP( Aop!$A33, Aop!$A$2:$N$415, ID_Jezik + 9, 1)</f>
        <v>0</v>
      </c>
      <c r="F33" t="str">
        <f>REPT( "  ", Aop!$C33) &amp; VLOOKUP( Aop!$A33, Aop!$A$2:$N$415, ID_Jezik + 6, 1)</f>
        <v xml:space="preserve">  B. TEKUĆA SREDSTVA (032 + 039 + 061)</v>
      </c>
      <c r="G33" t="s">
        <v>1864</v>
      </c>
      <c r="H33" t="s">
        <v>1865</v>
      </c>
      <c r="I33" t="s">
        <v>1866</v>
      </c>
      <c r="J33" s="267"/>
      <c r="K33" s="267"/>
      <c r="L33" s="267"/>
      <c r="M33" s="10">
        <v>1</v>
      </c>
      <c r="N33" s="10"/>
    </row>
    <row r="34" spans="1:14" x14ac:dyDescent="0.2">
      <c r="A34">
        <f t="shared" si="0"/>
        <v>33</v>
      </c>
      <c r="B34" t="s">
        <v>297</v>
      </c>
      <c r="C34">
        <v>2</v>
      </c>
      <c r="D34">
        <v>32</v>
      </c>
      <c r="E34" s="2" t="str">
        <f>VLOOKUP( Aop!$A34, Aop!$A$2:$N$415, ID_Jezik + 9, 1)</f>
        <v>10 do 15</v>
      </c>
      <c r="F34" t="str">
        <f>REPT( "  ", Aop!$C34) &amp; VLOOKUP( Aop!$A34, Aop!$A$2:$N$415, ID_Jezik + 6, 1)</f>
        <v xml:space="preserve">    I - ZALIHE, STALNA SREDSTVA I SREDSTVA OBUSTAVLJENOG POSLOVANJA NAMIJENJENA PRODAJI (033 do 038)</v>
      </c>
      <c r="G34" t="s">
        <v>1867</v>
      </c>
      <c r="H34" t="s">
        <v>1868</v>
      </c>
      <c r="I34" t="s">
        <v>1869</v>
      </c>
      <c r="J34" s="267" t="s">
        <v>1231</v>
      </c>
      <c r="K34" s="267" t="s">
        <v>1110</v>
      </c>
      <c r="L34" s="267" t="s">
        <v>1178</v>
      </c>
      <c r="M34" s="10">
        <v>1</v>
      </c>
      <c r="N34" s="10"/>
    </row>
    <row r="35" spans="1:14" x14ac:dyDescent="0.2">
      <c r="A35">
        <f t="shared" si="0"/>
        <v>34</v>
      </c>
      <c r="B35" t="s">
        <v>297</v>
      </c>
      <c r="C35">
        <v>3</v>
      </c>
      <c r="D35">
        <v>33</v>
      </c>
      <c r="E35" s="2" t="str">
        <f>VLOOKUP( Aop!$A35, Aop!$A$2:$N$415, ID_Jezik + 9, 1)</f>
        <v>100 do 109</v>
      </c>
      <c r="F35" t="str">
        <f>REPT( "  ", Aop!$C35) &amp; VLOOKUP( Aop!$A35, Aop!$A$2:$N$415, ID_Jezik + 6, 1)</f>
        <v xml:space="preserve">      1. Zalihe materijala</v>
      </c>
      <c r="G35" t="s">
        <v>1276</v>
      </c>
      <c r="H35" t="s">
        <v>1870</v>
      </c>
      <c r="I35" t="s">
        <v>1871</v>
      </c>
      <c r="J35" s="267" t="s">
        <v>1275</v>
      </c>
      <c r="K35" s="267" t="s">
        <v>1111</v>
      </c>
      <c r="L35" s="267" t="s">
        <v>1179</v>
      </c>
      <c r="M35" s="10"/>
      <c r="N35" s="10"/>
    </row>
    <row r="36" spans="1:14" x14ac:dyDescent="0.2">
      <c r="A36">
        <f t="shared" si="0"/>
        <v>35</v>
      </c>
      <c r="B36" t="s">
        <v>297</v>
      </c>
      <c r="C36">
        <v>3</v>
      </c>
      <c r="D36">
        <v>34</v>
      </c>
      <c r="E36" s="2" t="str">
        <f>VLOOKUP( Aop!$A36, Aop!$A$2:$N$415, ID_Jezik + 9, 1)</f>
        <v>110 do 119</v>
      </c>
      <c r="F36" t="str">
        <f>REPT( "  ", Aop!$C36) &amp; VLOOKUP( Aop!$A36, Aop!$A$2:$N$415, ID_Jezik + 6, 1)</f>
        <v xml:space="preserve">      2. Zalihe nedovršene proizvodnje, poluproizvoda i nedovršenih usluga</v>
      </c>
      <c r="G36" t="s">
        <v>1277</v>
      </c>
      <c r="H36" t="s">
        <v>1872</v>
      </c>
      <c r="I36" t="s">
        <v>1873</v>
      </c>
      <c r="J36" s="267" t="s">
        <v>1112</v>
      </c>
      <c r="K36" s="267" t="s">
        <v>1113</v>
      </c>
      <c r="L36" s="267" t="s">
        <v>1114</v>
      </c>
      <c r="M36" s="10"/>
      <c r="N36" s="10"/>
    </row>
    <row r="37" spans="1:14" x14ac:dyDescent="0.2">
      <c r="A37">
        <f t="shared" si="0"/>
        <v>36</v>
      </c>
      <c r="B37" t="s">
        <v>297</v>
      </c>
      <c r="C37">
        <v>3</v>
      </c>
      <c r="D37">
        <v>35</v>
      </c>
      <c r="E37" s="2" t="str">
        <f>VLOOKUP( Aop!$A37, Aop!$A$2:$N$415, ID_Jezik + 9, 1)</f>
        <v>120 do 129</v>
      </c>
      <c r="F37" t="str">
        <f>REPT( "  ", Aop!$C37) &amp; VLOOKUP( Aop!$A37, Aop!$A$2:$N$415, ID_Jezik + 6, 1)</f>
        <v xml:space="preserve">      3. Zalihe gotovih proizvoda</v>
      </c>
      <c r="G37" t="s">
        <v>1278</v>
      </c>
      <c r="H37" t="s">
        <v>1874</v>
      </c>
      <c r="I37" t="s">
        <v>1875</v>
      </c>
      <c r="J37" s="267" t="s">
        <v>1115</v>
      </c>
      <c r="K37" s="267" t="s">
        <v>1116</v>
      </c>
      <c r="L37" s="267" t="s">
        <v>1117</v>
      </c>
      <c r="M37" s="10"/>
      <c r="N37" s="10"/>
    </row>
    <row r="38" spans="1:14" x14ac:dyDescent="0.2">
      <c r="A38">
        <f t="shared" si="0"/>
        <v>37</v>
      </c>
      <c r="B38" t="s">
        <v>297</v>
      </c>
      <c r="C38">
        <v>3</v>
      </c>
      <c r="D38">
        <v>36</v>
      </c>
      <c r="E38" s="2" t="str">
        <f>VLOOKUP( Aop!$A38, Aop!$A$2:$N$415, ID_Jezik + 9, 1)</f>
        <v>130 do 139</v>
      </c>
      <c r="F38" t="str">
        <f>REPT( "  ", Aop!$C38) &amp; VLOOKUP( Aop!$A38, Aop!$A$2:$N$415, ID_Jezik + 6, 1)</f>
        <v xml:space="preserve">      4. Zalihe robe</v>
      </c>
      <c r="G38" t="s">
        <v>1280</v>
      </c>
      <c r="H38" t="s">
        <v>1876</v>
      </c>
      <c r="I38" t="s">
        <v>1877</v>
      </c>
      <c r="J38" s="267" t="s">
        <v>1279</v>
      </c>
      <c r="K38" s="267" t="s">
        <v>1118</v>
      </c>
      <c r="L38" s="267" t="s">
        <v>1180</v>
      </c>
      <c r="M38" s="10"/>
      <c r="N38" s="10"/>
    </row>
    <row r="39" spans="1:14" x14ac:dyDescent="0.2">
      <c r="A39">
        <f t="shared" si="0"/>
        <v>38</v>
      </c>
      <c r="B39" t="s">
        <v>297</v>
      </c>
      <c r="C39">
        <v>3</v>
      </c>
      <c r="D39">
        <v>37</v>
      </c>
      <c r="E39" s="2" t="str">
        <f>VLOOKUP( Aop!$A39, Aop!$A$2:$N$415, ID_Jezik + 9, 1)</f>
        <v>140 do 149</v>
      </c>
      <c r="F39" t="str">
        <f>REPT( "  ", Aop!$C39) &amp; VLOOKUP( Aop!$A39, Aop!$A$2:$N$415, ID_Jezik + 6, 1)</f>
        <v xml:space="preserve">      5. Stalna sredstva i sredstva obustavljenog poslovanja namijenjena prodaji</v>
      </c>
      <c r="G39" t="s">
        <v>1282</v>
      </c>
      <c r="H39" t="s">
        <v>1878</v>
      </c>
      <c r="I39" t="s">
        <v>1879</v>
      </c>
      <c r="J39" s="267" t="s">
        <v>1281</v>
      </c>
      <c r="K39" s="267" t="s">
        <v>1119</v>
      </c>
      <c r="L39" s="267" t="s">
        <v>1181</v>
      </c>
      <c r="M39" s="10"/>
      <c r="N39" s="10"/>
    </row>
    <row r="40" spans="1:14" x14ac:dyDescent="0.2">
      <c r="A40">
        <f t="shared" si="0"/>
        <v>39</v>
      </c>
      <c r="B40" t="s">
        <v>297</v>
      </c>
      <c r="C40">
        <v>3</v>
      </c>
      <c r="D40">
        <v>38</v>
      </c>
      <c r="E40" s="2" t="str">
        <f>VLOOKUP( Aop!$A40, Aop!$A$2:$N$415, ID_Jezik + 9, 1)</f>
        <v>150 do 159</v>
      </c>
      <c r="F40" t="str">
        <f>REPT( "  ", Aop!$C40) &amp; VLOOKUP( Aop!$A40, Aop!$A$2:$N$415, ID_Jezik + 6, 1)</f>
        <v xml:space="preserve">      6. Dati avansi</v>
      </c>
      <c r="G40" t="s">
        <v>1232</v>
      </c>
      <c r="H40" t="s">
        <v>1880</v>
      </c>
      <c r="I40" t="s">
        <v>1881</v>
      </c>
      <c r="J40" s="267" t="s">
        <v>1283</v>
      </c>
      <c r="K40" s="267" t="s">
        <v>1120</v>
      </c>
      <c r="L40" s="267" t="s">
        <v>1182</v>
      </c>
      <c r="M40" s="10"/>
      <c r="N40" s="10"/>
    </row>
    <row r="41" spans="1:14" x14ac:dyDescent="0.2">
      <c r="A41">
        <f t="shared" si="0"/>
        <v>40</v>
      </c>
      <c r="B41" t="s">
        <v>297</v>
      </c>
      <c r="C41">
        <v>2</v>
      </c>
      <c r="D41">
        <v>39</v>
      </c>
      <c r="E41" s="2">
        <f>VLOOKUP( Aop!$A41, Aop!$A$2:$N$415, ID_Jezik + 9, 1)</f>
        <v>0</v>
      </c>
      <c r="F41" t="str">
        <f>REPT( "  ", Aop!$C41) &amp; VLOOKUP( Aop!$A41, Aop!$A$2:$N$415, ID_Jezik + 6, 1)</f>
        <v xml:space="preserve">    II - KRATKOROČNA POTRAŽIVANJA, KRATKOROČNI PLASMANI I GOTOVINA (040 + 047 + 056 + 059 + 060)</v>
      </c>
      <c r="G41" t="s">
        <v>312</v>
      </c>
      <c r="H41" t="s">
        <v>313</v>
      </c>
      <c r="I41" t="s">
        <v>314</v>
      </c>
      <c r="J41" s="267"/>
      <c r="K41" s="267"/>
      <c r="L41" s="267"/>
      <c r="M41" s="10">
        <v>1</v>
      </c>
      <c r="N41" s="10"/>
    </row>
    <row r="42" spans="1:14" x14ac:dyDescent="0.2">
      <c r="A42">
        <f t="shared" si="0"/>
        <v>41</v>
      </c>
      <c r="B42" t="s">
        <v>297</v>
      </c>
      <c r="C42">
        <v>3</v>
      </c>
      <c r="D42">
        <v>40</v>
      </c>
      <c r="E42" s="2" t="str">
        <f>VLOOKUP( Aop!$A42, Aop!$A$2:$N$415, ID_Jezik + 9, 1)</f>
        <v>20, 21, 22</v>
      </c>
      <c r="F42" t="str">
        <f>REPT( "  ", Aop!$C42) &amp; VLOOKUP( Aop!$A42, Aop!$A$2:$N$415, ID_Jezik + 6, 1)</f>
        <v xml:space="preserve">      1. Kratkoročna potraživanja (041 do 046)</v>
      </c>
      <c r="G42" t="s">
        <v>315</v>
      </c>
      <c r="H42" t="s">
        <v>316</v>
      </c>
      <c r="I42" t="s">
        <v>317</v>
      </c>
      <c r="J42" s="267" t="s">
        <v>1284</v>
      </c>
      <c r="K42" s="267" t="s">
        <v>1284</v>
      </c>
      <c r="L42" s="267" t="s">
        <v>1284</v>
      </c>
      <c r="M42" s="10"/>
      <c r="N42" s="10"/>
    </row>
    <row r="43" spans="1:14" x14ac:dyDescent="0.2">
      <c r="A43">
        <f t="shared" si="0"/>
        <v>42</v>
      </c>
      <c r="B43" t="s">
        <v>297</v>
      </c>
      <c r="C43">
        <v>4</v>
      </c>
      <c r="D43">
        <v>41</v>
      </c>
      <c r="E43" s="2" t="str">
        <f>VLOOKUP( Aop!$A43, Aop!$A$2:$N$415, ID_Jezik + 9, 1)</f>
        <v>200, dio 209</v>
      </c>
      <c r="F43" t="str">
        <f>REPT( "  ", Aop!$C43) &amp; VLOOKUP( Aop!$A43, Aop!$A$2:$N$415, ID_Jezik + 6, 1)</f>
        <v xml:space="preserve">        a) Kupci - povezana pravna lica</v>
      </c>
      <c r="G43" t="s">
        <v>318</v>
      </c>
      <c r="H43" t="s">
        <v>319</v>
      </c>
      <c r="I43" t="s">
        <v>320</v>
      </c>
      <c r="J43" s="267" t="s">
        <v>1285</v>
      </c>
      <c r="K43" s="267" t="s">
        <v>1121</v>
      </c>
      <c r="L43" s="267" t="s">
        <v>799</v>
      </c>
      <c r="M43" s="10"/>
      <c r="N43" s="10"/>
    </row>
    <row r="44" spans="1:14" ht="25.5" x14ac:dyDescent="0.2">
      <c r="A44">
        <f t="shared" si="0"/>
        <v>43</v>
      </c>
      <c r="B44" t="s">
        <v>297</v>
      </c>
      <c r="C44">
        <v>4</v>
      </c>
      <c r="D44">
        <v>42</v>
      </c>
      <c r="E44" s="2" t="str">
        <f>VLOOKUP( Aop!$A44, Aop!$A$2:$N$415, ID_Jezik + 9, 1)</f>
        <v>201, 202, 203, dio 209</v>
      </c>
      <c r="F44" t="str">
        <f>REPT( "  ", Aop!$C44) &amp; VLOOKUP( Aop!$A44, Aop!$A$2:$N$415, ID_Jezik + 6, 1)</f>
        <v xml:space="preserve">        b) Kupci u zemlji</v>
      </c>
      <c r="G44" t="s">
        <v>1286</v>
      </c>
      <c r="H44" t="s">
        <v>321</v>
      </c>
      <c r="I44" t="s">
        <v>793</v>
      </c>
      <c r="J44" s="267" t="s">
        <v>1122</v>
      </c>
      <c r="K44" s="267" t="s">
        <v>1123</v>
      </c>
      <c r="L44" s="267" t="s">
        <v>1124</v>
      </c>
      <c r="M44" s="10"/>
      <c r="N44" s="10"/>
    </row>
    <row r="45" spans="1:14" x14ac:dyDescent="0.2">
      <c r="A45">
        <f t="shared" si="0"/>
        <v>44</v>
      </c>
      <c r="B45" t="s">
        <v>297</v>
      </c>
      <c r="C45">
        <v>4</v>
      </c>
      <c r="D45">
        <v>43</v>
      </c>
      <c r="E45" s="2" t="str">
        <f>VLOOKUP( Aop!$A45, Aop!$A$2:$N$415, ID_Jezik + 9, 1)</f>
        <v>204, dio 209</v>
      </c>
      <c r="F45" t="str">
        <f>REPT( "  ", Aop!$C45) &amp; VLOOKUP( Aop!$A45, Aop!$A$2:$N$415, ID_Jezik + 6, 1)</f>
        <v xml:space="preserve">        v) Kupci iz inostranstva</v>
      </c>
      <c r="G45" t="s">
        <v>322</v>
      </c>
      <c r="H45" t="s">
        <v>323</v>
      </c>
      <c r="I45" t="s">
        <v>324</v>
      </c>
      <c r="J45" s="267" t="s">
        <v>1125</v>
      </c>
      <c r="K45" s="267" t="s">
        <v>1126</v>
      </c>
      <c r="L45" s="267" t="s">
        <v>1127</v>
      </c>
      <c r="M45" s="10"/>
      <c r="N45" s="10"/>
    </row>
    <row r="46" spans="1:14" x14ac:dyDescent="0.2">
      <c r="A46">
        <f t="shared" si="0"/>
        <v>45</v>
      </c>
      <c r="B46" t="s">
        <v>297</v>
      </c>
      <c r="C46">
        <v>4</v>
      </c>
      <c r="D46">
        <v>44</v>
      </c>
      <c r="E46" s="2" t="str">
        <f>VLOOKUP( Aop!$A46, Aop!$A$2:$N$415, ID_Jezik + 9, 1)</f>
        <v>208, dio 209</v>
      </c>
      <c r="F46" t="str">
        <f>REPT( "  ", Aop!$C46) &amp; VLOOKUP( Aop!$A46, Aop!$A$2:$N$415, ID_Jezik + 6, 1)</f>
        <v xml:space="preserve">        g) Sumnjiva i sporna potraživanja</v>
      </c>
      <c r="G46" t="s">
        <v>325</v>
      </c>
      <c r="H46" t="s">
        <v>326</v>
      </c>
      <c r="I46" t="s">
        <v>327</v>
      </c>
      <c r="J46" s="267" t="s">
        <v>1128</v>
      </c>
      <c r="K46" s="267" t="s">
        <v>1129</v>
      </c>
      <c r="L46" s="267" t="s">
        <v>1130</v>
      </c>
      <c r="M46" s="10"/>
      <c r="N46" s="10"/>
    </row>
    <row r="47" spans="1:14" x14ac:dyDescent="0.2">
      <c r="A47">
        <f t="shared" si="0"/>
        <v>46</v>
      </c>
      <c r="B47" t="s">
        <v>297</v>
      </c>
      <c r="C47">
        <v>4</v>
      </c>
      <c r="D47">
        <v>45</v>
      </c>
      <c r="E47" s="2" t="str">
        <f>VLOOKUP( Aop!$A47, Aop!$A$2:$N$415, ID_Jezik + 9, 1)</f>
        <v>210 do 219</v>
      </c>
      <c r="F47" t="str">
        <f>REPT( "  ", Aop!$C47) &amp; VLOOKUP( Aop!$A47, Aop!$A$2:$N$415, ID_Jezik + 6, 1)</f>
        <v xml:space="preserve">        d) Potraživanja iz specifičnih poslova</v>
      </c>
      <c r="G47" t="s">
        <v>328</v>
      </c>
      <c r="H47" t="s">
        <v>329</v>
      </c>
      <c r="I47" t="s">
        <v>330</v>
      </c>
      <c r="J47" s="267" t="s">
        <v>1287</v>
      </c>
      <c r="K47" s="267" t="s">
        <v>1131</v>
      </c>
      <c r="L47" s="267" t="s">
        <v>810</v>
      </c>
      <c r="M47" s="10"/>
      <c r="N47" s="10"/>
    </row>
    <row r="48" spans="1:14" x14ac:dyDescent="0.2">
      <c r="A48">
        <f t="shared" si="0"/>
        <v>47</v>
      </c>
      <c r="B48" t="s">
        <v>297</v>
      </c>
      <c r="C48">
        <v>4</v>
      </c>
      <c r="D48">
        <v>46</v>
      </c>
      <c r="E48" s="2" t="str">
        <f>VLOOKUP( Aop!$A48, Aop!$A$2:$N$415, ID_Jezik + 9, 1)</f>
        <v>220 do 229</v>
      </c>
      <c r="F48" t="str">
        <f>REPT( "  ", Aop!$C48) &amp; VLOOKUP( Aop!$A48, Aop!$A$2:$N$415, ID_Jezik + 6, 1)</f>
        <v xml:space="preserve">        đ) Druga kratkoročna potraživanja</v>
      </c>
      <c r="G48" t="s">
        <v>331</v>
      </c>
      <c r="H48" t="s">
        <v>332</v>
      </c>
      <c r="I48" t="s">
        <v>333</v>
      </c>
      <c r="J48" s="267" t="s">
        <v>1288</v>
      </c>
      <c r="K48" s="267" t="s">
        <v>1132</v>
      </c>
      <c r="L48" s="267" t="s">
        <v>811</v>
      </c>
      <c r="M48" s="10"/>
      <c r="N48" s="10"/>
    </row>
    <row r="49" spans="1:14" x14ac:dyDescent="0.2">
      <c r="A49">
        <f t="shared" si="0"/>
        <v>48</v>
      </c>
      <c r="B49" t="s">
        <v>297</v>
      </c>
      <c r="C49">
        <v>3</v>
      </c>
      <c r="D49">
        <v>47</v>
      </c>
      <c r="E49" s="2">
        <f>VLOOKUP( Aop!$A49, Aop!$A$2:$N$415, ID_Jezik + 9, 1)</f>
        <v>23</v>
      </c>
      <c r="F49" t="str">
        <f>REPT( "  ", Aop!$C49) &amp; VLOOKUP( Aop!$A49, Aop!$A$2:$N$415, ID_Jezik + 6, 1)</f>
        <v xml:space="preserve">      2. Kratkoročni finansijski plasmani (048 do 055)</v>
      </c>
      <c r="G49" t="s">
        <v>334</v>
      </c>
      <c r="H49" t="s">
        <v>335</v>
      </c>
      <c r="I49" t="s">
        <v>336</v>
      </c>
      <c r="J49" s="267">
        <v>23</v>
      </c>
      <c r="K49" s="267">
        <v>23</v>
      </c>
      <c r="L49" s="267">
        <v>23</v>
      </c>
      <c r="M49" s="10"/>
      <c r="N49" s="10"/>
    </row>
    <row r="50" spans="1:14" x14ac:dyDescent="0.2">
      <c r="A50">
        <f t="shared" si="0"/>
        <v>49</v>
      </c>
      <c r="B50" t="s">
        <v>297</v>
      </c>
      <c r="C50">
        <v>4</v>
      </c>
      <c r="D50">
        <v>48</v>
      </c>
      <c r="E50" s="2" t="str">
        <f>VLOOKUP( Aop!$A50, Aop!$A$2:$N$415, ID_Jezik + 9, 1)</f>
        <v>230, dio 239</v>
      </c>
      <c r="F50" t="str">
        <f>REPT( "  ", Aop!$C50) &amp; VLOOKUP( Aop!$A50, Aop!$A$2:$N$415, ID_Jezik + 6, 1)</f>
        <v xml:space="preserve">        a) Kratkoročni krediti povezanim pravnim licima</v>
      </c>
      <c r="G50" t="s">
        <v>1297</v>
      </c>
      <c r="H50" t="s">
        <v>337</v>
      </c>
      <c r="I50" t="s">
        <v>1183</v>
      </c>
      <c r="J50" s="267" t="s">
        <v>1289</v>
      </c>
      <c r="K50" s="267" t="s">
        <v>1133</v>
      </c>
      <c r="L50" s="267" t="s">
        <v>800</v>
      </c>
      <c r="M50" s="10"/>
      <c r="N50" s="10"/>
    </row>
    <row r="51" spans="1:14" x14ac:dyDescent="0.2">
      <c r="A51">
        <f t="shared" si="0"/>
        <v>50</v>
      </c>
      <c r="B51" t="s">
        <v>297</v>
      </c>
      <c r="C51">
        <v>4</v>
      </c>
      <c r="D51">
        <v>49</v>
      </c>
      <c r="E51" s="2" t="str">
        <f>VLOOKUP( Aop!$A51, Aop!$A$2:$N$415, ID_Jezik + 9, 1)</f>
        <v>231, dio 239</v>
      </c>
      <c r="F51" t="str">
        <f>REPT( "  ", Aop!$C51) &amp; VLOOKUP( Aop!$A51, Aop!$A$2:$N$415, ID_Jezik + 6, 1)</f>
        <v xml:space="preserve">        b) Kratkoročni krediti u zemlji</v>
      </c>
      <c r="G51" t="s">
        <v>1298</v>
      </c>
      <c r="H51" t="s">
        <v>338</v>
      </c>
      <c r="I51" t="s">
        <v>1184</v>
      </c>
      <c r="J51" s="267" t="s">
        <v>1290</v>
      </c>
      <c r="K51" s="267" t="s">
        <v>1134</v>
      </c>
      <c r="L51" s="267" t="s">
        <v>801</v>
      </c>
      <c r="M51" s="10"/>
      <c r="N51" s="10"/>
    </row>
    <row r="52" spans="1:14" x14ac:dyDescent="0.2">
      <c r="A52">
        <f t="shared" si="0"/>
        <v>51</v>
      </c>
      <c r="B52" t="s">
        <v>297</v>
      </c>
      <c r="C52">
        <v>4</v>
      </c>
      <c r="D52">
        <v>50</v>
      </c>
      <c r="E52" s="2" t="str">
        <f>VLOOKUP( Aop!$A52, Aop!$A$2:$N$415, ID_Jezik + 9, 1)</f>
        <v>232, dio 239</v>
      </c>
      <c r="F52" t="str">
        <f>REPT( "  ", Aop!$C52) &amp; VLOOKUP( Aop!$A52, Aop!$A$2:$N$415, ID_Jezik + 6, 1)</f>
        <v xml:space="preserve">        v) Kratkoročni krediti u inostranstvu</v>
      </c>
      <c r="G52" t="s">
        <v>1299</v>
      </c>
      <c r="H52" t="s">
        <v>339</v>
      </c>
      <c r="I52" t="s">
        <v>340</v>
      </c>
      <c r="J52" s="267" t="s">
        <v>1291</v>
      </c>
      <c r="K52" s="267" t="s">
        <v>1135</v>
      </c>
      <c r="L52" s="267" t="s">
        <v>802</v>
      </c>
      <c r="M52" s="10"/>
      <c r="N52" s="10"/>
    </row>
    <row r="53" spans="1:14" x14ac:dyDescent="0.2">
      <c r="A53">
        <f t="shared" si="0"/>
        <v>52</v>
      </c>
      <c r="B53" t="s">
        <v>297</v>
      </c>
      <c r="C53">
        <v>4</v>
      </c>
      <c r="D53">
        <v>51</v>
      </c>
      <c r="E53" s="2" t="str">
        <f>VLOOKUP( Aop!$A53, Aop!$A$2:$N$415, ID_Jezik + 9, 1)</f>
        <v>233, 234, dio 239</v>
      </c>
      <c r="F53" t="str">
        <f>REPT( "  ", Aop!$C53) &amp; VLOOKUP( Aop!$A53, Aop!$A$2:$N$415, ID_Jezik + 6, 1)</f>
        <v xml:space="preserve">        g) Dio dugoročnih finansijskih plasmana koji dospijeva za naplatu u periodu do godinu dana</v>
      </c>
      <c r="G53" t="s">
        <v>1300</v>
      </c>
      <c r="H53" t="s">
        <v>341</v>
      </c>
      <c r="I53" t="s">
        <v>342</v>
      </c>
      <c r="J53" s="267" t="s">
        <v>1136</v>
      </c>
      <c r="K53" s="267" t="s">
        <v>1137</v>
      </c>
      <c r="L53" s="267" t="s">
        <v>1138</v>
      </c>
      <c r="M53" s="10"/>
      <c r="N53" s="10"/>
    </row>
    <row r="54" spans="1:14" x14ac:dyDescent="0.2">
      <c r="A54">
        <f t="shared" si="0"/>
        <v>53</v>
      </c>
      <c r="B54" t="s">
        <v>297</v>
      </c>
      <c r="C54">
        <v>4</v>
      </c>
      <c r="D54">
        <v>52</v>
      </c>
      <c r="E54" s="2" t="str">
        <f>VLOOKUP( Aop!$A54, Aop!$A$2:$N$415, ID_Jezik + 9, 1)</f>
        <v>235, dio 239</v>
      </c>
      <c r="F54" t="str">
        <f>REPT( "  ", Aop!$C54) &amp; VLOOKUP( Aop!$A54, Aop!$A$2:$N$415, ID_Jezik + 6, 1)</f>
        <v xml:space="preserve">        d) Finansijska sredstva po fer vrijednosti kroz bilans uspjeha namijenjena trgovanju</v>
      </c>
      <c r="G54" t="s">
        <v>787</v>
      </c>
      <c r="H54" t="s">
        <v>343</v>
      </c>
      <c r="I54" t="s">
        <v>344</v>
      </c>
      <c r="J54" s="267" t="s">
        <v>1292</v>
      </c>
      <c r="K54" s="267" t="s">
        <v>1139</v>
      </c>
      <c r="L54" s="267" t="s">
        <v>803</v>
      </c>
      <c r="M54" s="10"/>
      <c r="N54" s="10"/>
    </row>
    <row r="55" spans="1:14" x14ac:dyDescent="0.2">
      <c r="A55">
        <f t="shared" si="0"/>
        <v>54</v>
      </c>
      <c r="B55" t="s">
        <v>297</v>
      </c>
      <c r="C55">
        <v>4</v>
      </c>
      <c r="D55">
        <v>53</v>
      </c>
      <c r="E55" s="2" t="str">
        <f>VLOOKUP( Aop!$A55, Aop!$A$2:$N$415, ID_Jezik + 9, 1)</f>
        <v>236, dio 239</v>
      </c>
      <c r="F55" t="str">
        <f>REPT( "  ", Aop!$C55) &amp; VLOOKUP( Aop!$A55, Aop!$A$2:$N$415, ID_Jezik + 6, 1)</f>
        <v xml:space="preserve">        đ) Finansijska sredstva označena po fer vrijednosti kroz bilans uspjeha</v>
      </c>
      <c r="G55" t="s">
        <v>1301</v>
      </c>
      <c r="H55" t="s">
        <v>345</v>
      </c>
      <c r="I55" t="s">
        <v>346</v>
      </c>
      <c r="J55" s="267" t="s">
        <v>1293</v>
      </c>
      <c r="K55" s="267" t="s">
        <v>1140</v>
      </c>
      <c r="L55" s="267" t="s">
        <v>804</v>
      </c>
      <c r="M55" s="10"/>
      <c r="N55" s="10"/>
    </row>
    <row r="56" spans="1:14" x14ac:dyDescent="0.2">
      <c r="A56">
        <f t="shared" si="0"/>
        <v>55</v>
      </c>
      <c r="B56" t="s">
        <v>297</v>
      </c>
      <c r="C56">
        <v>4</v>
      </c>
      <c r="D56">
        <v>54</v>
      </c>
      <c r="E56" s="2">
        <f>VLOOKUP( Aop!$A56, Aop!$A$2:$N$415, ID_Jezik + 9, 1)</f>
        <v>237</v>
      </c>
      <c r="F56" t="str">
        <f>REPT( "  ", Aop!$C56) &amp; VLOOKUP( Aop!$A56, Aop!$A$2:$N$415, ID_Jezik + 6, 1)</f>
        <v xml:space="preserve">        e) Otkupljene sopstvene akcije i otkupljeni sopstveni udjeli namijenjeni prodaji ili poništavanju</v>
      </c>
      <c r="G56" t="s">
        <v>347</v>
      </c>
      <c r="H56" t="s">
        <v>348</v>
      </c>
      <c r="I56" t="s">
        <v>349</v>
      </c>
      <c r="J56" s="267">
        <v>237</v>
      </c>
      <c r="K56" s="267">
        <v>237</v>
      </c>
      <c r="L56" s="267">
        <v>237</v>
      </c>
      <c r="M56" s="10"/>
      <c r="N56" s="10"/>
    </row>
    <row r="57" spans="1:14" x14ac:dyDescent="0.2">
      <c r="A57">
        <f t="shared" si="0"/>
        <v>56</v>
      </c>
      <c r="B57" t="s">
        <v>297</v>
      </c>
      <c r="C57">
        <v>4</v>
      </c>
      <c r="D57">
        <v>55</v>
      </c>
      <c r="E57" s="2" t="str">
        <f>VLOOKUP( Aop!$A57, Aop!$A$2:$N$415, ID_Jezik + 9, 1)</f>
        <v>238, dio 239</v>
      </c>
      <c r="F57" t="str">
        <f>REPT( "  ", Aop!$C57) &amp; VLOOKUP( Aop!$A57, Aop!$A$2:$N$415, ID_Jezik + 6, 1)</f>
        <v xml:space="preserve">        ž) Ostali kratkoročni plasmani</v>
      </c>
      <c r="G57" t="s">
        <v>1302</v>
      </c>
      <c r="H57" t="s">
        <v>350</v>
      </c>
      <c r="I57" t="s">
        <v>351</v>
      </c>
      <c r="J57" s="267" t="s">
        <v>1294</v>
      </c>
      <c r="K57" s="267" t="s">
        <v>1141</v>
      </c>
      <c r="L57" s="267" t="s">
        <v>805</v>
      </c>
      <c r="M57" s="10"/>
      <c r="N57" s="10"/>
    </row>
    <row r="58" spans="1:14" x14ac:dyDescent="0.2">
      <c r="A58">
        <f t="shared" si="0"/>
        <v>57</v>
      </c>
      <c r="B58" t="s">
        <v>297</v>
      </c>
      <c r="C58">
        <v>3</v>
      </c>
      <c r="D58">
        <v>56</v>
      </c>
      <c r="E58" s="2">
        <f>VLOOKUP( Aop!$A58, Aop!$A$2:$N$415, ID_Jezik + 9, 1)</f>
        <v>24</v>
      </c>
      <c r="F58" t="str">
        <f>REPT( "  ", Aop!$C58) &amp; VLOOKUP( Aop!$A58, Aop!$A$2:$N$415, ID_Jezik + 6, 1)</f>
        <v xml:space="preserve">      3. Gotovinski ekvivalenti i gotovina (057 + 058)</v>
      </c>
      <c r="G58" t="s">
        <v>352</v>
      </c>
      <c r="H58" t="s">
        <v>353</v>
      </c>
      <c r="I58" t="s">
        <v>354</v>
      </c>
      <c r="J58" s="267">
        <v>24</v>
      </c>
      <c r="K58" s="267">
        <v>24</v>
      </c>
      <c r="L58" s="267">
        <v>24</v>
      </c>
      <c r="M58" s="10"/>
      <c r="N58" s="10"/>
    </row>
    <row r="59" spans="1:14" x14ac:dyDescent="0.2">
      <c r="A59">
        <f t="shared" si="0"/>
        <v>58</v>
      </c>
      <c r="B59" t="s">
        <v>297</v>
      </c>
      <c r="C59">
        <v>4</v>
      </c>
      <c r="D59">
        <v>57</v>
      </c>
      <c r="E59" s="2">
        <f>VLOOKUP( Aop!$A59, Aop!$A$2:$N$415, ID_Jezik + 9, 1)</f>
        <v>240</v>
      </c>
      <c r="F59" t="str">
        <f>REPT( "  ", Aop!$C59) &amp; VLOOKUP( Aop!$A59, Aop!$A$2:$N$415, ID_Jezik + 6, 1)</f>
        <v xml:space="preserve">        a) Gotovinski ekvivalenti - hartije od vrijednosti</v>
      </c>
      <c r="G59" t="s">
        <v>1307</v>
      </c>
      <c r="H59" t="s">
        <v>355</v>
      </c>
      <c r="I59" t="s">
        <v>1185</v>
      </c>
      <c r="J59" s="267">
        <v>240</v>
      </c>
      <c r="K59" s="267">
        <v>240</v>
      </c>
      <c r="L59" s="267">
        <v>240</v>
      </c>
      <c r="M59" s="10"/>
      <c r="N59" s="10"/>
    </row>
    <row r="60" spans="1:14" x14ac:dyDescent="0.2">
      <c r="A60">
        <f t="shared" si="0"/>
        <v>59</v>
      </c>
      <c r="B60" t="s">
        <v>297</v>
      </c>
      <c r="C60">
        <v>4</v>
      </c>
      <c r="D60">
        <v>58</v>
      </c>
      <c r="E60" s="2" t="str">
        <f>VLOOKUP( Aop!$A60, Aop!$A$2:$N$415, ID_Jezik + 9, 1)</f>
        <v>241 do 249</v>
      </c>
      <c r="F60" t="str">
        <f>REPT( "  ", Aop!$C60) &amp; VLOOKUP( Aop!$A60, Aop!$A$2:$N$415, ID_Jezik + 6, 1)</f>
        <v xml:space="preserve">        b) Gotovina</v>
      </c>
      <c r="G60" t="s">
        <v>1303</v>
      </c>
      <c r="H60" t="s">
        <v>356</v>
      </c>
      <c r="I60" t="s">
        <v>1168</v>
      </c>
      <c r="J60" s="267" t="s">
        <v>1295</v>
      </c>
      <c r="K60" s="267" t="s">
        <v>1142</v>
      </c>
      <c r="L60" s="267" t="s">
        <v>806</v>
      </c>
      <c r="M60" s="10"/>
      <c r="N60" s="10"/>
    </row>
    <row r="61" spans="1:14" x14ac:dyDescent="0.2">
      <c r="A61">
        <f t="shared" si="0"/>
        <v>60</v>
      </c>
      <c r="B61" t="s">
        <v>297</v>
      </c>
      <c r="C61">
        <v>3</v>
      </c>
      <c r="D61">
        <v>59</v>
      </c>
      <c r="E61" s="2" t="str">
        <f>VLOOKUP( Aop!$A61, Aop!$A$2:$N$415, ID_Jezik + 9, 1)</f>
        <v>270 do 279</v>
      </c>
      <c r="F61" t="str">
        <f>REPT( "  ", Aop!$C61) &amp; VLOOKUP( Aop!$A61, Aop!$A$2:$N$415, ID_Jezik + 6, 1)</f>
        <v xml:space="preserve">      4. Porez na dodatu vrijednost</v>
      </c>
      <c r="G61" t="s">
        <v>1304</v>
      </c>
      <c r="H61" t="s">
        <v>357</v>
      </c>
      <c r="I61" t="s">
        <v>358</v>
      </c>
      <c r="J61" s="267" t="s">
        <v>807</v>
      </c>
      <c r="K61" s="267" t="s">
        <v>1143</v>
      </c>
      <c r="L61" s="267" t="s">
        <v>808</v>
      </c>
      <c r="M61" s="10"/>
      <c r="N61" s="10"/>
    </row>
    <row r="62" spans="1:14" ht="25.5" x14ac:dyDescent="0.2">
      <c r="A62">
        <f t="shared" si="0"/>
        <v>61</v>
      </c>
      <c r="B62" t="s">
        <v>297</v>
      </c>
      <c r="C62">
        <v>3</v>
      </c>
      <c r="D62">
        <v>60</v>
      </c>
      <c r="E62" s="2" t="str">
        <f>VLOOKUP( Aop!$A62, Aop!$A$2:$N$415, ID_Jezik + 9, 1)</f>
        <v>280 do 289, osim 288</v>
      </c>
      <c r="F62" t="str">
        <f>REPT( "  ", Aop!$C62) &amp; VLOOKUP( Aop!$A62, Aop!$A$2:$N$415, ID_Jezik + 6, 1)</f>
        <v xml:space="preserve">      5. Aktivna vremenska razgraničenja</v>
      </c>
      <c r="G62" t="s">
        <v>1305</v>
      </c>
      <c r="H62" t="s">
        <v>359</v>
      </c>
      <c r="I62" t="s">
        <v>360</v>
      </c>
      <c r="J62" s="267" t="s">
        <v>1296</v>
      </c>
      <c r="K62" s="267" t="s">
        <v>1144</v>
      </c>
      <c r="L62" s="267" t="s">
        <v>1145</v>
      </c>
      <c r="M62" s="10"/>
      <c r="N62" s="10"/>
    </row>
    <row r="63" spans="1:14" x14ac:dyDescent="0.2">
      <c r="A63">
        <f t="shared" si="0"/>
        <v>62</v>
      </c>
      <c r="B63" t="s">
        <v>297</v>
      </c>
      <c r="C63">
        <v>2</v>
      </c>
      <c r="D63">
        <v>61</v>
      </c>
      <c r="E63" s="2">
        <f>VLOOKUP( Aop!$A63, Aop!$A$2:$N$415, ID_Jezik + 9, 1)</f>
        <v>288</v>
      </c>
      <c r="F63" t="str">
        <f>REPT( "  ", Aop!$C63) &amp; VLOOKUP( Aop!$A63, Aop!$A$2:$N$415, ID_Jezik + 6, 1)</f>
        <v xml:space="preserve">    III - ODLOŽENA PORESKA SREDSTVA</v>
      </c>
      <c r="G63" t="s">
        <v>361</v>
      </c>
      <c r="H63" t="s">
        <v>362</v>
      </c>
      <c r="I63" t="s">
        <v>363</v>
      </c>
      <c r="J63" s="267">
        <v>288</v>
      </c>
      <c r="K63" s="267">
        <v>288</v>
      </c>
      <c r="L63" s="267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297</v>
      </c>
      <c r="C64">
        <v>1</v>
      </c>
      <c r="D64">
        <v>62</v>
      </c>
      <c r="E64" s="2">
        <f>VLOOKUP( Aop!$A64, Aop!$A$2:$N$415, ID_Jezik + 9, 1)</f>
        <v>0</v>
      </c>
      <c r="F64" t="str">
        <f>REPT( "  ", Aop!$C64) &amp; VLOOKUP( Aop!$A64, Aop!$A$2:$N$415, ID_Jezik + 6, 1)</f>
        <v xml:space="preserve">  V. POSLOVNA SREDSTVA (001 + 031)</v>
      </c>
      <c r="G64" t="s">
        <v>364</v>
      </c>
      <c r="H64" t="s">
        <v>365</v>
      </c>
      <c r="I64" t="s">
        <v>366</v>
      </c>
      <c r="J64" s="267"/>
      <c r="K64" s="267"/>
      <c r="L64" s="267"/>
      <c r="M64" s="10">
        <v>1</v>
      </c>
      <c r="N64" s="10"/>
    </row>
    <row r="65" spans="1:14" x14ac:dyDescent="0.2">
      <c r="A65">
        <f t="shared" si="0"/>
        <v>64</v>
      </c>
      <c r="B65" t="s">
        <v>297</v>
      </c>
      <c r="C65">
        <v>1</v>
      </c>
      <c r="D65">
        <v>63</v>
      </c>
      <c r="E65" s="2">
        <f>VLOOKUP( Aop!$A65, Aop!$A$2:$N$415, ID_Jezik + 9, 1)</f>
        <v>29</v>
      </c>
      <c r="F65" t="str">
        <f>REPT( "  ", Aop!$C65) &amp; VLOOKUP( Aop!$A65, Aop!$A$2:$N$415, ID_Jezik + 6, 1)</f>
        <v xml:space="preserve">  G. GUBITAK IZNAD VISINE KAPITALA</v>
      </c>
      <c r="G65" t="s">
        <v>367</v>
      </c>
      <c r="H65" t="s">
        <v>368</v>
      </c>
      <c r="I65" t="s">
        <v>369</v>
      </c>
      <c r="J65" s="267">
        <v>29</v>
      </c>
      <c r="K65" s="267">
        <v>29</v>
      </c>
      <c r="L65" s="267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297</v>
      </c>
      <c r="C66">
        <v>1</v>
      </c>
      <c r="D66">
        <v>64</v>
      </c>
      <c r="E66" s="2">
        <f>VLOOKUP( Aop!$A66, Aop!$A$2:$N$415, ID_Jezik + 9, 1)</f>
        <v>0</v>
      </c>
      <c r="F66" t="str">
        <f>REPT( "  ", Aop!$C66) &amp; VLOOKUP( Aop!$A66, Aop!$A$2:$N$415, ID_Jezik + 6, 1)</f>
        <v xml:space="preserve">  D. POSLOVNA AKTIVA (062 + 063)</v>
      </c>
      <c r="G66" t="s">
        <v>370</v>
      </c>
      <c r="H66" t="s">
        <v>371</v>
      </c>
      <c r="I66" t="s">
        <v>372</v>
      </c>
      <c r="J66" s="267"/>
      <c r="K66" s="267"/>
      <c r="L66" s="267"/>
      <c r="M66" s="10">
        <v>1</v>
      </c>
      <c r="N66" s="10"/>
    </row>
    <row r="67" spans="1:14" x14ac:dyDescent="0.2">
      <c r="A67">
        <f t="shared" si="1"/>
        <v>66</v>
      </c>
      <c r="B67" t="s">
        <v>297</v>
      </c>
      <c r="C67">
        <v>1</v>
      </c>
      <c r="D67">
        <v>65</v>
      </c>
      <c r="E67" s="2" t="str">
        <f>VLOOKUP( Aop!$A67, Aop!$A$2:$N$415, ID_Jezik + 9, 1)</f>
        <v>880 do 888</v>
      </c>
      <c r="F67" t="str">
        <f>REPT( "  ", Aop!$C67) &amp; VLOOKUP( Aop!$A67, Aop!$A$2:$N$415, ID_Jezik + 6, 1)</f>
        <v xml:space="preserve">  Đ. VANBILANSNA AKTIVA</v>
      </c>
      <c r="G67" t="s">
        <v>373</v>
      </c>
      <c r="H67" t="s">
        <v>374</v>
      </c>
      <c r="I67" t="s">
        <v>375</v>
      </c>
      <c r="J67" s="267" t="s">
        <v>1306</v>
      </c>
      <c r="K67" s="267" t="s">
        <v>1146</v>
      </c>
      <c r="L67" s="267" t="s">
        <v>809</v>
      </c>
      <c r="M67" s="10">
        <v>1</v>
      </c>
      <c r="N67" s="10"/>
    </row>
    <row r="68" spans="1:14" x14ac:dyDescent="0.2">
      <c r="A68">
        <f t="shared" si="1"/>
        <v>67</v>
      </c>
      <c r="B68" t="s">
        <v>297</v>
      </c>
      <c r="C68">
        <v>1</v>
      </c>
      <c r="D68">
        <v>66</v>
      </c>
      <c r="E68" s="2">
        <f>VLOOKUP( Aop!$A68, Aop!$A$2:$N$415, ID_Jezik + 9, 1)</f>
        <v>0</v>
      </c>
      <c r="F68" s="358" t="str">
        <f>REPT( "  ", Aop!$C68) &amp; VLOOKUP( Aop!$A68, Aop!$A$2:$N$415, ID_Jezik + 6, 1)</f>
        <v xml:space="preserve">  E. UKUPNA AKTIVA (064 + 065)</v>
      </c>
      <c r="G68" t="s">
        <v>376</v>
      </c>
      <c r="H68" t="s">
        <v>377</v>
      </c>
      <c r="I68" t="s">
        <v>378</v>
      </c>
      <c r="J68" s="267"/>
      <c r="K68" s="267"/>
      <c r="L68" s="267"/>
      <c r="M68" s="10">
        <v>1</v>
      </c>
      <c r="N68" s="10"/>
    </row>
    <row r="69" spans="1:14" x14ac:dyDescent="0.2">
      <c r="A69">
        <f t="shared" si="1"/>
        <v>68</v>
      </c>
      <c r="B69" t="s">
        <v>296</v>
      </c>
      <c r="C69">
        <v>0</v>
      </c>
      <c r="E69" s="2">
        <f>VLOOKUP( Aop!$A69, Aop!$A$2:$N$415, ID_Jezik + 9, 1)</f>
        <v>0</v>
      </c>
      <c r="F69" t="str">
        <f>REPT( "  ", Aop!$C69) &amp; VLOOKUP( Aop!$A69, Aop!$A$2:$N$415, ID_Jezik + 6, 1)</f>
        <v>PASIVA</v>
      </c>
      <c r="G69" t="s">
        <v>1240</v>
      </c>
      <c r="H69" t="s">
        <v>379</v>
      </c>
      <c r="I69" t="s">
        <v>1248</v>
      </c>
      <c r="J69" s="267"/>
      <c r="K69" s="267"/>
      <c r="L69" s="267"/>
      <c r="M69" s="10">
        <v>1</v>
      </c>
      <c r="N69" s="10"/>
    </row>
    <row r="70" spans="1:14" x14ac:dyDescent="0.2">
      <c r="A70">
        <f t="shared" si="1"/>
        <v>69</v>
      </c>
      <c r="B70" t="s">
        <v>296</v>
      </c>
      <c r="C70">
        <v>1</v>
      </c>
      <c r="D70">
        <v>101</v>
      </c>
      <c r="E70" s="2">
        <f>VLOOKUP( Aop!$A70, Aop!$A$2:$N$415, ID_Jezik + 9, 1)</f>
        <v>0</v>
      </c>
      <c r="F70" t="str">
        <f>REPT( "  ", Aop!$C70) &amp; VLOOKUP( Aop!$A70, Aop!$A$2:$N$415, ID_Jezik + 6, 1)</f>
        <v xml:space="preserve">  A. KAPITAL (102 - 109 + 110 - 111 + 112 + 116 + 117 - 118 + 119 - 123)</v>
      </c>
      <c r="G70" t="s">
        <v>216</v>
      </c>
      <c r="H70" t="s">
        <v>217</v>
      </c>
      <c r="I70" t="s">
        <v>218</v>
      </c>
      <c r="J70" s="267"/>
      <c r="K70" s="267"/>
      <c r="L70" s="267"/>
      <c r="M70" s="10">
        <v>1</v>
      </c>
      <c r="N70" s="10"/>
    </row>
    <row r="71" spans="1:14" x14ac:dyDescent="0.2">
      <c r="A71">
        <f t="shared" si="1"/>
        <v>70</v>
      </c>
      <c r="B71" t="s">
        <v>296</v>
      </c>
      <c r="C71">
        <v>2</v>
      </c>
      <c r="D71">
        <v>102</v>
      </c>
      <c r="E71" s="2">
        <f>VLOOKUP( Aop!$A71, Aop!$A$2:$N$415, ID_Jezik + 9, 1)</f>
        <v>30</v>
      </c>
      <c r="F71" t="str">
        <f>REPT( "  ", Aop!$C71) &amp; VLOOKUP( Aop!$A71, Aop!$A$2:$N$415, ID_Jezik + 6, 1)</f>
        <v xml:space="preserve">    I - OSNOVNI KAPITAL (103 do 108)</v>
      </c>
      <c r="G71" t="s">
        <v>380</v>
      </c>
      <c r="H71" t="s">
        <v>381</v>
      </c>
      <c r="I71" t="s">
        <v>382</v>
      </c>
      <c r="J71" s="267">
        <v>30</v>
      </c>
      <c r="K71" s="267">
        <v>30</v>
      </c>
      <c r="L71" s="267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296</v>
      </c>
      <c r="C72">
        <v>3</v>
      </c>
      <c r="D72">
        <v>103</v>
      </c>
      <c r="E72" s="2">
        <f>VLOOKUP( Aop!$A72, Aop!$A$2:$N$415, ID_Jezik + 9, 1)</f>
        <v>300</v>
      </c>
      <c r="F72" t="str">
        <f>REPT( "  ", Aop!$C72) &amp; VLOOKUP( Aop!$A72, Aop!$A$2:$N$415, ID_Jezik + 6, 1)</f>
        <v xml:space="preserve">      1. Akcijski kapital</v>
      </c>
      <c r="G72" t="s">
        <v>1308</v>
      </c>
      <c r="H72" t="s">
        <v>383</v>
      </c>
      <c r="I72" t="s">
        <v>384</v>
      </c>
      <c r="J72" s="267">
        <v>300</v>
      </c>
      <c r="K72" s="267">
        <v>300</v>
      </c>
      <c r="L72" s="267">
        <v>300</v>
      </c>
      <c r="M72" s="10"/>
      <c r="N72" s="10"/>
    </row>
    <row r="73" spans="1:14" x14ac:dyDescent="0.2">
      <c r="A73">
        <f t="shared" si="1"/>
        <v>72</v>
      </c>
      <c r="B73" t="s">
        <v>296</v>
      </c>
      <c r="C73">
        <v>3</v>
      </c>
      <c r="D73">
        <v>104</v>
      </c>
      <c r="E73" s="2">
        <f>VLOOKUP( Aop!$A73, Aop!$A$2:$N$415, ID_Jezik + 9, 1)</f>
        <v>302</v>
      </c>
      <c r="F73" t="str">
        <f>REPT( "  ", Aop!$C73) &amp; VLOOKUP( Aop!$A73, Aop!$A$2:$N$415, ID_Jezik + 6, 1)</f>
        <v xml:space="preserve">      2. Udjeli društva sa ograničenom odgovornošću</v>
      </c>
      <c r="G73" t="s">
        <v>1331</v>
      </c>
      <c r="H73" t="s">
        <v>385</v>
      </c>
      <c r="I73" t="s">
        <v>386</v>
      </c>
      <c r="J73" s="267">
        <v>302</v>
      </c>
      <c r="K73" s="267">
        <v>302</v>
      </c>
      <c r="L73" s="267">
        <v>302</v>
      </c>
      <c r="M73" s="10"/>
      <c r="N73" s="10"/>
    </row>
    <row r="74" spans="1:14" x14ac:dyDescent="0.2">
      <c r="A74">
        <f t="shared" si="1"/>
        <v>73</v>
      </c>
      <c r="B74" t="s">
        <v>296</v>
      </c>
      <c r="C74">
        <v>3</v>
      </c>
      <c r="D74">
        <v>105</v>
      </c>
      <c r="E74" s="2">
        <f>VLOOKUP( Aop!$A74, Aop!$A$2:$N$415, ID_Jezik + 9, 1)</f>
        <v>303</v>
      </c>
      <c r="F74" t="str">
        <f>REPT( "  ", Aop!$C74) &amp; VLOOKUP( Aop!$A74, Aop!$A$2:$N$415, ID_Jezik + 6, 1)</f>
        <v xml:space="preserve">      3. Zadružni udjeli</v>
      </c>
      <c r="G74" t="s">
        <v>1309</v>
      </c>
      <c r="H74" t="s">
        <v>387</v>
      </c>
      <c r="I74" t="s">
        <v>388</v>
      </c>
      <c r="J74" s="267">
        <v>303</v>
      </c>
      <c r="K74" s="267">
        <v>303</v>
      </c>
      <c r="L74" s="267">
        <v>303</v>
      </c>
      <c r="M74" s="10"/>
      <c r="N74" s="10"/>
    </row>
    <row r="75" spans="1:14" x14ac:dyDescent="0.2">
      <c r="A75">
        <f t="shared" si="1"/>
        <v>74</v>
      </c>
      <c r="B75" t="s">
        <v>296</v>
      </c>
      <c r="C75">
        <v>3</v>
      </c>
      <c r="D75">
        <v>106</v>
      </c>
      <c r="E75" s="2">
        <f>VLOOKUP( Aop!$A75, Aop!$A$2:$N$415, ID_Jezik + 9, 1)</f>
        <v>304</v>
      </c>
      <c r="F75" t="str">
        <f>REPT( "  ", Aop!$C75) &amp; VLOOKUP( Aop!$A75, Aop!$A$2:$N$415, ID_Jezik + 6, 1)</f>
        <v xml:space="preserve">      4. Ulozi</v>
      </c>
      <c r="G75" t="s">
        <v>1233</v>
      </c>
      <c r="H75" t="s">
        <v>389</v>
      </c>
      <c r="I75" t="s">
        <v>390</v>
      </c>
      <c r="J75" s="267">
        <v>304</v>
      </c>
      <c r="K75" s="267">
        <v>304</v>
      </c>
      <c r="L75" s="267">
        <v>304</v>
      </c>
      <c r="M75" s="10"/>
      <c r="N75" s="10"/>
    </row>
    <row r="76" spans="1:14" x14ac:dyDescent="0.2">
      <c r="A76">
        <f t="shared" si="1"/>
        <v>75</v>
      </c>
      <c r="B76" t="s">
        <v>296</v>
      </c>
      <c r="C76">
        <v>3</v>
      </c>
      <c r="D76">
        <v>107</v>
      </c>
      <c r="E76" s="2">
        <f>VLOOKUP( Aop!$A76, Aop!$A$2:$N$415, ID_Jezik + 9, 1)</f>
        <v>305</v>
      </c>
      <c r="F76" t="str">
        <f>REPT( "  ", Aop!$C76) &amp; VLOOKUP( Aop!$A76, Aop!$A$2:$N$415, ID_Jezik + 6, 1)</f>
        <v xml:space="preserve">      5. Državni kapital</v>
      </c>
      <c r="G76" t="s">
        <v>1234</v>
      </c>
      <c r="H76" t="s">
        <v>391</v>
      </c>
      <c r="I76" t="s">
        <v>392</v>
      </c>
      <c r="J76" s="267">
        <v>305</v>
      </c>
      <c r="K76" s="267">
        <v>305</v>
      </c>
      <c r="L76" s="267">
        <v>305</v>
      </c>
      <c r="M76" s="10"/>
      <c r="N76" s="10"/>
    </row>
    <row r="77" spans="1:14" x14ac:dyDescent="0.2">
      <c r="A77">
        <f t="shared" si="1"/>
        <v>76</v>
      </c>
      <c r="B77" t="s">
        <v>296</v>
      </c>
      <c r="C77">
        <v>3</v>
      </c>
      <c r="D77">
        <v>108</v>
      </c>
      <c r="E77" s="2" t="str">
        <f>VLOOKUP( Aop!$A77, Aop!$A$2:$N$415, ID_Jezik + 9, 1)</f>
        <v>309</v>
      </c>
      <c r="F77" t="str">
        <f>REPT( "  ", Aop!$C77) &amp; VLOOKUP( Aop!$A77, Aop!$A$2:$N$415, ID_Jezik + 6, 1)</f>
        <v xml:space="preserve">      6. Ostali osnovni kapital</v>
      </c>
      <c r="G77" t="s">
        <v>1310</v>
      </c>
      <c r="H77" t="s">
        <v>393</v>
      </c>
      <c r="I77" t="s">
        <v>394</v>
      </c>
      <c r="J77" s="267" t="s">
        <v>268</v>
      </c>
      <c r="K77" s="267" t="s">
        <v>268</v>
      </c>
      <c r="L77" s="267" t="s">
        <v>268</v>
      </c>
      <c r="M77" s="10"/>
      <c r="N77" s="10"/>
    </row>
    <row r="78" spans="1:14" x14ac:dyDescent="0.2">
      <c r="A78">
        <f t="shared" si="1"/>
        <v>77</v>
      </c>
      <c r="B78" t="s">
        <v>296</v>
      </c>
      <c r="C78">
        <v>2</v>
      </c>
      <c r="D78">
        <v>109</v>
      </c>
      <c r="E78" s="2">
        <f>VLOOKUP( Aop!$A78, Aop!$A$2:$N$415, ID_Jezik + 9, 1)</f>
        <v>31</v>
      </c>
      <c r="F78" t="str">
        <f>REPT( "  ", Aop!$C78) &amp; VLOOKUP( Aop!$A78, Aop!$A$2:$N$415, ID_Jezik + 6, 1)</f>
        <v xml:space="preserve">    II - UPISANI NEUPLAĆENI KAPITAL</v>
      </c>
      <c r="G78" t="s">
        <v>395</v>
      </c>
      <c r="H78" t="s">
        <v>396</v>
      </c>
      <c r="I78" t="s">
        <v>397</v>
      </c>
      <c r="J78" s="267">
        <v>31</v>
      </c>
      <c r="K78" s="267">
        <v>31</v>
      </c>
      <c r="L78" s="267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296</v>
      </c>
      <c r="C79">
        <v>2</v>
      </c>
      <c r="D79">
        <v>110</v>
      </c>
      <c r="E79" s="2">
        <f>VLOOKUP( Aop!$A79, Aop!$A$2:$N$415, ID_Jezik + 9, 1)</f>
        <v>320</v>
      </c>
      <c r="F79" t="str">
        <f>REPT( "  ", Aop!$C79) &amp; VLOOKUP( Aop!$A79, Aop!$A$2:$N$415, ID_Jezik + 6, 1)</f>
        <v xml:space="preserve">    III - EMISIONA PREMIJA </v>
      </c>
      <c r="G79" t="s">
        <v>184</v>
      </c>
      <c r="H79" t="s">
        <v>185</v>
      </c>
      <c r="I79" t="s">
        <v>186</v>
      </c>
      <c r="J79" s="267">
        <v>320</v>
      </c>
      <c r="K79" s="267">
        <v>320</v>
      </c>
      <c r="L79" s="267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296</v>
      </c>
      <c r="C80">
        <v>2</v>
      </c>
      <c r="D80">
        <v>111</v>
      </c>
      <c r="E80" s="2">
        <f>VLOOKUP( Aop!$A80, Aop!$A$2:$N$415, ID_Jezik + 9, 1)</f>
        <v>321</v>
      </c>
      <c r="F80" t="str">
        <f>REPT( "  ", Aop!$C80) &amp; VLOOKUP( Aop!$A80, Aop!$A$2:$N$415, ID_Jezik + 6, 1)</f>
        <v xml:space="preserve">    IV - EMISIONI GUBITAK</v>
      </c>
      <c r="G80" t="s">
        <v>187</v>
      </c>
      <c r="H80" t="s">
        <v>188</v>
      </c>
      <c r="I80" t="s">
        <v>189</v>
      </c>
      <c r="J80" s="267">
        <v>321</v>
      </c>
      <c r="K80" s="267">
        <v>321</v>
      </c>
      <c r="L80" s="267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296</v>
      </c>
      <c r="C81">
        <v>2</v>
      </c>
      <c r="D81">
        <v>112</v>
      </c>
      <c r="E81" s="2" t="str">
        <f>VLOOKUP( Aop!$A81, Aop!$A$2:$N$415, ID_Jezik + 9, 1)</f>
        <v>dio 32</v>
      </c>
      <c r="F81" t="str">
        <f>REPT( "  ", Aop!$C81) &amp; VLOOKUP( Aop!$A81, Aop!$A$2:$N$415, ID_Jezik + 6, 1)</f>
        <v xml:space="preserve">    V - REZERVE (113 do 115)</v>
      </c>
      <c r="G81" t="s">
        <v>190</v>
      </c>
      <c r="H81" t="s">
        <v>277</v>
      </c>
      <c r="I81" t="s">
        <v>278</v>
      </c>
      <c r="J81" s="267" t="s">
        <v>1323</v>
      </c>
      <c r="K81" s="267" t="s">
        <v>1147</v>
      </c>
      <c r="L81" s="267" t="s">
        <v>1169</v>
      </c>
      <c r="M81" s="10">
        <v>1</v>
      </c>
      <c r="N81" s="10"/>
    </row>
    <row r="82" spans="1:14" x14ac:dyDescent="0.2">
      <c r="A82">
        <f t="shared" si="1"/>
        <v>81</v>
      </c>
      <c r="B82" t="s">
        <v>296</v>
      </c>
      <c r="C82">
        <v>3</v>
      </c>
      <c r="D82">
        <v>113</v>
      </c>
      <c r="E82" s="2">
        <f>VLOOKUP( Aop!$A82, Aop!$A$2:$N$415, ID_Jezik + 9, 1)</f>
        <v>322</v>
      </c>
      <c r="F82" t="str">
        <f>REPT( "  ", Aop!$C82) &amp; VLOOKUP( Aop!$A82, Aop!$A$2:$N$415, ID_Jezik + 6, 1)</f>
        <v xml:space="preserve">      1. Zakonske rezerve</v>
      </c>
      <c r="G82" t="s">
        <v>1235</v>
      </c>
      <c r="H82" t="s">
        <v>398</v>
      </c>
      <c r="I82" t="s">
        <v>399</v>
      </c>
      <c r="J82" s="267">
        <v>322</v>
      </c>
      <c r="K82" s="267">
        <v>322</v>
      </c>
      <c r="L82" s="267">
        <v>322</v>
      </c>
      <c r="M82" s="10"/>
      <c r="N82" s="10"/>
    </row>
    <row r="83" spans="1:14" x14ac:dyDescent="0.2">
      <c r="A83">
        <f t="shared" si="1"/>
        <v>82</v>
      </c>
      <c r="B83" t="s">
        <v>296</v>
      </c>
      <c r="C83">
        <v>3</v>
      </c>
      <c r="D83">
        <v>114</v>
      </c>
      <c r="E83" s="2">
        <f>VLOOKUP( Aop!$A83, Aop!$A$2:$N$415, ID_Jezik + 9, 1)</f>
        <v>323</v>
      </c>
      <c r="F83" t="str">
        <f>REPT( "  ", Aop!$C83) &amp; VLOOKUP( Aop!$A83, Aop!$A$2:$N$415, ID_Jezik + 6, 1)</f>
        <v xml:space="preserve">      2. Statutarne rezerve</v>
      </c>
      <c r="G83" t="s">
        <v>1311</v>
      </c>
      <c r="H83" t="s">
        <v>400</v>
      </c>
      <c r="I83" t="s">
        <v>401</v>
      </c>
      <c r="J83" s="267">
        <v>323</v>
      </c>
      <c r="K83" s="267">
        <v>323</v>
      </c>
      <c r="L83" s="267">
        <v>323</v>
      </c>
      <c r="M83" s="10"/>
      <c r="N83" s="10"/>
    </row>
    <row r="84" spans="1:14" x14ac:dyDescent="0.2">
      <c r="A84">
        <f t="shared" si="1"/>
        <v>83</v>
      </c>
      <c r="B84" t="s">
        <v>296</v>
      </c>
      <c r="C84">
        <v>3</v>
      </c>
      <c r="D84">
        <v>115</v>
      </c>
      <c r="E84" s="2">
        <f>VLOOKUP( Aop!$A84, Aop!$A$2:$N$415, ID_Jezik + 9, 1)</f>
        <v>329</v>
      </c>
      <c r="F84" t="str">
        <f>REPT( "  ", Aop!$C84) &amp; VLOOKUP( Aop!$A84, Aop!$A$2:$N$415, ID_Jezik + 6, 1)</f>
        <v xml:space="preserve">      3. Ostale rezerve</v>
      </c>
      <c r="G84" t="s">
        <v>402</v>
      </c>
      <c r="H84" t="s">
        <v>403</v>
      </c>
      <c r="I84" t="s">
        <v>404</v>
      </c>
      <c r="J84" s="267">
        <v>329</v>
      </c>
      <c r="K84" s="267">
        <v>329</v>
      </c>
      <c r="L84" s="267">
        <v>329</v>
      </c>
      <c r="M84" s="10"/>
      <c r="N84" s="10"/>
    </row>
    <row r="85" spans="1:14" x14ac:dyDescent="0.2">
      <c r="A85">
        <f t="shared" si="1"/>
        <v>84</v>
      </c>
      <c r="B85" t="s">
        <v>296</v>
      </c>
      <c r="C85">
        <v>2</v>
      </c>
      <c r="D85">
        <v>116</v>
      </c>
      <c r="E85" s="2" t="str">
        <f>VLOOKUP( Aop!$A85, Aop!$A$2:$N$415, ID_Jezik + 9, 1)</f>
        <v>330, 331, 334</v>
      </c>
      <c r="F85" t="str">
        <f>REPT( "  ", Aop!$C85) &amp; VLOOKUP( Aop!$A85, Aop!$A$2:$N$415, ID_Jezik + 6, 1)</f>
        <v xml:space="preserve">    VI - REVALORIZACIONE REZERVE</v>
      </c>
      <c r="G85" t="s">
        <v>191</v>
      </c>
      <c r="H85" t="s">
        <v>192</v>
      </c>
      <c r="I85" t="s">
        <v>193</v>
      </c>
      <c r="J85" s="267" t="s">
        <v>1148</v>
      </c>
      <c r="K85" s="267" t="s">
        <v>1148</v>
      </c>
      <c r="L85" s="267" t="s">
        <v>1148</v>
      </c>
      <c r="M85" s="10">
        <v>1</v>
      </c>
      <c r="N85" s="10"/>
    </row>
    <row r="86" spans="1:14" x14ac:dyDescent="0.2">
      <c r="A86">
        <f t="shared" si="1"/>
        <v>85</v>
      </c>
      <c r="B86" t="s">
        <v>296</v>
      </c>
      <c r="C86">
        <v>2</v>
      </c>
      <c r="D86">
        <v>117</v>
      </c>
      <c r="E86" s="2">
        <f>VLOOKUP( Aop!$A86, Aop!$A$2:$N$415, ID_Jezik + 9, 1)</f>
        <v>332</v>
      </c>
      <c r="F86" t="str">
        <f>REPT( "  ", Aop!$C86) &amp; VLOOKUP( Aop!$A86, Aop!$A$2:$N$415, ID_Jezik + 6, 1)</f>
        <v xml:space="preserve">    VII - NEREALIZOVANI DOBICI PO OSNOVU FINANSIJSKIH SREDSTAVA RASPOLOŽIVIH ZA PRODAJU</v>
      </c>
      <c r="G86" t="s">
        <v>194</v>
      </c>
      <c r="H86" t="s">
        <v>195</v>
      </c>
      <c r="I86" t="s">
        <v>196</v>
      </c>
      <c r="J86" s="267">
        <v>332</v>
      </c>
      <c r="K86" s="267">
        <v>332</v>
      </c>
      <c r="L86" s="267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296</v>
      </c>
      <c r="C87">
        <v>2</v>
      </c>
      <c r="D87">
        <v>118</v>
      </c>
      <c r="E87" s="2">
        <f>VLOOKUP( Aop!$A87, Aop!$A$2:$N$415, ID_Jezik + 9, 1)</f>
        <v>333</v>
      </c>
      <c r="F87" t="str">
        <f>REPT( "  ", Aop!$C87) &amp; VLOOKUP( Aop!$A87, Aop!$A$2:$N$415, ID_Jezik + 6, 1)</f>
        <v xml:space="preserve">    VIII - NEREALIZOVANI GUBICI PO OSNOVU FINANSIJSKIH SREDSTAVA RASPOLOŽIVIH ZA PRODAJU </v>
      </c>
      <c r="G87" t="s">
        <v>197</v>
      </c>
      <c r="H87" t="s">
        <v>198</v>
      </c>
      <c r="I87" t="s">
        <v>199</v>
      </c>
      <c r="J87" s="267">
        <v>333</v>
      </c>
      <c r="K87" s="267">
        <v>333</v>
      </c>
      <c r="L87" s="267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296</v>
      </c>
      <c r="C88">
        <v>2</v>
      </c>
      <c r="D88">
        <v>119</v>
      </c>
      <c r="E88" s="2">
        <f>VLOOKUP( Aop!$A88, Aop!$A$2:$N$415, ID_Jezik + 9, 1)</f>
        <v>34</v>
      </c>
      <c r="F88" t="str">
        <f>REPT( "  ", Aop!$C88) &amp; VLOOKUP( Aop!$A88, Aop!$A$2:$N$415, ID_Jezik + 6, 1)</f>
        <v xml:space="preserve">    IX - NERASPOREĐENI DOBITAK (120 do 122)</v>
      </c>
      <c r="G88" t="s">
        <v>200</v>
      </c>
      <c r="H88" t="s">
        <v>279</v>
      </c>
      <c r="I88" t="s">
        <v>280</v>
      </c>
      <c r="J88" s="267">
        <v>34</v>
      </c>
      <c r="K88" s="267">
        <v>34</v>
      </c>
      <c r="L88" s="267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296</v>
      </c>
      <c r="C89">
        <v>3</v>
      </c>
      <c r="D89">
        <v>120</v>
      </c>
      <c r="E89" s="2" t="str">
        <f>VLOOKUP( Aop!$A89, Aop!$A$2:$N$415, ID_Jezik + 9, 1)</f>
        <v>340 ili 342</v>
      </c>
      <c r="F89" t="str">
        <f>REPT( "  ", Aop!$C89) &amp; VLOOKUP( Aop!$A89, Aop!$A$2:$N$415, ID_Jezik + 6, 1)</f>
        <v xml:space="preserve">      1. Neraspoređeni dobitak ranijih godina / Neraspoređeni višak prihoda nad rashodima ranijih godina</v>
      </c>
      <c r="G89" t="s">
        <v>201</v>
      </c>
      <c r="H89" t="s">
        <v>202</v>
      </c>
      <c r="I89" t="s">
        <v>405</v>
      </c>
      <c r="J89" s="267" t="s">
        <v>210</v>
      </c>
      <c r="K89" s="267" t="s">
        <v>211</v>
      </c>
      <c r="L89" s="267" t="s">
        <v>212</v>
      </c>
      <c r="M89" s="10"/>
      <c r="N89" s="10"/>
    </row>
    <row r="90" spans="1:14" x14ac:dyDescent="0.2">
      <c r="A90">
        <f t="shared" si="1"/>
        <v>89</v>
      </c>
      <c r="B90" t="s">
        <v>296</v>
      </c>
      <c r="C90">
        <v>3</v>
      </c>
      <c r="D90">
        <v>121</v>
      </c>
      <c r="E90" s="2" t="str">
        <f>VLOOKUP( Aop!$A90, Aop!$A$2:$N$415, ID_Jezik + 9, 1)</f>
        <v>341 ili 343</v>
      </c>
      <c r="F90" t="str">
        <f>REPT( "  ", Aop!$C90) &amp; VLOOKUP( Aop!$A90, Aop!$A$2:$N$415, ID_Jezik + 6, 1)</f>
        <v xml:space="preserve">      2. Neraspoređeni dobitak tekuće godine / Neraspoređeni višak prihoda nad rashodima tekuće godine</v>
      </c>
      <c r="G90" t="s">
        <v>203</v>
      </c>
      <c r="H90" t="s">
        <v>204</v>
      </c>
      <c r="I90" t="s">
        <v>406</v>
      </c>
      <c r="J90" s="267" t="s">
        <v>213</v>
      </c>
      <c r="K90" s="267" t="s">
        <v>214</v>
      </c>
      <c r="L90" s="267" t="s">
        <v>215</v>
      </c>
      <c r="M90" s="10"/>
      <c r="N90" s="10"/>
    </row>
    <row r="91" spans="1:14" x14ac:dyDescent="0.2">
      <c r="A91">
        <f t="shared" si="1"/>
        <v>90</v>
      </c>
      <c r="B91" t="s">
        <v>296</v>
      </c>
      <c r="C91">
        <v>3</v>
      </c>
      <c r="D91">
        <v>122</v>
      </c>
      <c r="E91" s="2">
        <f>VLOOKUP( Aop!$A91, Aop!$A$2:$N$415, ID_Jezik + 9, 1)</f>
        <v>344</v>
      </c>
      <c r="F91" t="str">
        <f>REPT( "  ", Aop!$C91) &amp; VLOOKUP( Aop!$A91, Aop!$A$2:$N$415, ID_Jezik + 6, 1)</f>
        <v xml:space="preserve">      3. Neto prihod od samostalne djelatnosti</v>
      </c>
      <c r="G91" t="s">
        <v>205</v>
      </c>
      <c r="H91" t="s">
        <v>206</v>
      </c>
      <c r="I91" t="s">
        <v>207</v>
      </c>
      <c r="J91" s="267">
        <v>344</v>
      </c>
      <c r="K91" s="267">
        <v>344</v>
      </c>
      <c r="L91" s="267">
        <v>344</v>
      </c>
      <c r="M91" s="10"/>
      <c r="N91" s="10"/>
    </row>
    <row r="92" spans="1:14" x14ac:dyDescent="0.2">
      <c r="A92">
        <f t="shared" si="1"/>
        <v>91</v>
      </c>
      <c r="B92" t="s">
        <v>296</v>
      </c>
      <c r="C92">
        <v>2</v>
      </c>
      <c r="D92">
        <v>123</v>
      </c>
      <c r="E92" s="2" t="str">
        <f>VLOOKUP( Aop!$A92, Aop!$A$2:$N$415, ID_Jezik + 9, 1)</f>
        <v>35</v>
      </c>
      <c r="F92" t="str">
        <f>REPT( "  ", Aop!$C92) &amp; VLOOKUP( Aop!$A92, Aop!$A$2:$N$415, ID_Jezik + 6, 1)</f>
        <v xml:space="preserve">    X - GUBITAK DO VISINE KAPITALA (124 + 125)</v>
      </c>
      <c r="G92" t="s">
        <v>208</v>
      </c>
      <c r="H92" t="s">
        <v>208</v>
      </c>
      <c r="I92" t="s">
        <v>209</v>
      </c>
      <c r="J92" s="267" t="s">
        <v>269</v>
      </c>
      <c r="K92" s="267" t="s">
        <v>269</v>
      </c>
      <c r="L92" s="267" t="s">
        <v>269</v>
      </c>
      <c r="M92" s="10"/>
      <c r="N92" s="10"/>
    </row>
    <row r="93" spans="1:14" x14ac:dyDescent="0.2">
      <c r="A93">
        <f t="shared" si="1"/>
        <v>92</v>
      </c>
      <c r="B93" t="s">
        <v>296</v>
      </c>
      <c r="C93">
        <v>3</v>
      </c>
      <c r="D93">
        <v>124</v>
      </c>
      <c r="E93" s="2">
        <f>VLOOKUP( Aop!$A93, Aop!$A$2:$N$415, ID_Jezik + 9, 1)</f>
        <v>350</v>
      </c>
      <c r="F93" t="str">
        <f>REPT( "  ", Aop!$C93) &amp; VLOOKUP( Aop!$A93, Aop!$A$2:$N$415, ID_Jezik + 6, 1)</f>
        <v xml:space="preserve">      1. Gubitak ranijih godina</v>
      </c>
      <c r="G93" t="s">
        <v>1312</v>
      </c>
      <c r="H93" t="s">
        <v>407</v>
      </c>
      <c r="I93" t="s">
        <v>408</v>
      </c>
      <c r="J93" s="267">
        <v>350</v>
      </c>
      <c r="K93" s="267">
        <v>350</v>
      </c>
      <c r="L93" s="267">
        <v>350</v>
      </c>
      <c r="M93" s="10"/>
      <c r="N93" s="10"/>
    </row>
    <row r="94" spans="1:14" x14ac:dyDescent="0.2">
      <c r="A94">
        <f t="shared" si="1"/>
        <v>93</v>
      </c>
      <c r="B94" t="s">
        <v>296</v>
      </c>
      <c r="C94">
        <v>3</v>
      </c>
      <c r="D94">
        <v>125</v>
      </c>
      <c r="E94" s="2">
        <f>VLOOKUP( Aop!$A94, Aop!$A$2:$N$415, ID_Jezik + 9, 1)</f>
        <v>351</v>
      </c>
      <c r="F94" t="str">
        <f>REPT( "  ", Aop!$C94) &amp; VLOOKUP( Aop!$A94, Aop!$A$2:$N$415, ID_Jezik + 6, 1)</f>
        <v xml:space="preserve">      2. Gubitak tekuće godine</v>
      </c>
      <c r="G94" t="s">
        <v>1236</v>
      </c>
      <c r="H94" t="s">
        <v>409</v>
      </c>
      <c r="I94" t="s">
        <v>410</v>
      </c>
      <c r="J94" s="267">
        <v>351</v>
      </c>
      <c r="K94" s="267">
        <v>351</v>
      </c>
      <c r="L94" s="267">
        <v>351</v>
      </c>
      <c r="M94" s="10"/>
      <c r="N94" s="10"/>
    </row>
    <row r="95" spans="1:14" x14ac:dyDescent="0.2">
      <c r="A95">
        <f t="shared" si="1"/>
        <v>94</v>
      </c>
      <c r="B95" t="s">
        <v>296</v>
      </c>
      <c r="C95">
        <v>1</v>
      </c>
      <c r="D95">
        <v>126</v>
      </c>
      <c r="E95" s="2">
        <f>VLOOKUP( Aop!$A95, Aop!$A$2:$N$415, ID_Jezik + 9, 1)</f>
        <v>40</v>
      </c>
      <c r="F95" t="str">
        <f>REPT( "  ", Aop!$C95) &amp; VLOOKUP( Aop!$A95, Aop!$A$2:$N$415, ID_Jezik + 6, 1)</f>
        <v xml:space="preserve">  B. REZERVISANJA, ODLOŽENE PORESKE OBAVEZE I RAZGRANIČENI PRIHODI (127 do 134)</v>
      </c>
      <c r="G95" t="s">
        <v>411</v>
      </c>
      <c r="H95" t="s">
        <v>412</v>
      </c>
      <c r="I95" t="s">
        <v>413</v>
      </c>
      <c r="J95" s="267">
        <v>40</v>
      </c>
      <c r="K95" s="267">
        <v>40</v>
      </c>
      <c r="L95" s="267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296</v>
      </c>
      <c r="C96">
        <v>2</v>
      </c>
      <c r="D96">
        <v>127</v>
      </c>
      <c r="E96" s="2">
        <f>VLOOKUP( Aop!$A96, Aop!$A$2:$N$415, ID_Jezik + 9, 1)</f>
        <v>400</v>
      </c>
      <c r="F96" t="str">
        <f>REPT( "  ", Aop!$C96) &amp; VLOOKUP( Aop!$A96, Aop!$A$2:$N$415, ID_Jezik + 6, 1)</f>
        <v xml:space="preserve">    1. Rezervisanja za troškove u garantnom roku</v>
      </c>
      <c r="G96" t="s">
        <v>1313</v>
      </c>
      <c r="H96" t="s">
        <v>414</v>
      </c>
      <c r="I96" t="s">
        <v>415</v>
      </c>
      <c r="J96" s="267">
        <v>400</v>
      </c>
      <c r="K96" s="267">
        <v>400</v>
      </c>
      <c r="L96" s="267">
        <v>400</v>
      </c>
      <c r="M96" s="10"/>
      <c r="N96" s="10"/>
    </row>
    <row r="97" spans="1:14" x14ac:dyDescent="0.2">
      <c r="A97">
        <f t="shared" si="1"/>
        <v>96</v>
      </c>
      <c r="B97" t="s">
        <v>296</v>
      </c>
      <c r="C97">
        <v>2</v>
      </c>
      <c r="D97">
        <v>128</v>
      </c>
      <c r="E97" s="2">
        <f>VLOOKUP( Aop!$A97, Aop!$A$2:$N$415, ID_Jezik + 9, 1)</f>
        <v>401</v>
      </c>
      <c r="F97" t="str">
        <f>REPT( "  ", Aop!$C97) &amp; VLOOKUP( Aop!$A97, Aop!$A$2:$N$415, ID_Jezik + 6, 1)</f>
        <v xml:space="preserve">    2. Rezervisanja za troškove obnavljanja prirodnih bogatstava</v>
      </c>
      <c r="G97" t="s">
        <v>1314</v>
      </c>
      <c r="H97" t="s">
        <v>416</v>
      </c>
      <c r="I97" t="s">
        <v>417</v>
      </c>
      <c r="J97" s="267">
        <v>401</v>
      </c>
      <c r="K97" s="267">
        <v>401</v>
      </c>
      <c r="L97" s="267">
        <v>401</v>
      </c>
      <c r="M97" s="10"/>
      <c r="N97" s="10"/>
    </row>
    <row r="98" spans="1:14" x14ac:dyDescent="0.2">
      <c r="A98">
        <f t="shared" si="1"/>
        <v>97</v>
      </c>
      <c r="B98" t="s">
        <v>296</v>
      </c>
      <c r="C98">
        <v>2</v>
      </c>
      <c r="D98">
        <v>129</v>
      </c>
      <c r="E98" s="2">
        <f>VLOOKUP( Aop!$A98, Aop!$A$2:$N$415, ID_Jezik + 9, 1)</f>
        <v>402</v>
      </c>
      <c r="F98" t="str">
        <f>REPT( "  ", Aop!$C98) &amp; VLOOKUP( Aop!$A98, Aop!$A$2:$N$415, ID_Jezik + 6, 1)</f>
        <v xml:space="preserve">    3. Rezervisanja za zadržane kaucije i depozite</v>
      </c>
      <c r="G98" t="s">
        <v>1315</v>
      </c>
      <c r="H98" t="s">
        <v>418</v>
      </c>
      <c r="I98" t="s">
        <v>419</v>
      </c>
      <c r="J98" s="267">
        <v>402</v>
      </c>
      <c r="K98" s="267">
        <v>402</v>
      </c>
      <c r="L98" s="267">
        <v>402</v>
      </c>
      <c r="M98" s="10"/>
      <c r="N98" s="10"/>
    </row>
    <row r="99" spans="1:14" x14ac:dyDescent="0.2">
      <c r="A99">
        <f t="shared" si="1"/>
        <v>98</v>
      </c>
      <c r="B99" t="s">
        <v>296</v>
      </c>
      <c r="C99">
        <v>2</v>
      </c>
      <c r="D99">
        <v>130</v>
      </c>
      <c r="E99" s="2">
        <f>VLOOKUP( Aop!$A99, Aop!$A$2:$N$415, ID_Jezik + 9, 1)</f>
        <v>403</v>
      </c>
      <c r="F99" t="str">
        <f>REPT( "  ", Aop!$C99) &amp; VLOOKUP( Aop!$A99, Aop!$A$2:$N$415, ID_Jezik + 6, 1)</f>
        <v xml:space="preserve">    4. Rezervisanja za troškove restrukturisanja</v>
      </c>
      <c r="G99" t="s">
        <v>420</v>
      </c>
      <c r="H99" t="s">
        <v>421</v>
      </c>
      <c r="I99" t="s">
        <v>422</v>
      </c>
      <c r="J99" s="267">
        <v>403</v>
      </c>
      <c r="K99" s="267">
        <v>403</v>
      </c>
      <c r="L99" s="267">
        <v>403</v>
      </c>
      <c r="M99" s="10"/>
      <c r="N99" s="10"/>
    </row>
    <row r="100" spans="1:14" x14ac:dyDescent="0.2">
      <c r="A100">
        <f t="shared" si="1"/>
        <v>99</v>
      </c>
      <c r="B100" t="s">
        <v>296</v>
      </c>
      <c r="C100">
        <v>2</v>
      </c>
      <c r="D100">
        <v>131</v>
      </c>
      <c r="E100" s="2">
        <f>VLOOKUP( Aop!$A100, Aop!$A$2:$N$415, ID_Jezik + 9, 1)</f>
        <v>404</v>
      </c>
      <c r="F100" t="str">
        <f>REPT( "  ", Aop!$C100) &amp; VLOOKUP( Aop!$A100, Aop!$A$2:$N$415, ID_Jezik + 6, 1)</f>
        <v xml:space="preserve">    5. Rezervisanja za naknade i beneficije zaposlenih</v>
      </c>
      <c r="G100" t="s">
        <v>1316</v>
      </c>
      <c r="H100" t="s">
        <v>423</v>
      </c>
      <c r="I100" t="s">
        <v>424</v>
      </c>
      <c r="J100" s="267">
        <v>404</v>
      </c>
      <c r="K100" s="267">
        <v>404</v>
      </c>
      <c r="L100" s="267">
        <v>404</v>
      </c>
      <c r="M100" s="10"/>
      <c r="N100" s="10"/>
    </row>
    <row r="101" spans="1:14" x14ac:dyDescent="0.2">
      <c r="A101">
        <f t="shared" si="1"/>
        <v>100</v>
      </c>
      <c r="B101" t="s">
        <v>296</v>
      </c>
      <c r="C101">
        <v>2</v>
      </c>
      <c r="D101">
        <v>132</v>
      </c>
      <c r="E101" s="2">
        <f>VLOOKUP( Aop!$A101, Aop!$A$2:$N$415, ID_Jezik + 9, 1)</f>
        <v>407</v>
      </c>
      <c r="F101" t="str">
        <f>REPT( "  ", Aop!$C101) &amp; VLOOKUP( Aop!$A101, Aop!$A$2:$N$415, ID_Jezik + 6, 1)</f>
        <v xml:space="preserve">    6. Odložene poreske obaveze</v>
      </c>
      <c r="G101" t="s">
        <v>425</v>
      </c>
      <c r="H101" t="s">
        <v>426</v>
      </c>
      <c r="I101" t="s">
        <v>427</v>
      </c>
      <c r="J101" s="267">
        <v>407</v>
      </c>
      <c r="K101" s="267">
        <v>407</v>
      </c>
      <c r="L101" s="267">
        <v>407</v>
      </c>
      <c r="M101" s="10"/>
      <c r="N101" s="10"/>
    </row>
    <row r="102" spans="1:14" x14ac:dyDescent="0.2">
      <c r="A102">
        <f t="shared" si="1"/>
        <v>101</v>
      </c>
      <c r="B102" t="s">
        <v>296</v>
      </c>
      <c r="C102">
        <v>2</v>
      </c>
      <c r="D102">
        <v>133</v>
      </c>
      <c r="E102" s="2">
        <f>VLOOKUP( Aop!$A102, Aop!$A$2:$N$415, ID_Jezik + 9, 1)</f>
        <v>408</v>
      </c>
      <c r="F102" t="str">
        <f>REPT( "  ", Aop!$C102) &amp; VLOOKUP( Aop!$A102, Aop!$A$2:$N$415, ID_Jezik + 6, 1)</f>
        <v xml:space="preserve">    7. Razgraničeni prihodi i primljene donacije</v>
      </c>
      <c r="G102" t="s">
        <v>428</v>
      </c>
      <c r="H102" t="s">
        <v>429</v>
      </c>
      <c r="I102" t="s">
        <v>430</v>
      </c>
      <c r="J102" s="267">
        <v>408</v>
      </c>
      <c r="K102" s="267">
        <v>408</v>
      </c>
      <c r="L102" s="267">
        <v>408</v>
      </c>
      <c r="M102" s="10"/>
      <c r="N102" s="10"/>
    </row>
    <row r="103" spans="1:14" x14ac:dyDescent="0.2">
      <c r="A103">
        <f t="shared" si="1"/>
        <v>102</v>
      </c>
      <c r="B103" t="s">
        <v>296</v>
      </c>
      <c r="C103">
        <v>2</v>
      </c>
      <c r="D103">
        <v>134</v>
      </c>
      <c r="E103" s="2">
        <f>VLOOKUP( Aop!$A103, Aop!$A$2:$N$415, ID_Jezik + 9, 1)</f>
        <v>409</v>
      </c>
      <c r="F103" t="str">
        <f>REPT( "  ", Aop!$C103) &amp; VLOOKUP( Aop!$A103, Aop!$A$2:$N$415, ID_Jezik + 6, 1)</f>
        <v xml:space="preserve">    8. Ostala dugoročna rezervisanja</v>
      </c>
      <c r="G103" t="s">
        <v>431</v>
      </c>
      <c r="H103" t="s">
        <v>432</v>
      </c>
      <c r="I103" t="s">
        <v>433</v>
      </c>
      <c r="J103" s="267">
        <v>409</v>
      </c>
      <c r="K103" s="267">
        <v>409</v>
      </c>
      <c r="L103" s="267">
        <v>409</v>
      </c>
      <c r="M103" s="10"/>
      <c r="N103" s="10"/>
    </row>
    <row r="104" spans="1:14" x14ac:dyDescent="0.2">
      <c r="A104">
        <f t="shared" si="1"/>
        <v>103</v>
      </c>
      <c r="B104" t="s">
        <v>296</v>
      </c>
      <c r="C104">
        <v>1</v>
      </c>
      <c r="D104">
        <v>135</v>
      </c>
      <c r="E104" s="2">
        <f>VLOOKUP( Aop!$A104, Aop!$A$2:$N$415, ID_Jezik + 9, 1)</f>
        <v>0</v>
      </c>
      <c r="F104" t="str">
        <f>REPT( "  ", Aop!$C104) &amp; VLOOKUP( Aop!$A104, Aop!$A$2:$N$415, ID_Jezik + 6, 1)</f>
        <v xml:space="preserve">  V. OBAVEZE (136 + 144)</v>
      </c>
      <c r="G104" t="s">
        <v>434</v>
      </c>
      <c r="H104" t="s">
        <v>435</v>
      </c>
      <c r="I104" t="s">
        <v>436</v>
      </c>
      <c r="J104" s="267"/>
      <c r="K104" s="267"/>
      <c r="L104" s="267"/>
      <c r="M104" s="10">
        <v>1</v>
      </c>
      <c r="N104" s="10"/>
    </row>
    <row r="105" spans="1:14" x14ac:dyDescent="0.2">
      <c r="A105">
        <f t="shared" si="1"/>
        <v>104</v>
      </c>
      <c r="B105" t="s">
        <v>296</v>
      </c>
      <c r="C105">
        <v>2</v>
      </c>
      <c r="D105">
        <v>136</v>
      </c>
      <c r="E105" s="2">
        <f>VLOOKUP( Aop!$A105, Aop!$A$2:$N$415, ID_Jezik + 9, 1)</f>
        <v>41</v>
      </c>
      <c r="F105" t="str">
        <f>REPT( "  ", Aop!$C105) &amp; VLOOKUP( Aop!$A105, Aop!$A$2:$N$415, ID_Jezik + 6, 1)</f>
        <v xml:space="preserve">    I - DUGOROČNE OBAVEZE (137 do 143)</v>
      </c>
      <c r="G105" t="s">
        <v>437</v>
      </c>
      <c r="H105" t="s">
        <v>438</v>
      </c>
      <c r="I105" t="s">
        <v>439</v>
      </c>
      <c r="J105" s="267">
        <v>41</v>
      </c>
      <c r="K105" s="267">
        <v>41</v>
      </c>
      <c r="L105" s="267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296</v>
      </c>
      <c r="C106">
        <v>3</v>
      </c>
      <c r="D106">
        <v>137</v>
      </c>
      <c r="E106" s="2">
        <f>VLOOKUP( Aop!$A106, Aop!$A$2:$N$415, ID_Jezik + 9, 1)</f>
        <v>410</v>
      </c>
      <c r="F106" t="str">
        <f>REPT( "  ", Aop!$C106) &amp; VLOOKUP( Aop!$A106, Aop!$A$2:$N$415, ID_Jezik + 6, 1)</f>
        <v xml:space="preserve">      1. Obaveze koje se mogu konvertovati u kapital</v>
      </c>
      <c r="G106" t="s">
        <v>1237</v>
      </c>
      <c r="H106" t="s">
        <v>440</v>
      </c>
      <c r="I106" t="s">
        <v>441</v>
      </c>
      <c r="J106" s="267">
        <v>410</v>
      </c>
      <c r="K106" s="267">
        <v>410</v>
      </c>
      <c r="L106" s="267">
        <v>410</v>
      </c>
      <c r="M106" s="10"/>
      <c r="N106" s="10"/>
    </row>
    <row r="107" spans="1:14" x14ac:dyDescent="0.2">
      <c r="A107">
        <f t="shared" si="1"/>
        <v>106</v>
      </c>
      <c r="B107" t="s">
        <v>296</v>
      </c>
      <c r="C107">
        <v>3</v>
      </c>
      <c r="D107">
        <v>138</v>
      </c>
      <c r="E107" s="2">
        <f>VLOOKUP( Aop!$A107, Aop!$A$2:$N$415, ID_Jezik + 9, 1)</f>
        <v>411</v>
      </c>
      <c r="F107" t="str">
        <f>REPT( "  ", Aop!$C107) &amp; VLOOKUP( Aop!$A107, Aop!$A$2:$N$415, ID_Jezik + 6, 1)</f>
        <v xml:space="preserve">      2. Obaveze prema povezanim pravnim licima</v>
      </c>
      <c r="G107" t="s">
        <v>1238</v>
      </c>
      <c r="H107" t="s">
        <v>442</v>
      </c>
      <c r="I107" t="s">
        <v>443</v>
      </c>
      <c r="J107" s="267">
        <v>411</v>
      </c>
      <c r="K107" s="267">
        <v>411</v>
      </c>
      <c r="L107" s="267">
        <v>411</v>
      </c>
      <c r="M107" s="10"/>
      <c r="N107" s="10"/>
    </row>
    <row r="108" spans="1:14" x14ac:dyDescent="0.2">
      <c r="A108">
        <f t="shared" si="1"/>
        <v>107</v>
      </c>
      <c r="B108" t="s">
        <v>296</v>
      </c>
      <c r="C108">
        <v>3</v>
      </c>
      <c r="D108">
        <v>139</v>
      </c>
      <c r="E108" s="2">
        <f>VLOOKUP( Aop!$A108, Aop!$A$2:$N$415, ID_Jezik + 9, 1)</f>
        <v>412</v>
      </c>
      <c r="F108" t="str">
        <f>REPT( "  ", Aop!$C108) &amp; VLOOKUP( Aop!$A108, Aop!$A$2:$N$415, ID_Jezik + 6, 1)</f>
        <v xml:space="preserve">      3. Obaveze po emitovanim dugoročnim hartijama od vrijednosti</v>
      </c>
      <c r="G108" t="s">
        <v>733</v>
      </c>
      <c r="H108" t="s">
        <v>444</v>
      </c>
      <c r="I108" t="s">
        <v>445</v>
      </c>
      <c r="J108" s="267">
        <v>412</v>
      </c>
      <c r="K108" s="267">
        <v>412</v>
      </c>
      <c r="L108" s="267">
        <v>412</v>
      </c>
      <c r="M108" s="10"/>
      <c r="N108" s="10"/>
    </row>
    <row r="109" spans="1:14" x14ac:dyDescent="0.2">
      <c r="A109">
        <f t="shared" si="1"/>
        <v>108</v>
      </c>
      <c r="B109" t="s">
        <v>296</v>
      </c>
      <c r="C109">
        <v>3</v>
      </c>
      <c r="D109">
        <v>140</v>
      </c>
      <c r="E109" s="2" t="str">
        <f>VLOOKUP( Aop!$A109, Aop!$A$2:$N$415, ID_Jezik + 9, 1)</f>
        <v>413, 414</v>
      </c>
      <c r="F109" t="str">
        <f>REPT( "  ", Aop!$C109) &amp; VLOOKUP( Aop!$A109, Aop!$A$2:$N$415, ID_Jezik + 6, 1)</f>
        <v xml:space="preserve">      4. Dugoročni krediti</v>
      </c>
      <c r="G109" t="s">
        <v>1239</v>
      </c>
      <c r="H109" t="s">
        <v>446</v>
      </c>
      <c r="I109" t="s">
        <v>447</v>
      </c>
      <c r="J109" s="267" t="s">
        <v>1149</v>
      </c>
      <c r="K109" s="267" t="s">
        <v>1149</v>
      </c>
      <c r="L109" s="267" t="s">
        <v>1149</v>
      </c>
      <c r="M109" s="10"/>
      <c r="N109" s="10"/>
    </row>
    <row r="110" spans="1:14" x14ac:dyDescent="0.2">
      <c r="A110">
        <f t="shared" si="1"/>
        <v>109</v>
      </c>
      <c r="B110" t="s">
        <v>296</v>
      </c>
      <c r="C110">
        <v>3</v>
      </c>
      <c r="D110">
        <v>141</v>
      </c>
      <c r="E110" s="2" t="str">
        <f>VLOOKUP( Aop!$A110, Aop!$A$2:$N$415, ID_Jezik + 9, 1)</f>
        <v>415, 416</v>
      </c>
      <c r="F110" t="str">
        <f>REPT( "  ", Aop!$C110) &amp; VLOOKUP( Aop!$A110, Aop!$A$2:$N$415, ID_Jezik + 6, 1)</f>
        <v xml:space="preserve">      5. Dugoročne obaveze po finansijskom lizingu</v>
      </c>
      <c r="G110" t="s">
        <v>734</v>
      </c>
      <c r="H110" t="s">
        <v>448</v>
      </c>
      <c r="I110" t="s">
        <v>449</v>
      </c>
      <c r="J110" s="267" t="s">
        <v>1150</v>
      </c>
      <c r="K110" s="267" t="s">
        <v>1150</v>
      </c>
      <c r="L110" s="267" t="s">
        <v>1150</v>
      </c>
      <c r="M110" s="10"/>
      <c r="N110" s="10"/>
    </row>
    <row r="111" spans="1:14" x14ac:dyDescent="0.2">
      <c r="A111">
        <f t="shared" si="1"/>
        <v>110</v>
      </c>
      <c r="B111" t="s">
        <v>296</v>
      </c>
      <c r="C111">
        <v>3</v>
      </c>
      <c r="D111">
        <v>142</v>
      </c>
      <c r="E111" s="2">
        <f>VLOOKUP( Aop!$A111, Aop!$A$2:$N$415, ID_Jezik + 9, 1)</f>
        <v>417</v>
      </c>
      <c r="F111" t="str">
        <f>REPT( "  ", Aop!$C111) &amp; VLOOKUP( Aop!$A111, Aop!$A$2:$N$415, ID_Jezik + 6, 1)</f>
        <v xml:space="preserve">      6. Dugoročne obaveze po fer vrijednosti kroz bilans uspjeha</v>
      </c>
      <c r="G111" t="s">
        <v>735</v>
      </c>
      <c r="H111" t="s">
        <v>450</v>
      </c>
      <c r="I111" t="s">
        <v>451</v>
      </c>
      <c r="J111" s="267">
        <v>417</v>
      </c>
      <c r="K111" s="267">
        <v>417</v>
      </c>
      <c r="L111" s="267">
        <v>417</v>
      </c>
      <c r="M111" s="10"/>
      <c r="N111" s="10"/>
    </row>
    <row r="112" spans="1:14" x14ac:dyDescent="0.2">
      <c r="A112">
        <f t="shared" si="1"/>
        <v>111</v>
      </c>
      <c r="B112" t="s">
        <v>296</v>
      </c>
      <c r="C112">
        <v>3</v>
      </c>
      <c r="D112">
        <v>143</v>
      </c>
      <c r="E112" s="2">
        <f>VLOOKUP( Aop!$A112, Aop!$A$2:$N$415, ID_Jezik + 9, 1)</f>
        <v>419</v>
      </c>
      <c r="F112" t="str">
        <f>REPT( "  ", Aop!$C112) &amp; VLOOKUP( Aop!$A112, Aop!$A$2:$N$415, ID_Jezik + 6, 1)</f>
        <v xml:space="preserve">      7. Ostale dugoročne obaveze</v>
      </c>
      <c r="G112" t="s">
        <v>452</v>
      </c>
      <c r="H112" t="s">
        <v>453</v>
      </c>
      <c r="I112" t="s">
        <v>454</v>
      </c>
      <c r="J112" s="267">
        <v>419</v>
      </c>
      <c r="K112" s="267">
        <v>419</v>
      </c>
      <c r="L112" s="267">
        <v>419</v>
      </c>
      <c r="M112" s="10"/>
      <c r="N112" s="10"/>
    </row>
    <row r="113" spans="1:14" x14ac:dyDescent="0.2">
      <c r="A113">
        <f t="shared" si="1"/>
        <v>112</v>
      </c>
      <c r="B113" t="s">
        <v>296</v>
      </c>
      <c r="C113">
        <v>2</v>
      </c>
      <c r="D113">
        <v>144</v>
      </c>
      <c r="E113" s="2" t="str">
        <f>VLOOKUP( Aop!$A113, Aop!$A$2:$N$415, ID_Jezik + 9, 1)</f>
        <v>42 do 49</v>
      </c>
      <c r="F113" t="str">
        <f>REPT( "  ", Aop!$C113) &amp; VLOOKUP( Aop!$A113, Aop!$A$2:$N$415, ID_Jezik + 6, 1)</f>
        <v xml:space="preserve">    II - KRATKOROČNE OBAVEZE (145 + 150 + 156 + 157 + 158 + 159 + 160 + 161 + 162 + 163)</v>
      </c>
      <c r="G113" t="s">
        <v>455</v>
      </c>
      <c r="H113" t="s">
        <v>456</v>
      </c>
      <c r="I113" t="s">
        <v>457</v>
      </c>
      <c r="J113" s="267" t="s">
        <v>1151</v>
      </c>
      <c r="K113" s="267" t="s">
        <v>1152</v>
      </c>
      <c r="L113" s="267" t="s">
        <v>1153</v>
      </c>
      <c r="M113" s="10">
        <v>1</v>
      </c>
      <c r="N113" s="10"/>
    </row>
    <row r="114" spans="1:14" x14ac:dyDescent="0.2">
      <c r="A114">
        <f t="shared" si="1"/>
        <v>113</v>
      </c>
      <c r="B114" t="s">
        <v>296</v>
      </c>
      <c r="C114">
        <v>3</v>
      </c>
      <c r="D114">
        <v>145</v>
      </c>
      <c r="E114" s="2">
        <f>VLOOKUP( Aop!$A114, Aop!$A$2:$N$415, ID_Jezik + 9, 1)</f>
        <v>42</v>
      </c>
      <c r="F114" t="str">
        <f>REPT( "  ", Aop!$C114) &amp; VLOOKUP( Aop!$A114, Aop!$A$2:$N$415, ID_Jezik + 6, 1)</f>
        <v xml:space="preserve">      1. Kratkoročne finansijske obaveze (146 do 149)</v>
      </c>
      <c r="G114" t="s">
        <v>458</v>
      </c>
      <c r="H114" t="s">
        <v>459</v>
      </c>
      <c r="I114" t="s">
        <v>460</v>
      </c>
      <c r="J114" s="267">
        <v>42</v>
      </c>
      <c r="K114" s="267">
        <v>42</v>
      </c>
      <c r="L114" s="267">
        <v>42</v>
      </c>
      <c r="M114" s="10"/>
      <c r="N114" s="10"/>
    </row>
    <row r="115" spans="1:14" x14ac:dyDescent="0.2">
      <c r="A115">
        <f t="shared" si="1"/>
        <v>114</v>
      </c>
      <c r="B115" t="s">
        <v>296</v>
      </c>
      <c r="C115">
        <v>4</v>
      </c>
      <c r="D115">
        <v>146</v>
      </c>
      <c r="E115" s="2" t="str">
        <f>VLOOKUP( Aop!$A115, Aop!$A$2:$N$415, ID_Jezik + 9, 1)</f>
        <v>420 do 423</v>
      </c>
      <c r="F115" t="str">
        <f>REPT( "  ", Aop!$C115) &amp; VLOOKUP( Aop!$A115, Aop!$A$2:$N$415, ID_Jezik + 6, 1)</f>
        <v xml:space="preserve">        a) Kratkoročni krediti i obaveze po emitovanim kratkoročnim hartijama od vrijednosti</v>
      </c>
      <c r="G115" t="s">
        <v>736</v>
      </c>
      <c r="H115" t="s">
        <v>461</v>
      </c>
      <c r="I115" t="s">
        <v>794</v>
      </c>
      <c r="J115" s="267" t="s">
        <v>1324</v>
      </c>
      <c r="K115" s="267" t="s">
        <v>1154</v>
      </c>
      <c r="L115" s="267" t="s">
        <v>812</v>
      </c>
      <c r="M115" s="10"/>
      <c r="N115" s="10"/>
    </row>
    <row r="116" spans="1:14" x14ac:dyDescent="0.2">
      <c r="A116">
        <f t="shared" si="1"/>
        <v>115</v>
      </c>
      <c r="B116" t="s">
        <v>296</v>
      </c>
      <c r="C116">
        <v>4</v>
      </c>
      <c r="D116">
        <v>147</v>
      </c>
      <c r="E116" s="2" t="str">
        <f>VLOOKUP( Aop!$A116, Aop!$A$2:$N$415, ID_Jezik + 9, 1)</f>
        <v>424, 425</v>
      </c>
      <c r="F116" t="str">
        <f>REPT( "  ", Aop!$C116) &amp; VLOOKUP( Aop!$A116, Aop!$A$2:$N$415, ID_Jezik + 6, 1)</f>
        <v xml:space="preserve">        b) Dio dugoročnih finansijskih obaveza koji za plaćanje dospijeva u periodu do godinu dana</v>
      </c>
      <c r="G116" t="s">
        <v>273</v>
      </c>
      <c r="H116" t="s">
        <v>274</v>
      </c>
      <c r="I116" t="s">
        <v>795</v>
      </c>
      <c r="J116" s="267" t="s">
        <v>1155</v>
      </c>
      <c r="K116" s="267" t="s">
        <v>1155</v>
      </c>
      <c r="L116" s="267" t="s">
        <v>1155</v>
      </c>
      <c r="M116" s="10"/>
      <c r="N116" s="10"/>
    </row>
    <row r="117" spans="1:14" x14ac:dyDescent="0.2">
      <c r="A117">
        <f t="shared" si="1"/>
        <v>116</v>
      </c>
      <c r="B117" t="s">
        <v>296</v>
      </c>
      <c r="C117">
        <v>4</v>
      </c>
      <c r="D117">
        <v>148</v>
      </c>
      <c r="E117" s="2">
        <f>VLOOKUP( Aop!$A117, Aop!$A$2:$N$415, ID_Jezik + 9, 1)</f>
        <v>426</v>
      </c>
      <c r="F117" t="str">
        <f>REPT( "  ", Aop!$C117) &amp; VLOOKUP( Aop!$A117, Aop!$A$2:$N$415, ID_Jezik + 6, 1)</f>
        <v xml:space="preserve">        v) Kratkoročne obaveze po fer vrijednosti kroz bilans uspjeha</v>
      </c>
      <c r="G117" t="s">
        <v>737</v>
      </c>
      <c r="H117" t="s">
        <v>462</v>
      </c>
      <c r="I117" t="s">
        <v>463</v>
      </c>
      <c r="J117" s="267">
        <v>426</v>
      </c>
      <c r="K117" s="267">
        <v>426</v>
      </c>
      <c r="L117" s="267">
        <v>426</v>
      </c>
      <c r="M117" s="10"/>
      <c r="N117" s="10"/>
    </row>
    <row r="118" spans="1:14" x14ac:dyDescent="0.2">
      <c r="A118">
        <f t="shared" si="1"/>
        <v>117</v>
      </c>
      <c r="B118" t="s">
        <v>296</v>
      </c>
      <c r="C118">
        <v>4</v>
      </c>
      <c r="D118">
        <v>149</v>
      </c>
      <c r="E118" s="2">
        <f>VLOOKUP( Aop!$A118, Aop!$A$2:$N$415, ID_Jezik + 9, 1)</f>
        <v>429</v>
      </c>
      <c r="F118" t="str">
        <f>REPT( "  ", Aop!$C118) &amp; VLOOKUP( Aop!$A118, Aop!$A$2:$N$415, ID_Jezik + 6, 1)</f>
        <v xml:space="preserve">        g) Ostale kratkoročne finansijske obaveze</v>
      </c>
      <c r="G118" t="s">
        <v>738</v>
      </c>
      <c r="H118" t="s">
        <v>464</v>
      </c>
      <c r="I118" t="s">
        <v>465</v>
      </c>
      <c r="J118" s="267">
        <v>429</v>
      </c>
      <c r="K118" s="267">
        <v>429</v>
      </c>
      <c r="L118" s="267">
        <v>429</v>
      </c>
      <c r="M118" s="10"/>
      <c r="N118" s="10"/>
    </row>
    <row r="119" spans="1:14" x14ac:dyDescent="0.2">
      <c r="A119">
        <f t="shared" si="1"/>
        <v>118</v>
      </c>
      <c r="B119" t="s">
        <v>296</v>
      </c>
      <c r="C119">
        <v>3</v>
      </c>
      <c r="D119">
        <v>150</v>
      </c>
      <c r="E119" s="2">
        <f>VLOOKUP( Aop!$A119, Aop!$A$2:$N$415, ID_Jezik + 9, 1)</f>
        <v>43</v>
      </c>
      <c r="F119" t="str">
        <f>REPT( "  ", Aop!$C119) &amp; VLOOKUP( Aop!$A119, Aop!$A$2:$N$415, ID_Jezik + 6, 1)</f>
        <v xml:space="preserve">      2. Obaveze iz poslovanja (151 do 155)</v>
      </c>
      <c r="G119" t="s">
        <v>466</v>
      </c>
      <c r="H119" t="s">
        <v>467</v>
      </c>
      <c r="I119" t="s">
        <v>468</v>
      </c>
      <c r="J119" s="267">
        <v>43</v>
      </c>
      <c r="K119" s="267">
        <v>43</v>
      </c>
      <c r="L119" s="267">
        <v>43</v>
      </c>
      <c r="M119" s="10"/>
      <c r="N119" s="10"/>
    </row>
    <row r="120" spans="1:14" x14ac:dyDescent="0.2">
      <c r="A120">
        <f t="shared" si="1"/>
        <v>119</v>
      </c>
      <c r="B120" t="s">
        <v>296</v>
      </c>
      <c r="C120">
        <v>4</v>
      </c>
      <c r="D120">
        <v>151</v>
      </c>
      <c r="E120" s="2">
        <f>VLOOKUP( Aop!$A120, Aop!$A$2:$N$415, ID_Jezik + 9, 1)</f>
        <v>430</v>
      </c>
      <c r="F120" t="str">
        <f>REPT( "  ", Aop!$C120) &amp; VLOOKUP( Aop!$A120, Aop!$A$2:$N$415, ID_Jezik + 6, 1)</f>
        <v xml:space="preserve">        a) Primljeni avansi, depoziti i kaucije</v>
      </c>
      <c r="G120" t="s">
        <v>1317</v>
      </c>
      <c r="H120" t="s">
        <v>469</v>
      </c>
      <c r="I120" t="s">
        <v>798</v>
      </c>
      <c r="J120" s="267">
        <v>430</v>
      </c>
      <c r="K120" s="267">
        <v>430</v>
      </c>
      <c r="L120" s="267">
        <v>430</v>
      </c>
      <c r="M120" s="10"/>
      <c r="N120" s="10"/>
    </row>
    <row r="121" spans="1:14" x14ac:dyDescent="0.2">
      <c r="A121">
        <f t="shared" si="1"/>
        <v>120</v>
      </c>
      <c r="B121" t="s">
        <v>296</v>
      </c>
      <c r="C121">
        <v>4</v>
      </c>
      <c r="D121">
        <v>152</v>
      </c>
      <c r="E121" s="2">
        <f>VLOOKUP( Aop!$A121, Aop!$A$2:$N$415, ID_Jezik + 9, 1)</f>
        <v>431</v>
      </c>
      <c r="F121" t="str">
        <f>REPT( "  ", Aop!$C121) &amp; VLOOKUP( Aop!$A121, Aop!$A$2:$N$415, ID_Jezik + 6, 1)</f>
        <v xml:space="preserve">        b) Dobavljači - povezana pravna lica</v>
      </c>
      <c r="G121" t="s">
        <v>825</v>
      </c>
      <c r="H121" t="s">
        <v>470</v>
      </c>
      <c r="I121" t="s">
        <v>1170</v>
      </c>
      <c r="J121" s="267">
        <v>431</v>
      </c>
      <c r="K121" s="267">
        <v>431</v>
      </c>
      <c r="L121" s="267">
        <v>431</v>
      </c>
      <c r="M121" s="10"/>
      <c r="N121" s="10"/>
    </row>
    <row r="122" spans="1:14" x14ac:dyDescent="0.2">
      <c r="A122">
        <f t="shared" si="1"/>
        <v>121</v>
      </c>
      <c r="B122" t="s">
        <v>296</v>
      </c>
      <c r="C122">
        <v>4</v>
      </c>
      <c r="D122">
        <v>153</v>
      </c>
      <c r="E122" s="2" t="str">
        <f>VLOOKUP( Aop!$A122, Aop!$A$2:$N$415, ID_Jezik + 9, 1)</f>
        <v>432, 433, 434</v>
      </c>
      <c r="F122" t="str">
        <f>REPT( "  ", Aop!$C122) &amp; VLOOKUP( Aop!$A122, Aop!$A$2:$N$415, ID_Jezik + 6, 1)</f>
        <v xml:space="preserve">        v) Dobavljači u zemlji</v>
      </c>
      <c r="G122" t="s">
        <v>471</v>
      </c>
      <c r="H122" t="s">
        <v>472</v>
      </c>
      <c r="I122" t="s">
        <v>473</v>
      </c>
      <c r="J122" s="267" t="s">
        <v>1156</v>
      </c>
      <c r="K122" s="267" t="s">
        <v>1156</v>
      </c>
      <c r="L122" s="267" t="s">
        <v>1156</v>
      </c>
      <c r="M122" s="10"/>
      <c r="N122" s="10"/>
    </row>
    <row r="123" spans="1:14" x14ac:dyDescent="0.2">
      <c r="A123">
        <f t="shared" si="1"/>
        <v>122</v>
      </c>
      <c r="B123" t="s">
        <v>296</v>
      </c>
      <c r="C123">
        <v>4</v>
      </c>
      <c r="D123">
        <v>154</v>
      </c>
      <c r="E123" s="2">
        <f>VLOOKUP( Aop!$A123, Aop!$A$2:$N$415, ID_Jezik + 9, 1)</f>
        <v>435</v>
      </c>
      <c r="F123" t="str">
        <f>REPT( "  ", Aop!$C123) &amp; VLOOKUP( Aop!$A123, Aop!$A$2:$N$415, ID_Jezik + 6, 1)</f>
        <v xml:space="preserve">        g) Dobavljači iz inostranstva</v>
      </c>
      <c r="G123" t="s">
        <v>474</v>
      </c>
      <c r="H123" t="s">
        <v>475</v>
      </c>
      <c r="I123" t="s">
        <v>476</v>
      </c>
      <c r="J123" s="267">
        <v>435</v>
      </c>
      <c r="K123" s="267">
        <v>435</v>
      </c>
      <c r="L123" s="267">
        <v>435</v>
      </c>
      <c r="M123" s="10"/>
      <c r="N123" s="10"/>
    </row>
    <row r="124" spans="1:14" x14ac:dyDescent="0.2">
      <c r="A124">
        <f t="shared" si="1"/>
        <v>123</v>
      </c>
      <c r="B124" t="s">
        <v>296</v>
      </c>
      <c r="C124">
        <v>4</v>
      </c>
      <c r="D124">
        <v>155</v>
      </c>
      <c r="E124" s="2">
        <f>VLOOKUP( Aop!$A124, Aop!$A$2:$N$415, ID_Jezik + 9, 1)</f>
        <v>439</v>
      </c>
      <c r="F124" t="str">
        <f>REPT( "  ", Aop!$C124) &amp; VLOOKUP( Aop!$A124, Aop!$A$2:$N$415, ID_Jezik + 6, 1)</f>
        <v xml:space="preserve">        d) Ostale obaveze iz poslovanja</v>
      </c>
      <c r="G124" t="s">
        <v>477</v>
      </c>
      <c r="H124" t="s">
        <v>478</v>
      </c>
      <c r="I124" t="s">
        <v>479</v>
      </c>
      <c r="J124" s="267">
        <v>439</v>
      </c>
      <c r="K124" s="267">
        <v>439</v>
      </c>
      <c r="L124" s="267">
        <v>439</v>
      </c>
      <c r="M124" s="10"/>
      <c r="N124" s="10"/>
    </row>
    <row r="125" spans="1:14" x14ac:dyDescent="0.2">
      <c r="A125">
        <f t="shared" si="1"/>
        <v>124</v>
      </c>
      <c r="B125" t="s">
        <v>296</v>
      </c>
      <c r="C125">
        <v>3</v>
      </c>
      <c r="D125">
        <v>156</v>
      </c>
      <c r="E125" s="2" t="str">
        <f>VLOOKUP( Aop!$A125, Aop!$A$2:$N$415, ID_Jezik + 9, 1)</f>
        <v>440 do 449</v>
      </c>
      <c r="F125" t="str">
        <f>REPT( "  ", Aop!$C125) &amp; VLOOKUP( Aop!$A125, Aop!$A$2:$N$415, ID_Jezik + 6, 1)</f>
        <v xml:space="preserve">      3. Obaveze iz specifičnih poslova</v>
      </c>
      <c r="G125" t="s">
        <v>741</v>
      </c>
      <c r="H125" t="s">
        <v>480</v>
      </c>
      <c r="I125" t="s">
        <v>481</v>
      </c>
      <c r="J125" s="267" t="s">
        <v>1325</v>
      </c>
      <c r="K125" s="267" t="s">
        <v>1157</v>
      </c>
      <c r="L125" s="267" t="s">
        <v>813</v>
      </c>
      <c r="M125" s="10"/>
      <c r="N125" s="10"/>
    </row>
    <row r="126" spans="1:14" x14ac:dyDescent="0.2">
      <c r="A126">
        <f t="shared" si="1"/>
        <v>125</v>
      </c>
      <c r="B126" t="s">
        <v>296</v>
      </c>
      <c r="C126">
        <v>3</v>
      </c>
      <c r="D126">
        <v>157</v>
      </c>
      <c r="E126" s="2" t="str">
        <f>VLOOKUP( Aop!$A126, Aop!$A$2:$N$415, ID_Jezik + 9, 1)</f>
        <v>450 do 458</v>
      </c>
      <c r="F126" t="str">
        <f>REPT( "  ", Aop!$C126) &amp; VLOOKUP( Aop!$A126, Aop!$A$2:$N$415, ID_Jezik + 6, 1)</f>
        <v xml:space="preserve">      4. Obaveze za zarade i naknade zarada</v>
      </c>
      <c r="G126" t="s">
        <v>1318</v>
      </c>
      <c r="H126" t="s">
        <v>482</v>
      </c>
      <c r="I126" t="s">
        <v>483</v>
      </c>
      <c r="J126" s="267" t="s">
        <v>1326</v>
      </c>
      <c r="K126" s="267" t="s">
        <v>1158</v>
      </c>
      <c r="L126" s="267" t="s">
        <v>814</v>
      </c>
      <c r="M126" s="10"/>
      <c r="N126" s="10"/>
    </row>
    <row r="127" spans="1:14" x14ac:dyDescent="0.2">
      <c r="A127">
        <f t="shared" si="1"/>
        <v>126</v>
      </c>
      <c r="B127" t="s">
        <v>296</v>
      </c>
      <c r="C127">
        <v>3</v>
      </c>
      <c r="D127">
        <v>158</v>
      </c>
      <c r="E127" s="2" t="str">
        <f>VLOOKUP( Aop!$A127, Aop!$A$2:$N$415, ID_Jezik + 9, 1)</f>
        <v>460 do 469</v>
      </c>
      <c r="F127" t="str">
        <f>REPT( "  ", Aop!$C127) &amp; VLOOKUP( Aop!$A127, Aop!$A$2:$N$415, ID_Jezik + 6, 1)</f>
        <v xml:space="preserve">      5. Druge obaveze</v>
      </c>
      <c r="G127" t="s">
        <v>1319</v>
      </c>
      <c r="H127" t="s">
        <v>484</v>
      </c>
      <c r="I127" t="s">
        <v>485</v>
      </c>
      <c r="J127" s="267" t="s">
        <v>1327</v>
      </c>
      <c r="K127" s="267" t="s">
        <v>0</v>
      </c>
      <c r="L127" s="267" t="s">
        <v>815</v>
      </c>
      <c r="M127" s="10"/>
      <c r="N127" s="10"/>
    </row>
    <row r="128" spans="1:14" x14ac:dyDescent="0.2">
      <c r="A128">
        <f t="shared" si="1"/>
        <v>127</v>
      </c>
      <c r="B128" t="s">
        <v>296</v>
      </c>
      <c r="C128">
        <v>3</v>
      </c>
      <c r="D128">
        <v>159</v>
      </c>
      <c r="E128" s="2" t="str">
        <f>VLOOKUP( Aop!$A128, Aop!$A$2:$N$415, ID_Jezik + 9, 1)</f>
        <v>470 do 479</v>
      </c>
      <c r="F128" t="str">
        <f>REPT( "  ", Aop!$C128) &amp; VLOOKUP( Aop!$A128, Aop!$A$2:$N$415, ID_Jezik + 6, 1)</f>
        <v xml:space="preserve">      6. Porez na dodatu vrijednost</v>
      </c>
      <c r="G128" t="s">
        <v>1320</v>
      </c>
      <c r="H128" t="s">
        <v>486</v>
      </c>
      <c r="I128" t="s">
        <v>487</v>
      </c>
      <c r="J128" s="267" t="s">
        <v>1328</v>
      </c>
      <c r="K128" s="267" t="s">
        <v>1</v>
      </c>
      <c r="L128" s="267" t="s">
        <v>816</v>
      </c>
      <c r="M128" s="10"/>
      <c r="N128" s="10"/>
    </row>
    <row r="129" spans="1:14" x14ac:dyDescent="0.2">
      <c r="A129">
        <f t="shared" si="1"/>
        <v>128</v>
      </c>
      <c r="B129" t="s">
        <v>296</v>
      </c>
      <c r="C129">
        <v>3</v>
      </c>
      <c r="D129">
        <v>160</v>
      </c>
      <c r="E129" s="2" t="str">
        <f>VLOOKUP( Aop!$A129, Aop!$A$2:$N$415, ID_Jezik + 9, 1)</f>
        <v>48, osim 481</v>
      </c>
      <c r="F129" t="str">
        <f>REPT( "  ", Aop!$C129) &amp; VLOOKUP( Aop!$A129, Aop!$A$2:$N$415, ID_Jezik + 6, 1)</f>
        <v xml:space="preserve">      7. Obaveze za ostale poreze, doprinose i druge dažbine</v>
      </c>
      <c r="G129" t="s">
        <v>1321</v>
      </c>
      <c r="H129" t="s">
        <v>488</v>
      </c>
      <c r="I129" t="s">
        <v>489</v>
      </c>
      <c r="J129" s="267" t="s">
        <v>2</v>
      </c>
      <c r="K129" s="267" t="s">
        <v>3</v>
      </c>
      <c r="L129" s="267" t="s">
        <v>4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296</v>
      </c>
      <c r="C130">
        <v>3</v>
      </c>
      <c r="D130">
        <v>161</v>
      </c>
      <c r="E130" s="2">
        <f>VLOOKUP( Aop!$A130, Aop!$A$2:$N$415, ID_Jezik + 9, 1)</f>
        <v>481</v>
      </c>
      <c r="F130" t="str">
        <f>REPT( "  ", Aop!$C130) &amp; VLOOKUP( Aop!$A130, Aop!$A$2:$N$415, ID_Jezik + 6, 1)</f>
        <v xml:space="preserve">      8. Obaveze za porez na dobitak</v>
      </c>
      <c r="G130" t="s">
        <v>1322</v>
      </c>
      <c r="H130" t="s">
        <v>490</v>
      </c>
      <c r="I130" t="s">
        <v>491</v>
      </c>
      <c r="J130" s="267">
        <v>481</v>
      </c>
      <c r="K130" s="267">
        <v>481</v>
      </c>
      <c r="L130" s="267">
        <v>481</v>
      </c>
      <c r="M130" s="10"/>
      <c r="N130" s="10"/>
    </row>
    <row r="131" spans="1:14" x14ac:dyDescent="0.2">
      <c r="A131">
        <f t="shared" si="2"/>
        <v>130</v>
      </c>
      <c r="B131" t="s">
        <v>296</v>
      </c>
      <c r="C131">
        <v>3</v>
      </c>
      <c r="D131">
        <v>162</v>
      </c>
      <c r="E131" s="2" t="str">
        <f>VLOOKUP( Aop!$A131, Aop!$A$2:$N$415, ID_Jezik + 9, 1)</f>
        <v>49, osim 495</v>
      </c>
      <c r="F131" t="str">
        <f>REPT( "  ", Aop!$C131) &amp; VLOOKUP( Aop!$A131, Aop!$A$2:$N$415, ID_Jezik + 6, 1)</f>
        <v xml:space="preserve">      9. Pasivna vremenska razgraničenja i kratkoročna rezervisanja</v>
      </c>
      <c r="G131" t="s">
        <v>492</v>
      </c>
      <c r="H131" t="s">
        <v>493</v>
      </c>
      <c r="I131" t="s">
        <v>494</v>
      </c>
      <c r="J131" s="267" t="s">
        <v>1329</v>
      </c>
      <c r="K131" s="267" t="s">
        <v>5</v>
      </c>
      <c r="L131" s="267" t="s">
        <v>818</v>
      </c>
      <c r="M131" s="10"/>
      <c r="N131" s="10"/>
    </row>
    <row r="132" spans="1:14" x14ac:dyDescent="0.2">
      <c r="A132">
        <f t="shared" si="2"/>
        <v>131</v>
      </c>
      <c r="B132" t="s">
        <v>296</v>
      </c>
      <c r="C132">
        <v>3</v>
      </c>
      <c r="D132">
        <v>163</v>
      </c>
      <c r="E132" s="2">
        <f>VLOOKUP( Aop!$A132, Aop!$A$2:$N$415, ID_Jezik + 9, 1)</f>
        <v>495</v>
      </c>
      <c r="F132" t="str">
        <f>REPT( "  ", Aop!$C132) &amp; VLOOKUP( Aop!$A132, Aop!$A$2:$N$415, ID_Jezik + 6, 1)</f>
        <v xml:space="preserve">      10. Odložene poreske obaveze</v>
      </c>
      <c r="G132" t="s">
        <v>739</v>
      </c>
      <c r="H132" t="s">
        <v>495</v>
      </c>
      <c r="I132" t="s">
        <v>496</v>
      </c>
      <c r="J132" s="267">
        <v>495</v>
      </c>
      <c r="K132" s="267">
        <v>495</v>
      </c>
      <c r="L132" s="267">
        <v>495</v>
      </c>
      <c r="M132" s="10"/>
      <c r="N132" s="10"/>
    </row>
    <row r="133" spans="1:14" x14ac:dyDescent="0.2">
      <c r="A133">
        <f t="shared" si="2"/>
        <v>132</v>
      </c>
      <c r="B133" t="s">
        <v>296</v>
      </c>
      <c r="C133">
        <v>1</v>
      </c>
      <c r="D133">
        <v>164</v>
      </c>
      <c r="E133" s="2">
        <f>VLOOKUP( Aop!$A133, Aop!$A$2:$N$415, ID_Jezik + 9, 1)</f>
        <v>0</v>
      </c>
      <c r="F133" t="str">
        <f>REPT( "  ", Aop!$C133) &amp; VLOOKUP( Aop!$A133, Aop!$A$2:$N$415, ID_Jezik + 6, 1)</f>
        <v xml:space="preserve">  G. POSLOVNA PASIVA (101 + 126 + 135)</v>
      </c>
      <c r="G133" t="s">
        <v>497</v>
      </c>
      <c r="H133" t="s">
        <v>498</v>
      </c>
      <c r="I133" t="s">
        <v>499</v>
      </c>
      <c r="J133" s="267"/>
      <c r="K133" s="267"/>
      <c r="L133" s="267"/>
      <c r="M133" s="10">
        <v>1</v>
      </c>
      <c r="N133" s="10"/>
    </row>
    <row r="134" spans="1:14" x14ac:dyDescent="0.2">
      <c r="A134">
        <f t="shared" si="2"/>
        <v>133</v>
      </c>
      <c r="B134" t="s">
        <v>296</v>
      </c>
      <c r="C134">
        <v>1</v>
      </c>
      <c r="D134">
        <v>165</v>
      </c>
      <c r="E134" s="2" t="str">
        <f>VLOOKUP( Aop!$A134, Aop!$A$2:$N$415, ID_Jezik + 9, 1)</f>
        <v>890 do 898</v>
      </c>
      <c r="F134" t="str">
        <f>REPT( "  ", Aop!$C134) &amp; VLOOKUP( Aop!$A134, Aop!$A$2:$N$415, ID_Jezik + 6, 1)</f>
        <v xml:space="preserve">  D. VANBILANSNA PASIVA</v>
      </c>
      <c r="G134" t="s">
        <v>740</v>
      </c>
      <c r="H134" t="s">
        <v>500</v>
      </c>
      <c r="I134" t="s">
        <v>833</v>
      </c>
      <c r="J134" s="267" t="s">
        <v>1330</v>
      </c>
      <c r="K134" s="267" t="s">
        <v>6</v>
      </c>
      <c r="L134" s="267" t="s">
        <v>817</v>
      </c>
      <c r="M134" s="10">
        <v>1</v>
      </c>
      <c r="N134" s="10"/>
    </row>
    <row r="135" spans="1:14" x14ac:dyDescent="0.2">
      <c r="A135">
        <f t="shared" si="2"/>
        <v>134</v>
      </c>
      <c r="B135" t="s">
        <v>296</v>
      </c>
      <c r="C135">
        <v>1</v>
      </c>
      <c r="D135">
        <v>166</v>
      </c>
      <c r="E135" s="2">
        <f>VLOOKUP( Aop!$A135, Aop!$A$2:$N$415, ID_Jezik + 9, 1)</f>
        <v>0</v>
      </c>
      <c r="F135" t="str">
        <f>REPT( "  ", Aop!$C135) &amp; VLOOKUP( Aop!$A135, Aop!$A$2:$N$415, ID_Jezik + 6, 1)</f>
        <v xml:space="preserve">  Đ. UKUPNA PASIVA (164 + 165)</v>
      </c>
      <c r="G135" t="s">
        <v>501</v>
      </c>
      <c r="H135" t="s">
        <v>502</v>
      </c>
      <c r="I135" t="s">
        <v>503</v>
      </c>
      <c r="J135" s="267"/>
      <c r="K135" s="267"/>
      <c r="L135" s="267"/>
      <c r="M135" s="10">
        <v>1</v>
      </c>
      <c r="N135" s="10"/>
    </row>
    <row r="136" spans="1:14" x14ac:dyDescent="0.2">
      <c r="A136">
        <f t="shared" si="2"/>
        <v>135</v>
      </c>
      <c r="B136" t="s">
        <v>1497</v>
      </c>
      <c r="C136">
        <v>0</v>
      </c>
      <c r="E136" s="2">
        <f>VLOOKUP( Aop!$A136, Aop!$A$2:$N$415, ID_Jezik + 9, 1)</f>
        <v>0</v>
      </c>
      <c r="F136" t="str">
        <f>REPT( "  ", Aop!$C136) &amp; VLOOKUP( Aop!$A136, Aop!$A$2:$N$415, ID_Jezik + 6, 1)</f>
        <v>A. POSLOVNI PRIHODI I RASHODI</v>
      </c>
      <c r="G136" t="s">
        <v>742</v>
      </c>
      <c r="H136" t="s">
        <v>504</v>
      </c>
      <c r="I136" t="s">
        <v>1171</v>
      </c>
      <c r="J136" s="267"/>
      <c r="K136" s="267"/>
      <c r="L136" s="267"/>
      <c r="M136" s="10">
        <v>1</v>
      </c>
      <c r="N136" s="10"/>
    </row>
    <row r="137" spans="1:14" x14ac:dyDescent="0.2">
      <c r="A137">
        <f t="shared" si="2"/>
        <v>136</v>
      </c>
      <c r="B137" t="s">
        <v>1497</v>
      </c>
      <c r="C137">
        <v>2</v>
      </c>
      <c r="D137">
        <v>201</v>
      </c>
      <c r="E137" s="2">
        <f>VLOOKUP( Aop!$A137, Aop!$A$2:$N$415, ID_Jezik + 9, 1)</f>
        <v>0</v>
      </c>
      <c r="F137" t="str">
        <f>REPT( "  ", Aop!$C137) &amp; VLOOKUP( Aop!$A137, Aop!$A$2:$N$415, ID_Jezik + 6, 1)</f>
        <v xml:space="preserve">    I - POSLOVNI PRIHODI (202 + 206 + 210 + 211 - 212 + 213 - 214 + 215)</v>
      </c>
      <c r="G137" t="s">
        <v>505</v>
      </c>
      <c r="H137" t="s">
        <v>506</v>
      </c>
      <c r="I137" t="s">
        <v>507</v>
      </c>
      <c r="J137" s="267"/>
      <c r="K137" s="267"/>
      <c r="L137" s="267"/>
      <c r="M137" s="10">
        <v>1</v>
      </c>
      <c r="N137" s="10"/>
    </row>
    <row r="138" spans="1:14" x14ac:dyDescent="0.2">
      <c r="A138">
        <f t="shared" si="2"/>
        <v>137</v>
      </c>
      <c r="B138" t="s">
        <v>1497</v>
      </c>
      <c r="C138">
        <v>3</v>
      </c>
      <c r="D138">
        <v>202</v>
      </c>
      <c r="E138" s="2">
        <f>VLOOKUP( Aop!$A138, Aop!$A$2:$N$415, ID_Jezik + 9, 1)</f>
        <v>60</v>
      </c>
      <c r="F138" t="str">
        <f>REPT( "  ", Aop!$C138) &amp; VLOOKUP( Aop!$A138, Aop!$A$2:$N$415, ID_Jezik + 6, 1)</f>
        <v xml:space="preserve">      1. Prihodi od prodaje robe (203 do 205)</v>
      </c>
      <c r="G138" t="s">
        <v>1211</v>
      </c>
      <c r="H138" t="s">
        <v>508</v>
      </c>
      <c r="I138" t="s">
        <v>509</v>
      </c>
      <c r="J138" s="267">
        <v>60</v>
      </c>
      <c r="K138" s="267">
        <v>60</v>
      </c>
      <c r="L138" s="267">
        <v>60</v>
      </c>
      <c r="M138" s="10"/>
      <c r="N138" s="10"/>
    </row>
    <row r="139" spans="1:14" x14ac:dyDescent="0.2">
      <c r="A139">
        <f t="shared" si="2"/>
        <v>138</v>
      </c>
      <c r="B139" t="s">
        <v>1497</v>
      </c>
      <c r="C139">
        <v>4</v>
      </c>
      <c r="D139">
        <v>203</v>
      </c>
      <c r="E139" s="2">
        <f>VLOOKUP( Aop!$A139, Aop!$A$2:$N$415, ID_Jezik + 9, 1)</f>
        <v>600</v>
      </c>
      <c r="F139" t="str">
        <f>REPT( "  ", Aop!$C139) &amp; VLOOKUP( Aop!$A139, Aop!$A$2:$N$415, ID_Jezik + 6, 1)</f>
        <v xml:space="preserve">        a) Prihodi od prodaje robe povezanim pravnim licima</v>
      </c>
      <c r="G139" t="s">
        <v>1212</v>
      </c>
      <c r="H139" t="s">
        <v>510</v>
      </c>
      <c r="I139" t="s">
        <v>1172</v>
      </c>
      <c r="J139" s="267">
        <v>600</v>
      </c>
      <c r="K139" s="267">
        <v>600</v>
      </c>
      <c r="L139" s="267">
        <v>600</v>
      </c>
      <c r="M139" s="10"/>
      <c r="N139" s="10"/>
    </row>
    <row r="140" spans="1:14" x14ac:dyDescent="0.2">
      <c r="A140">
        <f t="shared" si="2"/>
        <v>139</v>
      </c>
      <c r="B140" t="s">
        <v>1497</v>
      </c>
      <c r="C140">
        <v>4</v>
      </c>
      <c r="D140">
        <v>204</v>
      </c>
      <c r="E140" s="2" t="str">
        <f>VLOOKUP( Aop!$A140, Aop!$A$2:$N$415, ID_Jezik + 9, 1)</f>
        <v>601, 602, 603</v>
      </c>
      <c r="F140" t="str">
        <f>REPT( "  ", Aop!$C140) &amp; VLOOKUP( Aop!$A140, Aop!$A$2:$N$415, ID_Jezik + 6, 1)</f>
        <v xml:space="preserve">        b) Prihodi od prodaje robe na domaćem tržištu</v>
      </c>
      <c r="G140" t="s">
        <v>1213</v>
      </c>
      <c r="H140" t="s">
        <v>511</v>
      </c>
      <c r="I140" t="s">
        <v>1189</v>
      </c>
      <c r="J140" s="267" t="s">
        <v>7</v>
      </c>
      <c r="K140" s="267" t="s">
        <v>7</v>
      </c>
      <c r="L140" s="267" t="s">
        <v>7</v>
      </c>
      <c r="M140" s="10"/>
      <c r="N140" s="10"/>
    </row>
    <row r="141" spans="1:14" x14ac:dyDescent="0.2">
      <c r="A141">
        <f t="shared" si="2"/>
        <v>140</v>
      </c>
      <c r="B141" t="s">
        <v>1497</v>
      </c>
      <c r="C141">
        <v>4</v>
      </c>
      <c r="D141">
        <v>205</v>
      </c>
      <c r="E141" s="2">
        <f>VLOOKUP( Aop!$A141, Aop!$A$2:$N$415, ID_Jezik + 9, 1)</f>
        <v>604</v>
      </c>
      <c r="F141" t="str">
        <f>REPT( "  ", Aop!$C141) &amp; VLOOKUP( Aop!$A141, Aop!$A$2:$N$415, ID_Jezik + 6, 1)</f>
        <v xml:space="preserve">        v) Prihodi od prodaje robe na inostranom tržištu</v>
      </c>
      <c r="G141" t="s">
        <v>1214</v>
      </c>
      <c r="H141" t="s">
        <v>512</v>
      </c>
      <c r="I141" t="s">
        <v>513</v>
      </c>
      <c r="J141" s="267">
        <v>604</v>
      </c>
      <c r="K141" s="267">
        <v>604</v>
      </c>
      <c r="L141" s="267">
        <v>604</v>
      </c>
      <c r="M141" s="10"/>
      <c r="N141" s="10"/>
    </row>
    <row r="142" spans="1:14" x14ac:dyDescent="0.2">
      <c r="A142">
        <f t="shared" si="2"/>
        <v>141</v>
      </c>
      <c r="B142" t="s">
        <v>1497</v>
      </c>
      <c r="C142">
        <v>3</v>
      </c>
      <c r="D142">
        <v>206</v>
      </c>
      <c r="E142" s="2">
        <f>VLOOKUP( Aop!$A142, Aop!$A$2:$N$415, ID_Jezik + 9, 1)</f>
        <v>61</v>
      </c>
      <c r="F142" t="str">
        <f>REPT( "  ", Aop!$C142) &amp; VLOOKUP( Aop!$A142, Aop!$A$2:$N$415, ID_Jezik + 6, 1)</f>
        <v xml:space="preserve">      2. Prihodi od prodaje učinaka (207 do 209)</v>
      </c>
      <c r="G142" t="s">
        <v>752</v>
      </c>
      <c r="H142" t="s">
        <v>514</v>
      </c>
      <c r="I142" t="s">
        <v>515</v>
      </c>
      <c r="J142" s="267">
        <v>61</v>
      </c>
      <c r="K142" s="267">
        <v>61</v>
      </c>
      <c r="L142" s="267">
        <v>61</v>
      </c>
      <c r="M142" s="10"/>
      <c r="N142" s="10"/>
    </row>
    <row r="143" spans="1:14" x14ac:dyDescent="0.2">
      <c r="A143">
        <f t="shared" si="2"/>
        <v>142</v>
      </c>
      <c r="B143" t="s">
        <v>1497</v>
      </c>
      <c r="C143">
        <v>4</v>
      </c>
      <c r="D143">
        <v>207</v>
      </c>
      <c r="E143" s="2">
        <f>VLOOKUP( Aop!$A143, Aop!$A$2:$N$415, ID_Jezik + 9, 1)</f>
        <v>610</v>
      </c>
      <c r="F143" t="str">
        <f>REPT( "  ", Aop!$C143) &amp; VLOOKUP( Aop!$A143, Aop!$A$2:$N$415, ID_Jezik + 6, 1)</f>
        <v xml:space="preserve">        a) Prihodi od prodaje učinaka povezanim pravnim licima</v>
      </c>
      <c r="G143" t="s">
        <v>753</v>
      </c>
      <c r="H143" t="s">
        <v>516</v>
      </c>
      <c r="I143" t="s">
        <v>1173</v>
      </c>
      <c r="J143" s="267">
        <v>610</v>
      </c>
      <c r="K143" s="267">
        <v>610</v>
      </c>
      <c r="L143" s="267">
        <v>610</v>
      </c>
      <c r="M143" s="10"/>
      <c r="N143" s="10"/>
    </row>
    <row r="144" spans="1:14" x14ac:dyDescent="0.2">
      <c r="A144">
        <f t="shared" si="2"/>
        <v>143</v>
      </c>
      <c r="B144" t="s">
        <v>1497</v>
      </c>
      <c r="C144">
        <v>4</v>
      </c>
      <c r="D144">
        <v>208</v>
      </c>
      <c r="E144" s="2" t="str">
        <f>VLOOKUP( Aop!$A144, Aop!$A$2:$N$415, ID_Jezik + 9, 1)</f>
        <v>611, 612, 613</v>
      </c>
      <c r="F144" t="str">
        <f>REPT( "  ", Aop!$C144) &amp; VLOOKUP( Aop!$A144, Aop!$A$2:$N$415, ID_Jezik + 6, 1)</f>
        <v xml:space="preserve">        b) Prihodi od prodaje učinaka na domaćem tržištu</v>
      </c>
      <c r="G144" t="s">
        <v>754</v>
      </c>
      <c r="H144" t="s">
        <v>517</v>
      </c>
      <c r="I144" t="s">
        <v>868</v>
      </c>
      <c r="J144" s="267" t="s">
        <v>8</v>
      </c>
      <c r="K144" s="267" t="s">
        <v>8</v>
      </c>
      <c r="L144" s="267" t="s">
        <v>8</v>
      </c>
      <c r="M144" s="10"/>
      <c r="N144" s="10"/>
    </row>
    <row r="145" spans="1:14" x14ac:dyDescent="0.2">
      <c r="A145">
        <f t="shared" si="2"/>
        <v>144</v>
      </c>
      <c r="B145" t="s">
        <v>1497</v>
      </c>
      <c r="C145">
        <v>4</v>
      </c>
      <c r="D145">
        <v>209</v>
      </c>
      <c r="E145" s="2">
        <f>VLOOKUP( Aop!$A145, Aop!$A$2:$N$415, ID_Jezik + 9, 1)</f>
        <v>614</v>
      </c>
      <c r="F145" t="str">
        <f>REPT( "  ", Aop!$C145) &amp; VLOOKUP( Aop!$A145, Aop!$A$2:$N$415, ID_Jezik + 6, 1)</f>
        <v xml:space="preserve">        v) Prihodi od prodaje učinaka na inostranom tržištu</v>
      </c>
      <c r="G145" t="s">
        <v>756</v>
      </c>
      <c r="H145" t="s">
        <v>518</v>
      </c>
      <c r="I145" t="s">
        <v>519</v>
      </c>
      <c r="J145" s="267">
        <v>614</v>
      </c>
      <c r="K145" s="267">
        <v>614</v>
      </c>
      <c r="L145" s="267">
        <v>614</v>
      </c>
      <c r="M145" s="10"/>
      <c r="N145" s="10"/>
    </row>
    <row r="146" spans="1:14" x14ac:dyDescent="0.2">
      <c r="A146">
        <f t="shared" si="2"/>
        <v>145</v>
      </c>
      <c r="B146" t="s">
        <v>1497</v>
      </c>
      <c r="C146">
        <v>3</v>
      </c>
      <c r="D146">
        <v>210</v>
      </c>
      <c r="E146" s="2">
        <f>VLOOKUP( Aop!$A146, Aop!$A$2:$N$415, ID_Jezik + 9, 1)</f>
        <v>62</v>
      </c>
      <c r="F146" t="str">
        <f>REPT( "  ", Aop!$C146) &amp; VLOOKUP( Aop!$A146, Aop!$A$2:$N$415, ID_Jezik + 6, 1)</f>
        <v xml:space="preserve">      3. Prihodi od aktiviranja ili potrošnje robe i učinaka</v>
      </c>
      <c r="G146" t="s">
        <v>790</v>
      </c>
      <c r="H146" t="s">
        <v>520</v>
      </c>
      <c r="I146" t="s">
        <v>521</v>
      </c>
      <c r="J146" s="267">
        <v>62</v>
      </c>
      <c r="K146" s="267">
        <v>62</v>
      </c>
      <c r="L146" s="267">
        <v>62</v>
      </c>
      <c r="M146" s="10"/>
      <c r="N146" s="10"/>
    </row>
    <row r="147" spans="1:14" x14ac:dyDescent="0.2">
      <c r="A147">
        <f t="shared" si="2"/>
        <v>146</v>
      </c>
      <c r="B147" t="s">
        <v>1497</v>
      </c>
      <c r="C147">
        <v>3</v>
      </c>
      <c r="D147">
        <v>211</v>
      </c>
      <c r="E147" s="2">
        <f>VLOOKUP( Aop!$A147, Aop!$A$2:$N$415, ID_Jezik + 9, 1)</f>
        <v>630</v>
      </c>
      <c r="F147" t="str">
        <f>REPT( "  ", Aop!$C147) &amp; VLOOKUP( Aop!$A147, Aop!$A$2:$N$415, ID_Jezik + 6, 1)</f>
        <v xml:space="preserve">      4. Povećanje vrijednosti zaliha učinaka</v>
      </c>
      <c r="G147" t="s">
        <v>176</v>
      </c>
      <c r="H147" t="s">
        <v>178</v>
      </c>
      <c r="I147" t="s">
        <v>522</v>
      </c>
      <c r="J147" s="267">
        <v>630</v>
      </c>
      <c r="K147" s="267">
        <v>630</v>
      </c>
      <c r="L147" s="267">
        <v>630</v>
      </c>
      <c r="M147" s="10"/>
      <c r="N147" s="10"/>
    </row>
    <row r="148" spans="1:14" x14ac:dyDescent="0.2">
      <c r="A148">
        <f t="shared" si="2"/>
        <v>147</v>
      </c>
      <c r="B148" t="s">
        <v>1497</v>
      </c>
      <c r="C148">
        <v>3</v>
      </c>
      <c r="D148">
        <v>212</v>
      </c>
      <c r="E148" s="2">
        <f>VLOOKUP( Aop!$A148, Aop!$A$2:$N$415, ID_Jezik + 9, 1)</f>
        <v>631</v>
      </c>
      <c r="F148" t="str">
        <f>REPT( "  ", Aop!$C148) &amp; VLOOKUP( Aop!$A148, Aop!$A$2:$N$415, ID_Jezik + 6, 1)</f>
        <v xml:space="preserve">      5. Smanjenje vrijednosti zaliha učinaka</v>
      </c>
      <c r="G148" t="s">
        <v>755</v>
      </c>
      <c r="H148" t="s">
        <v>523</v>
      </c>
      <c r="I148" t="s">
        <v>524</v>
      </c>
      <c r="J148" s="267">
        <v>631</v>
      </c>
      <c r="K148" s="267">
        <v>631</v>
      </c>
      <c r="L148" s="267">
        <v>631</v>
      </c>
      <c r="M148" s="10"/>
      <c r="N148" s="10"/>
    </row>
    <row r="149" spans="1:14" x14ac:dyDescent="0.2">
      <c r="A149">
        <f t="shared" si="2"/>
        <v>148</v>
      </c>
      <c r="B149" t="s">
        <v>1497</v>
      </c>
      <c r="C149">
        <v>3</v>
      </c>
      <c r="D149">
        <v>213</v>
      </c>
      <c r="E149" s="2" t="str">
        <f>VLOOKUP( Aop!$A149, Aop!$A$2:$N$415, ID_Jezik + 9, 1)</f>
        <v>640, 641</v>
      </c>
      <c r="F149" t="str">
        <f>REPT( "  ", Aop!$C149) &amp; VLOOKUP( Aop!$A149, Aop!$A$2:$N$415, ID_Jezik + 6, 1)</f>
        <v xml:space="preserve">      6. Povećanje vrijednosti investicionih nekretnina i bioloških sredstava koja se ne amortizuju</v>
      </c>
      <c r="G149" t="s">
        <v>177</v>
      </c>
      <c r="H149" t="s">
        <v>179</v>
      </c>
      <c r="I149" t="s">
        <v>525</v>
      </c>
      <c r="J149" s="267" t="s">
        <v>9</v>
      </c>
      <c r="K149" s="267" t="s">
        <v>9</v>
      </c>
      <c r="L149" s="267" t="s">
        <v>9</v>
      </c>
      <c r="M149" s="10"/>
      <c r="N149" s="10"/>
    </row>
    <row r="150" spans="1:14" x14ac:dyDescent="0.2">
      <c r="A150">
        <f t="shared" si="2"/>
        <v>149</v>
      </c>
      <c r="B150" t="s">
        <v>1497</v>
      </c>
      <c r="C150">
        <v>3</v>
      </c>
      <c r="D150">
        <v>214</v>
      </c>
      <c r="E150" s="2" t="str">
        <f>VLOOKUP( Aop!$A150, Aop!$A$2:$N$415, ID_Jezik + 9, 1)</f>
        <v>642, 643</v>
      </c>
      <c r="F150" t="str">
        <f>REPT( "  ", Aop!$C150) &amp; VLOOKUP( Aop!$A150, Aop!$A$2:$N$415, ID_Jezik + 6, 1)</f>
        <v xml:space="preserve">      7. Smanjenje vrijednosti investicionih nekretnina i bioloških sredstava koja se ne amortizuju</v>
      </c>
      <c r="G150" t="s">
        <v>751</v>
      </c>
      <c r="H150" t="s">
        <v>526</v>
      </c>
      <c r="I150" t="s">
        <v>527</v>
      </c>
      <c r="J150" s="267" t="s">
        <v>10</v>
      </c>
      <c r="K150" s="267" t="s">
        <v>10</v>
      </c>
      <c r="L150" s="267" t="s">
        <v>10</v>
      </c>
      <c r="M150" s="10"/>
      <c r="N150" s="10"/>
    </row>
    <row r="151" spans="1:14" x14ac:dyDescent="0.2">
      <c r="A151">
        <f t="shared" si="2"/>
        <v>150</v>
      </c>
      <c r="B151" t="s">
        <v>1497</v>
      </c>
      <c r="C151">
        <v>3</v>
      </c>
      <c r="D151">
        <v>215</v>
      </c>
      <c r="E151" s="2" t="str">
        <f>VLOOKUP( Aop!$A151, Aop!$A$2:$N$415, ID_Jezik + 9, 1)</f>
        <v>650 do 659</v>
      </c>
      <c r="F151" t="str">
        <f>REPT( "  ", Aop!$C151) &amp; VLOOKUP( Aop!$A151, Aop!$A$2:$N$415, ID_Jezik + 6, 1)</f>
        <v xml:space="preserve">      8. Ostali poslovni prihodi</v>
      </c>
      <c r="G151" t="s">
        <v>744</v>
      </c>
      <c r="H151" t="s">
        <v>528</v>
      </c>
      <c r="I151" t="s">
        <v>529</v>
      </c>
      <c r="J151" s="267" t="s">
        <v>743</v>
      </c>
      <c r="K151" s="267" t="s">
        <v>11</v>
      </c>
      <c r="L151" s="267" t="s">
        <v>819</v>
      </c>
      <c r="M151" s="10"/>
      <c r="N151" s="10"/>
    </row>
    <row r="152" spans="1:14" x14ac:dyDescent="0.2">
      <c r="A152">
        <f t="shared" si="2"/>
        <v>151</v>
      </c>
      <c r="B152" t="s">
        <v>1497</v>
      </c>
      <c r="C152">
        <v>2</v>
      </c>
      <c r="D152">
        <v>216</v>
      </c>
      <c r="E152" s="2">
        <f>VLOOKUP( Aop!$A152, Aop!$A$2:$N$415, ID_Jezik + 9, 1)</f>
        <v>0</v>
      </c>
      <c r="F152" t="str">
        <f>REPT( "  ", Aop!$C152) &amp; VLOOKUP( Aop!$A152, Aop!$A$2:$N$415, ID_Jezik + 6, 1)</f>
        <v xml:space="preserve">    II - POSLOVNI RASHODI (217 + 218 + 219 + 222 + 223 + 226 + 227 + 228)</v>
      </c>
      <c r="G152" t="s">
        <v>530</v>
      </c>
      <c r="H152" t="s">
        <v>531</v>
      </c>
      <c r="I152" t="s">
        <v>532</v>
      </c>
      <c r="J152" s="267"/>
      <c r="K152" s="267"/>
      <c r="L152" s="267"/>
      <c r="M152" s="10">
        <v>1</v>
      </c>
      <c r="N152" s="10"/>
    </row>
    <row r="153" spans="1:14" x14ac:dyDescent="0.2">
      <c r="A153">
        <f t="shared" si="2"/>
        <v>152</v>
      </c>
      <c r="B153" t="s">
        <v>1497</v>
      </c>
      <c r="C153">
        <v>3</v>
      </c>
      <c r="D153">
        <v>217</v>
      </c>
      <c r="E153" s="2" t="str">
        <f>VLOOKUP( Aop!$A153, Aop!$A$2:$N$415, ID_Jezik + 9, 1)</f>
        <v>500 do 502</v>
      </c>
      <c r="F153" t="str">
        <f>REPT( "  ", Aop!$C153) &amp; VLOOKUP( Aop!$A153, Aop!$A$2:$N$415, ID_Jezik + 6, 1)</f>
        <v xml:space="preserve">      1. Nabavna vrijednost prodate robe</v>
      </c>
      <c r="G153" t="s">
        <v>1215</v>
      </c>
      <c r="H153" t="s">
        <v>533</v>
      </c>
      <c r="I153" t="s">
        <v>534</v>
      </c>
      <c r="J153" s="267" t="s">
        <v>745</v>
      </c>
      <c r="K153" s="267" t="s">
        <v>12</v>
      </c>
      <c r="L153" s="267" t="s">
        <v>820</v>
      </c>
      <c r="M153" s="10"/>
      <c r="N153" s="10"/>
    </row>
    <row r="154" spans="1:14" x14ac:dyDescent="0.2">
      <c r="A154">
        <f t="shared" si="2"/>
        <v>153</v>
      </c>
      <c r="B154" t="s">
        <v>1497</v>
      </c>
      <c r="C154">
        <v>3</v>
      </c>
      <c r="D154">
        <v>218</v>
      </c>
      <c r="E154" s="2" t="str">
        <f>VLOOKUP( Aop!$A154, Aop!$A$2:$N$415, ID_Jezik + 9, 1)</f>
        <v>510 do 513</v>
      </c>
      <c r="F154" t="str">
        <f>REPT( "  ", Aop!$C154) &amp; VLOOKUP( Aop!$A154, Aop!$A$2:$N$415, ID_Jezik + 6, 1)</f>
        <v xml:space="preserve">      2. Troškovi materijala</v>
      </c>
      <c r="G154" t="s">
        <v>747</v>
      </c>
      <c r="H154" t="s">
        <v>535</v>
      </c>
      <c r="I154" t="s">
        <v>536</v>
      </c>
      <c r="J154" s="267" t="s">
        <v>746</v>
      </c>
      <c r="K154" s="267" t="s">
        <v>13</v>
      </c>
      <c r="L154" s="267" t="s">
        <v>821</v>
      </c>
      <c r="M154" s="10"/>
      <c r="N154" s="10"/>
    </row>
    <row r="155" spans="1:14" x14ac:dyDescent="0.2">
      <c r="A155">
        <f t="shared" si="2"/>
        <v>154</v>
      </c>
      <c r="B155" t="s">
        <v>1497</v>
      </c>
      <c r="C155">
        <v>3</v>
      </c>
      <c r="D155">
        <v>219</v>
      </c>
      <c r="E155" s="2">
        <f>VLOOKUP( Aop!$A155, Aop!$A$2:$N$415, ID_Jezik + 9, 1)</f>
        <v>52</v>
      </c>
      <c r="F155" t="str">
        <f>REPT( "  ", Aop!$C155) &amp; VLOOKUP( Aop!$A155, Aop!$A$2:$N$415, ID_Jezik + 6, 1)</f>
        <v xml:space="preserve">      3. Troškovi zarada, naknada zarada i ostalih ličnih rashoda (220 + 221)</v>
      </c>
      <c r="G155" t="s">
        <v>537</v>
      </c>
      <c r="H155" t="s">
        <v>538</v>
      </c>
      <c r="I155" t="s">
        <v>1882</v>
      </c>
      <c r="J155" s="267">
        <v>52</v>
      </c>
      <c r="K155" s="267">
        <v>52</v>
      </c>
      <c r="L155" s="267">
        <v>52</v>
      </c>
      <c r="M155" s="10"/>
      <c r="N155" s="10"/>
    </row>
    <row r="156" spans="1:14" x14ac:dyDescent="0.2">
      <c r="A156">
        <f t="shared" si="2"/>
        <v>155</v>
      </c>
      <c r="B156" t="s">
        <v>1497</v>
      </c>
      <c r="C156">
        <v>4</v>
      </c>
      <c r="D156">
        <v>220</v>
      </c>
      <c r="E156" s="2" t="str">
        <f>VLOOKUP( Aop!$A156, Aop!$A$2:$N$415, ID_Jezik + 9, 1)</f>
        <v>520 do 523</v>
      </c>
      <c r="F156" t="str">
        <f>REPT( "  ", Aop!$C156) &amp; VLOOKUP( Aop!$A156, Aop!$A$2:$N$415, ID_Jezik + 6, 1)</f>
        <v xml:space="preserve">        a) Troškovi bruto zarada i bruto naknada zarada</v>
      </c>
      <c r="G156" t="s">
        <v>1216</v>
      </c>
      <c r="H156" t="s">
        <v>1883</v>
      </c>
      <c r="I156" t="s">
        <v>1174</v>
      </c>
      <c r="J156" s="267" t="s">
        <v>14</v>
      </c>
      <c r="K156" s="267" t="s">
        <v>15</v>
      </c>
      <c r="L156" s="267" t="s">
        <v>16</v>
      </c>
      <c r="M156" s="10"/>
      <c r="N156" s="10"/>
    </row>
    <row r="157" spans="1:14" x14ac:dyDescent="0.2">
      <c r="A157">
        <f t="shared" si="2"/>
        <v>156</v>
      </c>
      <c r="B157" t="s">
        <v>1497</v>
      </c>
      <c r="C157">
        <v>4</v>
      </c>
      <c r="D157">
        <v>221</v>
      </c>
      <c r="E157" s="2" t="str">
        <f>VLOOKUP( Aop!$A157, Aop!$A$2:$N$415, ID_Jezik + 9, 1)</f>
        <v>524 do 529</v>
      </c>
      <c r="F157" t="str">
        <f>REPT( "  ", Aop!$C157) &amp; VLOOKUP( Aop!$A157, Aop!$A$2:$N$415, ID_Jezik + 6, 1)</f>
        <v xml:space="preserve">        b) Ostali lični rashodi</v>
      </c>
      <c r="G157" t="s">
        <v>1217</v>
      </c>
      <c r="H157" t="s">
        <v>1884</v>
      </c>
      <c r="I157" t="s">
        <v>1175</v>
      </c>
      <c r="J157" s="267" t="s">
        <v>17</v>
      </c>
      <c r="K157" s="267" t="s">
        <v>18</v>
      </c>
      <c r="L157" s="267" t="s">
        <v>19</v>
      </c>
      <c r="M157" s="10"/>
      <c r="N157" s="10"/>
    </row>
    <row r="158" spans="1:14" x14ac:dyDescent="0.2">
      <c r="A158">
        <f t="shared" si="2"/>
        <v>157</v>
      </c>
      <c r="B158" t="s">
        <v>1497</v>
      </c>
      <c r="C158">
        <v>3</v>
      </c>
      <c r="D158">
        <v>222</v>
      </c>
      <c r="E158" s="2" t="str">
        <f>VLOOKUP( Aop!$A158, Aop!$A$2:$N$415, ID_Jezik + 9, 1)</f>
        <v>530 do 539</v>
      </c>
      <c r="F158" t="str">
        <f>REPT( "  ", Aop!$C158) &amp; VLOOKUP( Aop!$A158, Aop!$A$2:$N$415, ID_Jezik + 6, 1)</f>
        <v xml:space="preserve">      4. Troškovi proizvodnih usluga</v>
      </c>
      <c r="G158" t="s">
        <v>749</v>
      </c>
      <c r="H158" t="s">
        <v>1885</v>
      </c>
      <c r="I158" t="s">
        <v>1886</v>
      </c>
      <c r="J158" s="267" t="s">
        <v>748</v>
      </c>
      <c r="K158" s="267" t="s">
        <v>20</v>
      </c>
      <c r="L158" s="267" t="s">
        <v>822</v>
      </c>
      <c r="M158" s="10"/>
      <c r="N158" s="10"/>
    </row>
    <row r="159" spans="1:14" x14ac:dyDescent="0.2">
      <c r="A159">
        <f t="shared" si="2"/>
        <v>158</v>
      </c>
      <c r="B159" t="s">
        <v>1497</v>
      </c>
      <c r="C159">
        <v>3</v>
      </c>
      <c r="D159">
        <v>223</v>
      </c>
      <c r="E159" s="2">
        <f>VLOOKUP( Aop!$A159, Aop!$A$2:$N$415, ID_Jezik + 9, 1)</f>
        <v>54</v>
      </c>
      <c r="F159" t="str">
        <f>REPT( "  ", Aop!$C159) &amp; VLOOKUP( Aop!$A159, Aop!$A$2:$N$415, ID_Jezik + 6, 1)</f>
        <v xml:space="preserve">      5. Troškovi amortizacije i rezervisanja (224 + 225)</v>
      </c>
      <c r="G159" t="s">
        <v>1887</v>
      </c>
      <c r="H159" t="s">
        <v>1888</v>
      </c>
      <c r="I159" t="s">
        <v>1889</v>
      </c>
      <c r="J159" s="267">
        <v>54</v>
      </c>
      <c r="K159" s="267">
        <v>54</v>
      </c>
      <c r="L159" s="267">
        <v>54</v>
      </c>
      <c r="M159" s="10"/>
      <c r="N159" s="10"/>
    </row>
    <row r="160" spans="1:14" x14ac:dyDescent="0.2">
      <c r="A160">
        <f t="shared" si="2"/>
        <v>159</v>
      </c>
      <c r="B160" t="s">
        <v>1497</v>
      </c>
      <c r="C160">
        <v>4</v>
      </c>
      <c r="D160">
        <v>224</v>
      </c>
      <c r="E160" s="2">
        <f>VLOOKUP( Aop!$A160, Aop!$A$2:$N$415, ID_Jezik + 9, 1)</f>
        <v>540</v>
      </c>
      <c r="F160" t="str">
        <f>REPT( "  ", Aop!$C160) &amp; VLOOKUP( Aop!$A160, Aop!$A$2:$N$415, ID_Jezik + 6, 1)</f>
        <v xml:space="preserve">        a) Troškovi amortizacije</v>
      </c>
      <c r="G160" t="s">
        <v>750</v>
      </c>
      <c r="H160" t="s">
        <v>1890</v>
      </c>
      <c r="I160" t="s">
        <v>1176</v>
      </c>
      <c r="J160" s="267">
        <v>540</v>
      </c>
      <c r="K160" s="267">
        <v>540</v>
      </c>
      <c r="L160" s="267">
        <v>540</v>
      </c>
      <c r="M160" s="10"/>
      <c r="N160" s="10"/>
    </row>
    <row r="161" spans="1:14" x14ac:dyDescent="0.2">
      <c r="A161">
        <f t="shared" si="2"/>
        <v>160</v>
      </c>
      <c r="B161" t="s">
        <v>1497</v>
      </c>
      <c r="C161">
        <v>4</v>
      </c>
      <c r="D161">
        <v>225</v>
      </c>
      <c r="E161" s="2">
        <f>VLOOKUP( Aop!$A161, Aop!$A$2:$N$415, ID_Jezik + 9, 1)</f>
        <v>541</v>
      </c>
      <c r="F161" t="str">
        <f>REPT( "  ", Aop!$C161) &amp; VLOOKUP( Aop!$A161, Aop!$A$2:$N$415, ID_Jezik + 6, 1)</f>
        <v xml:space="preserve">        b) Troškovi rezervisanja</v>
      </c>
      <c r="G161" t="s">
        <v>757</v>
      </c>
      <c r="H161" t="s">
        <v>1891</v>
      </c>
      <c r="I161" t="s">
        <v>1177</v>
      </c>
      <c r="J161" s="267">
        <v>541</v>
      </c>
      <c r="K161" s="267">
        <v>541</v>
      </c>
      <c r="L161" s="267">
        <v>541</v>
      </c>
      <c r="M161" s="10"/>
      <c r="N161" s="10"/>
    </row>
    <row r="162" spans="1:14" ht="25.5" x14ac:dyDescent="0.2">
      <c r="A162">
        <f t="shared" si="2"/>
        <v>161</v>
      </c>
      <c r="B162" t="s">
        <v>1497</v>
      </c>
      <c r="C162">
        <v>3</v>
      </c>
      <c r="D162">
        <v>226</v>
      </c>
      <c r="E162" s="2" t="str">
        <f>VLOOKUP( Aop!$A162, Aop!$A$2:$N$415, ID_Jezik + 9, 1)</f>
        <v>55, osim 555 i 556</v>
      </c>
      <c r="F162" t="str">
        <f>REPT( "  ", Aop!$C162) &amp; VLOOKUP( Aop!$A162, Aop!$A$2:$N$415, ID_Jezik + 6, 1)</f>
        <v xml:space="preserve">      6. Nematerijalni troškovi (bez poreza i doprinosa)</v>
      </c>
      <c r="G162" t="s">
        <v>760</v>
      </c>
      <c r="H162" t="s">
        <v>1892</v>
      </c>
      <c r="I162" t="s">
        <v>1893</v>
      </c>
      <c r="J162" s="267" t="s">
        <v>21</v>
      </c>
      <c r="K162" s="267" t="s">
        <v>22</v>
      </c>
      <c r="L162" s="267" t="s">
        <v>23</v>
      </c>
      <c r="M162" s="10"/>
      <c r="N162" s="10"/>
    </row>
    <row r="163" spans="1:14" x14ac:dyDescent="0.2">
      <c r="A163">
        <f t="shared" si="2"/>
        <v>162</v>
      </c>
      <c r="B163" t="s">
        <v>1497</v>
      </c>
      <c r="C163">
        <v>3</v>
      </c>
      <c r="D163">
        <v>227</v>
      </c>
      <c r="E163" s="2">
        <f>VLOOKUP( Aop!$A163, Aop!$A$2:$N$415, ID_Jezik + 9, 1)</f>
        <v>555</v>
      </c>
      <c r="F163" t="str">
        <f>REPT( "  ", Aop!$C163) &amp; VLOOKUP( Aop!$A163, Aop!$A$2:$N$415, ID_Jezik + 6, 1)</f>
        <v xml:space="preserve">      7. Troškovi poreza</v>
      </c>
      <c r="G163" t="s">
        <v>758</v>
      </c>
      <c r="H163" t="s">
        <v>1894</v>
      </c>
      <c r="I163" t="s">
        <v>1895</v>
      </c>
      <c r="J163" s="267">
        <v>555</v>
      </c>
      <c r="K163" s="267">
        <v>555</v>
      </c>
      <c r="L163" s="267">
        <v>555</v>
      </c>
      <c r="M163" s="10"/>
      <c r="N163" s="10"/>
    </row>
    <row r="164" spans="1:14" x14ac:dyDescent="0.2">
      <c r="A164">
        <f t="shared" si="2"/>
        <v>163</v>
      </c>
      <c r="B164" t="s">
        <v>1497</v>
      </c>
      <c r="C164">
        <v>3</v>
      </c>
      <c r="D164">
        <v>228</v>
      </c>
      <c r="E164" s="2">
        <f>VLOOKUP( Aop!$A164, Aop!$A$2:$N$415, ID_Jezik + 9, 1)</f>
        <v>556</v>
      </c>
      <c r="F164" t="str">
        <f>REPT( "  ", Aop!$C164) &amp; VLOOKUP( Aop!$A164, Aop!$A$2:$N$415, ID_Jezik + 6, 1)</f>
        <v xml:space="preserve">      8. Troškovi doprinosa</v>
      </c>
      <c r="G164" t="s">
        <v>759</v>
      </c>
      <c r="H164" t="s">
        <v>1896</v>
      </c>
      <c r="I164" t="s">
        <v>1897</v>
      </c>
      <c r="J164" s="267">
        <v>556</v>
      </c>
      <c r="K164" s="267">
        <v>556</v>
      </c>
      <c r="L164" s="267">
        <v>556</v>
      </c>
      <c r="M164" s="10"/>
      <c r="N164" s="10"/>
    </row>
    <row r="165" spans="1:14" x14ac:dyDescent="0.2">
      <c r="A165">
        <f t="shared" si="2"/>
        <v>164</v>
      </c>
      <c r="B165" t="s">
        <v>1497</v>
      </c>
      <c r="C165">
        <v>1</v>
      </c>
      <c r="D165">
        <v>229</v>
      </c>
      <c r="E165" s="2">
        <f>VLOOKUP( Aop!$A165, Aop!$A$2:$N$415, ID_Jezik + 9, 1)</f>
        <v>0</v>
      </c>
      <c r="F165" t="str">
        <f>REPT( "  ", Aop!$C165) &amp; VLOOKUP( Aop!$A165, Aop!$A$2:$N$415, ID_Jezik + 6, 1)</f>
        <v xml:space="preserve">  B. POSLOVNI DOBITAK (201 - 216)</v>
      </c>
      <c r="G165" t="s">
        <v>1898</v>
      </c>
      <c r="H165" t="s">
        <v>1899</v>
      </c>
      <c r="I165" t="s">
        <v>1900</v>
      </c>
      <c r="J165" s="267"/>
      <c r="K165" s="267"/>
      <c r="L165" s="267"/>
      <c r="M165" s="10">
        <v>1</v>
      </c>
      <c r="N165" s="10"/>
    </row>
    <row r="166" spans="1:14" x14ac:dyDescent="0.2">
      <c r="A166">
        <f t="shared" si="2"/>
        <v>165</v>
      </c>
      <c r="B166" t="s">
        <v>1497</v>
      </c>
      <c r="C166">
        <v>1</v>
      </c>
      <c r="D166">
        <v>230</v>
      </c>
      <c r="E166" s="2">
        <f>VLOOKUP( Aop!$A166, Aop!$A$2:$N$415, ID_Jezik + 9, 1)</f>
        <v>0</v>
      </c>
      <c r="F166" t="str">
        <f>REPT( "  ", Aop!$C166) &amp; VLOOKUP( Aop!$A166, Aop!$A$2:$N$415, ID_Jezik + 6, 1)</f>
        <v xml:space="preserve">  V. POSLOVNI GUBITAK (216 - 201)</v>
      </c>
      <c r="G166" t="s">
        <v>1901</v>
      </c>
      <c r="H166" t="s">
        <v>1902</v>
      </c>
      <c r="I166" t="s">
        <v>1903</v>
      </c>
      <c r="J166" s="267"/>
      <c r="K166" s="267"/>
      <c r="L166" s="267"/>
      <c r="M166" s="10">
        <v>1</v>
      </c>
      <c r="N166" s="10"/>
    </row>
    <row r="167" spans="1:14" x14ac:dyDescent="0.2">
      <c r="A167">
        <f t="shared" si="2"/>
        <v>166</v>
      </c>
      <c r="B167" t="s">
        <v>1497</v>
      </c>
      <c r="C167">
        <v>0</v>
      </c>
      <c r="E167" s="2">
        <f>VLOOKUP( Aop!$A167, Aop!$A$2:$N$415, ID_Jezik + 9, 1)</f>
        <v>0</v>
      </c>
      <c r="F167" t="str">
        <f>REPT( "  ", Aop!$C167) &amp; VLOOKUP( Aop!$A167, Aop!$A$2:$N$415, ID_Jezik + 6, 1)</f>
        <v>G. FINANSIJSKI PRIHODI I RASHODI</v>
      </c>
      <c r="G167" t="s">
        <v>789</v>
      </c>
      <c r="H167" t="s">
        <v>1904</v>
      </c>
      <c r="I167" t="s">
        <v>830</v>
      </c>
      <c r="J167" s="267"/>
      <c r="K167" s="267"/>
      <c r="L167" s="267"/>
      <c r="M167" s="10">
        <v>1</v>
      </c>
      <c r="N167" s="10"/>
    </row>
    <row r="168" spans="1:14" x14ac:dyDescent="0.2">
      <c r="A168">
        <f t="shared" si="2"/>
        <v>167</v>
      </c>
      <c r="B168" t="s">
        <v>1497</v>
      </c>
      <c r="C168">
        <v>2</v>
      </c>
      <c r="D168">
        <v>231</v>
      </c>
      <c r="E168" s="2">
        <f>VLOOKUP( Aop!$A168, Aop!$A$2:$N$415, ID_Jezik + 9, 1)</f>
        <v>66</v>
      </c>
      <c r="F168" t="str">
        <f>REPT( "  ", Aop!$C168) &amp; VLOOKUP( Aop!$A168, Aop!$A$2:$N$415, ID_Jezik + 6, 1)</f>
        <v xml:space="preserve">    I - FINANSIJSKI PRIHODI (232 do 237)</v>
      </c>
      <c r="G168" t="s">
        <v>1905</v>
      </c>
      <c r="H168" t="s">
        <v>1906</v>
      </c>
      <c r="I168" t="s">
        <v>1907</v>
      </c>
      <c r="J168" s="267">
        <v>66</v>
      </c>
      <c r="K168" s="267">
        <v>66</v>
      </c>
      <c r="L168" s="267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1497</v>
      </c>
      <c r="C169">
        <v>3</v>
      </c>
      <c r="D169">
        <v>232</v>
      </c>
      <c r="E169" s="2">
        <f>VLOOKUP( Aop!$A169, Aop!$A$2:$N$415, ID_Jezik + 9, 1)</f>
        <v>660</v>
      </c>
      <c r="F169" t="str">
        <f>REPT( "  ", Aop!$C169) &amp; VLOOKUP( Aop!$A169, Aop!$A$2:$N$415, ID_Jezik + 6, 1)</f>
        <v xml:space="preserve">      1. Finansijski prihodi od povezanih pravnih lica</v>
      </c>
      <c r="G169" t="s">
        <v>1219</v>
      </c>
      <c r="H169" t="s">
        <v>1908</v>
      </c>
      <c r="I169" t="s">
        <v>1909</v>
      </c>
      <c r="J169" s="267">
        <v>660</v>
      </c>
      <c r="K169" s="267">
        <v>660</v>
      </c>
      <c r="L169" s="267">
        <v>660</v>
      </c>
      <c r="M169" s="10"/>
      <c r="N169" s="10"/>
    </row>
    <row r="170" spans="1:14" x14ac:dyDescent="0.2">
      <c r="A170">
        <f t="shared" si="2"/>
        <v>169</v>
      </c>
      <c r="B170" t="s">
        <v>1497</v>
      </c>
      <c r="C170">
        <v>3</v>
      </c>
      <c r="D170">
        <v>233</v>
      </c>
      <c r="E170" s="2">
        <f>VLOOKUP( Aop!$A170, Aop!$A$2:$N$415, ID_Jezik + 9, 1)</f>
        <v>661</v>
      </c>
      <c r="F170" t="str">
        <f>REPT( "  ", Aop!$C170) &amp; VLOOKUP( Aop!$A170, Aop!$A$2:$N$415, ID_Jezik + 6, 1)</f>
        <v xml:space="preserve">      2. Prihodi od kamata</v>
      </c>
      <c r="G170" t="s">
        <v>1220</v>
      </c>
      <c r="H170" t="s">
        <v>1910</v>
      </c>
      <c r="I170" t="s">
        <v>1911</v>
      </c>
      <c r="J170" s="267">
        <v>661</v>
      </c>
      <c r="K170" s="267">
        <v>661</v>
      </c>
      <c r="L170" s="267">
        <v>661</v>
      </c>
      <c r="M170" s="10"/>
      <c r="N170" s="10"/>
    </row>
    <row r="171" spans="1:14" x14ac:dyDescent="0.2">
      <c r="A171">
        <f t="shared" si="2"/>
        <v>170</v>
      </c>
      <c r="B171" t="s">
        <v>1497</v>
      </c>
      <c r="C171">
        <v>3</v>
      </c>
      <c r="D171">
        <v>234</v>
      </c>
      <c r="E171" s="2">
        <f>VLOOKUP( Aop!$A171, Aop!$A$2:$N$415, ID_Jezik + 9, 1)</f>
        <v>662</v>
      </c>
      <c r="F171" t="str">
        <f>REPT( "  ", Aop!$C171) &amp; VLOOKUP( Aop!$A171, Aop!$A$2:$N$415, ID_Jezik + 6, 1)</f>
        <v xml:space="preserve">      3. Pozitivne kursne razlike</v>
      </c>
      <c r="G171" t="s">
        <v>1221</v>
      </c>
      <c r="H171" t="s">
        <v>1912</v>
      </c>
      <c r="I171" t="s">
        <v>1913</v>
      </c>
      <c r="J171" s="267">
        <v>662</v>
      </c>
      <c r="K171" s="267">
        <v>662</v>
      </c>
      <c r="L171" s="267">
        <v>662</v>
      </c>
      <c r="M171" s="10"/>
      <c r="N171" s="10"/>
    </row>
    <row r="172" spans="1:14" x14ac:dyDescent="0.2">
      <c r="A172">
        <f t="shared" si="2"/>
        <v>171</v>
      </c>
      <c r="B172" t="s">
        <v>1497</v>
      </c>
      <c r="C172">
        <v>3</v>
      </c>
      <c r="D172">
        <v>235</v>
      </c>
      <c r="E172" s="2">
        <f>VLOOKUP( Aop!$A172, Aop!$A$2:$N$415, ID_Jezik + 9, 1)</f>
        <v>663</v>
      </c>
      <c r="F172" t="str">
        <f>REPT( "  ", Aop!$C172) &amp; VLOOKUP( Aop!$A172, Aop!$A$2:$N$415, ID_Jezik + 6, 1)</f>
        <v xml:space="preserve">      4. Prihodi od efekata valutne klauzule</v>
      </c>
      <c r="G172" t="s">
        <v>761</v>
      </c>
      <c r="H172" t="s">
        <v>1914</v>
      </c>
      <c r="I172" t="s">
        <v>1915</v>
      </c>
      <c r="J172" s="267">
        <v>663</v>
      </c>
      <c r="K172" s="267">
        <v>663</v>
      </c>
      <c r="L172" s="267">
        <v>663</v>
      </c>
      <c r="M172" s="10"/>
      <c r="N172" s="10"/>
    </row>
    <row r="173" spans="1:14" x14ac:dyDescent="0.2">
      <c r="A173">
        <f t="shared" si="2"/>
        <v>172</v>
      </c>
      <c r="B173" t="s">
        <v>1497</v>
      </c>
      <c r="C173">
        <v>3</v>
      </c>
      <c r="D173">
        <v>236</v>
      </c>
      <c r="E173" s="2">
        <f>VLOOKUP( Aop!$A173, Aop!$A$2:$N$415, ID_Jezik + 9, 1)</f>
        <v>664</v>
      </c>
      <c r="F173" t="str">
        <f>REPT( "  ", Aop!$C173) &amp; VLOOKUP( Aop!$A173, Aop!$A$2:$N$415, ID_Jezik + 6, 1)</f>
        <v xml:space="preserve">      5. Prihodi od učešća u dobitku zajedničkih ulaganja</v>
      </c>
      <c r="G173" t="s">
        <v>765</v>
      </c>
      <c r="H173" t="s">
        <v>1916</v>
      </c>
      <c r="I173" t="s">
        <v>1917</v>
      </c>
      <c r="J173" s="267">
        <v>664</v>
      </c>
      <c r="K173" s="267">
        <v>664</v>
      </c>
      <c r="L173" s="267">
        <v>664</v>
      </c>
      <c r="M173" s="10"/>
      <c r="N173" s="10"/>
    </row>
    <row r="174" spans="1:14" x14ac:dyDescent="0.2">
      <c r="A174">
        <f t="shared" si="2"/>
        <v>173</v>
      </c>
      <c r="B174" t="s">
        <v>1497</v>
      </c>
      <c r="C174">
        <v>3</v>
      </c>
      <c r="D174">
        <v>237</v>
      </c>
      <c r="E174" s="2">
        <f>VLOOKUP( Aop!$A174, Aop!$A$2:$N$415, ID_Jezik + 9, 1)</f>
        <v>669</v>
      </c>
      <c r="F174" t="str">
        <f>REPT( "  ", Aop!$C174) &amp; VLOOKUP( Aop!$A174, Aop!$A$2:$N$415, ID_Jezik + 6, 1)</f>
        <v xml:space="preserve">      6. Ostali finansijski prihodi</v>
      </c>
      <c r="G174" t="s">
        <v>762</v>
      </c>
      <c r="H174" t="s">
        <v>1918</v>
      </c>
      <c r="I174" t="s">
        <v>1919</v>
      </c>
      <c r="J174" s="267">
        <v>669</v>
      </c>
      <c r="K174" s="267">
        <v>669</v>
      </c>
      <c r="L174" s="267">
        <v>669</v>
      </c>
      <c r="M174" s="10"/>
      <c r="N174" s="10"/>
    </row>
    <row r="175" spans="1:14" x14ac:dyDescent="0.2">
      <c r="A175">
        <f t="shared" si="2"/>
        <v>174</v>
      </c>
      <c r="B175" t="s">
        <v>1497</v>
      </c>
      <c r="C175">
        <v>2</v>
      </c>
      <c r="D175">
        <v>238</v>
      </c>
      <c r="E175" s="2">
        <f>VLOOKUP( Aop!$A175, Aop!$A$2:$N$415, ID_Jezik + 9, 1)</f>
        <v>56</v>
      </c>
      <c r="F175" t="str">
        <f>REPT( "  ", Aop!$C175) &amp; VLOOKUP( Aop!$A175, Aop!$A$2:$N$415, ID_Jezik + 6, 1)</f>
        <v xml:space="preserve">    II - FINANSIJSKI RASHODI (239 do 243)</v>
      </c>
      <c r="G175" t="s">
        <v>1920</v>
      </c>
      <c r="H175" t="s">
        <v>1921</v>
      </c>
      <c r="I175" t="s">
        <v>1922</v>
      </c>
      <c r="J175" s="267">
        <v>56</v>
      </c>
      <c r="K175" s="267">
        <v>56</v>
      </c>
      <c r="L175" s="267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1497</v>
      </c>
      <c r="C176">
        <v>3</v>
      </c>
      <c r="D176">
        <v>239</v>
      </c>
      <c r="E176" s="2">
        <f>VLOOKUP( Aop!$A176, Aop!$A$2:$N$415, ID_Jezik + 9, 1)</f>
        <v>560</v>
      </c>
      <c r="F176" t="str">
        <f>REPT( "  ", Aop!$C176) &amp; VLOOKUP( Aop!$A176, Aop!$A$2:$N$415, ID_Jezik + 6, 1)</f>
        <v xml:space="preserve">      1. Finansijski rashodi po osnovu odnosa povezanih pravnih lica</v>
      </c>
      <c r="G176" t="s">
        <v>797</v>
      </c>
      <c r="H176" t="s">
        <v>1923</v>
      </c>
      <c r="I176" t="s">
        <v>1924</v>
      </c>
      <c r="J176" s="267">
        <v>560</v>
      </c>
      <c r="K176" s="267">
        <v>560</v>
      </c>
      <c r="L176" s="267">
        <v>560</v>
      </c>
      <c r="M176" s="10"/>
      <c r="N176" s="10"/>
    </row>
    <row r="177" spans="1:14" x14ac:dyDescent="0.2">
      <c r="A177">
        <f t="shared" si="2"/>
        <v>176</v>
      </c>
      <c r="B177" t="s">
        <v>1497</v>
      </c>
      <c r="C177">
        <v>3</v>
      </c>
      <c r="D177">
        <v>240</v>
      </c>
      <c r="E177" s="2">
        <f>VLOOKUP( Aop!$A177, Aop!$A$2:$N$415, ID_Jezik + 9, 1)</f>
        <v>561</v>
      </c>
      <c r="F177" t="str">
        <f>REPT( "  ", Aop!$C177) &amp; VLOOKUP( Aop!$A177, Aop!$A$2:$N$415, ID_Jezik + 6, 1)</f>
        <v xml:space="preserve">      2. Rashodi kamata</v>
      </c>
      <c r="G177" t="s">
        <v>1222</v>
      </c>
      <c r="H177" t="s">
        <v>1925</v>
      </c>
      <c r="I177" t="s">
        <v>1926</v>
      </c>
      <c r="J177" s="267">
        <v>561</v>
      </c>
      <c r="K177" s="267">
        <v>561</v>
      </c>
      <c r="L177" s="267">
        <v>561</v>
      </c>
      <c r="M177" s="10"/>
      <c r="N177" s="10"/>
    </row>
    <row r="178" spans="1:14" x14ac:dyDescent="0.2">
      <c r="A178">
        <f t="shared" si="2"/>
        <v>177</v>
      </c>
      <c r="B178" t="s">
        <v>1497</v>
      </c>
      <c r="C178">
        <v>3</v>
      </c>
      <c r="D178">
        <v>241</v>
      </c>
      <c r="E178" s="2">
        <f>VLOOKUP( Aop!$A178, Aop!$A$2:$N$415, ID_Jezik + 9, 1)</f>
        <v>562</v>
      </c>
      <c r="F178" t="str">
        <f>REPT( "  ", Aop!$C178) &amp; VLOOKUP( Aop!$A178, Aop!$A$2:$N$415, ID_Jezik + 6, 1)</f>
        <v xml:space="preserve">      3. Negativne kursne razlike</v>
      </c>
      <c r="G178" t="s">
        <v>1223</v>
      </c>
      <c r="H178" t="s">
        <v>1927</v>
      </c>
      <c r="I178" t="s">
        <v>1928</v>
      </c>
      <c r="J178" s="267">
        <v>562</v>
      </c>
      <c r="K178" s="267">
        <v>562</v>
      </c>
      <c r="L178" s="267">
        <v>562</v>
      </c>
      <c r="M178" s="10"/>
      <c r="N178" s="10"/>
    </row>
    <row r="179" spans="1:14" x14ac:dyDescent="0.2">
      <c r="A179">
        <f t="shared" si="2"/>
        <v>178</v>
      </c>
      <c r="B179" t="s">
        <v>1497</v>
      </c>
      <c r="C179">
        <v>3</v>
      </c>
      <c r="D179">
        <v>242</v>
      </c>
      <c r="E179" s="2">
        <f>VLOOKUP( Aop!$A179, Aop!$A$2:$N$415, ID_Jezik + 9, 1)</f>
        <v>563</v>
      </c>
      <c r="F179" t="str">
        <f>REPT( "  ", Aop!$C179) &amp; VLOOKUP( Aop!$A179, Aop!$A$2:$N$415, ID_Jezik + 6, 1)</f>
        <v xml:space="preserve">      4. Rashodi po osnovu valutne klauzule</v>
      </c>
      <c r="G179" t="s">
        <v>763</v>
      </c>
      <c r="H179" t="s">
        <v>1929</v>
      </c>
      <c r="I179" t="s">
        <v>1930</v>
      </c>
      <c r="J179" s="267">
        <v>563</v>
      </c>
      <c r="K179" s="267">
        <v>563</v>
      </c>
      <c r="L179" s="267">
        <v>563</v>
      </c>
      <c r="M179" s="10"/>
      <c r="N179" s="10"/>
    </row>
    <row r="180" spans="1:14" x14ac:dyDescent="0.2">
      <c r="A180">
        <f t="shared" si="2"/>
        <v>179</v>
      </c>
      <c r="B180" t="s">
        <v>1497</v>
      </c>
      <c r="C180">
        <v>3</v>
      </c>
      <c r="D180">
        <v>243</v>
      </c>
      <c r="E180" s="2">
        <f>VLOOKUP( Aop!$A180, Aop!$A$2:$N$415, ID_Jezik + 9, 1)</f>
        <v>569</v>
      </c>
      <c r="F180" t="str">
        <f>REPT( "  ", Aop!$C180) &amp; VLOOKUP( Aop!$A180, Aop!$A$2:$N$415, ID_Jezik + 6, 1)</f>
        <v xml:space="preserve">      5. Ostali finansijski rashodi</v>
      </c>
      <c r="G180" t="s">
        <v>764</v>
      </c>
      <c r="H180" t="s">
        <v>1931</v>
      </c>
      <c r="I180" t="s">
        <v>1932</v>
      </c>
      <c r="J180" s="267">
        <v>569</v>
      </c>
      <c r="K180" s="267">
        <v>569</v>
      </c>
      <c r="L180" s="267">
        <v>569</v>
      </c>
      <c r="M180" s="10"/>
      <c r="N180" s="10"/>
    </row>
    <row r="181" spans="1:14" x14ac:dyDescent="0.2">
      <c r="A181">
        <f t="shared" si="2"/>
        <v>180</v>
      </c>
      <c r="B181" t="s">
        <v>1497</v>
      </c>
      <c r="C181">
        <v>1</v>
      </c>
      <c r="D181">
        <v>244</v>
      </c>
      <c r="E181" s="2">
        <f>VLOOKUP( Aop!$A181, Aop!$A$2:$N$415, ID_Jezik + 9, 1)</f>
        <v>0</v>
      </c>
      <c r="F181" t="str">
        <f>REPT( "  ", Aop!$C181) &amp; VLOOKUP( Aop!$A181, Aop!$A$2:$N$415, ID_Jezik + 6, 1)</f>
        <v xml:space="preserve">  D. DOBITAK REDOVNE AKTIVNOSTI (229 + 231 - 238) ili (231 - 238 - 230)</v>
      </c>
      <c r="G181" t="s">
        <v>1933</v>
      </c>
      <c r="H181" t="s">
        <v>1934</v>
      </c>
      <c r="I181" t="s">
        <v>1935</v>
      </c>
      <c r="J181" s="267"/>
      <c r="K181" s="267"/>
      <c r="L181" s="267"/>
      <c r="M181" s="10">
        <v>1</v>
      </c>
      <c r="N181" s="10"/>
    </row>
    <row r="182" spans="1:14" x14ac:dyDescent="0.2">
      <c r="A182">
        <f t="shared" si="2"/>
        <v>181</v>
      </c>
      <c r="B182" t="s">
        <v>1497</v>
      </c>
      <c r="C182">
        <v>1</v>
      </c>
      <c r="D182">
        <v>245</v>
      </c>
      <c r="E182" s="2">
        <f>VLOOKUP( Aop!$A182, Aop!$A$2:$N$415, ID_Jezik + 9, 1)</f>
        <v>0</v>
      </c>
      <c r="F182" t="str">
        <f>REPT( "  ", Aop!$C182) &amp; VLOOKUP( Aop!$A182, Aop!$A$2:$N$415, ID_Jezik + 6, 1)</f>
        <v xml:space="preserve">  Đ. GUBITAK REDOVNE AKTIVNOSTI (230 + 238 - 231) ili (238 - 229 - 231)</v>
      </c>
      <c r="G182" t="s">
        <v>1936</v>
      </c>
      <c r="H182" t="s">
        <v>1937</v>
      </c>
      <c r="I182" t="s">
        <v>1938</v>
      </c>
      <c r="J182" s="267"/>
      <c r="K182" s="267"/>
      <c r="L182" s="267"/>
      <c r="M182" s="10">
        <v>1</v>
      </c>
      <c r="N182" s="10"/>
    </row>
    <row r="183" spans="1:14" x14ac:dyDescent="0.2">
      <c r="A183">
        <f t="shared" si="2"/>
        <v>182</v>
      </c>
      <c r="B183" t="s">
        <v>1497</v>
      </c>
      <c r="C183">
        <v>0</v>
      </c>
      <c r="E183" s="2">
        <f>VLOOKUP( Aop!$A183, Aop!$A$2:$N$415, ID_Jezik + 9, 1)</f>
        <v>0</v>
      </c>
      <c r="F183" t="str">
        <f>REPT( "  ", Aop!$C183) &amp; VLOOKUP( Aop!$A183, Aop!$A$2:$N$415, ID_Jezik + 6, 1)</f>
        <v>E. OSTALI PRIHODI I RASHODI</v>
      </c>
      <c r="G183" t="s">
        <v>766</v>
      </c>
      <c r="H183" t="s">
        <v>1939</v>
      </c>
      <c r="I183" t="s">
        <v>831</v>
      </c>
      <c r="J183" s="267"/>
      <c r="K183" s="267"/>
      <c r="L183" s="267"/>
      <c r="M183" s="10">
        <v>1</v>
      </c>
      <c r="N183" s="10"/>
    </row>
    <row r="184" spans="1:14" x14ac:dyDescent="0.2">
      <c r="A184">
        <f t="shared" si="2"/>
        <v>183</v>
      </c>
      <c r="B184" t="s">
        <v>1497</v>
      </c>
      <c r="C184">
        <v>2</v>
      </c>
      <c r="D184">
        <v>246</v>
      </c>
      <c r="E184" s="2">
        <f>VLOOKUP( Aop!$A184, Aop!$A$2:$N$415, ID_Jezik + 9, 1)</f>
        <v>67</v>
      </c>
      <c r="F184" t="str">
        <f>REPT( "  ", Aop!$C184) &amp; VLOOKUP( Aop!$A184, Aop!$A$2:$N$415, ID_Jezik + 6, 1)</f>
        <v xml:space="preserve">    I - OSTALI PRIHODI (247 do 256)</v>
      </c>
      <c r="G184" t="s">
        <v>1940</v>
      </c>
      <c r="H184" t="s">
        <v>1941</v>
      </c>
      <c r="I184" t="s">
        <v>1942</v>
      </c>
      <c r="J184" s="267">
        <v>67</v>
      </c>
      <c r="K184" s="267">
        <v>67</v>
      </c>
      <c r="L184" s="267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1497</v>
      </c>
      <c r="C185">
        <v>3</v>
      </c>
      <c r="D185">
        <v>247</v>
      </c>
      <c r="E185" s="2">
        <f>VLOOKUP( Aop!$A185, Aop!$A$2:$N$415, ID_Jezik + 9, 1)</f>
        <v>670</v>
      </c>
      <c r="F185" t="str">
        <f>REPT( "  ", Aop!$C185) &amp; VLOOKUP( Aop!$A185, Aop!$A$2:$N$415, ID_Jezik + 6, 1)</f>
        <v xml:space="preserve">      1. Dobici po osnovu prodaje nematerijalnih sredstava, nekretnina, postrojenja i opreme</v>
      </c>
      <c r="G185" t="s">
        <v>1943</v>
      </c>
      <c r="H185" t="s">
        <v>1944</v>
      </c>
      <c r="I185" t="s">
        <v>1945</v>
      </c>
      <c r="J185" s="267">
        <v>670</v>
      </c>
      <c r="K185" s="267">
        <v>670</v>
      </c>
      <c r="L185" s="267">
        <v>670</v>
      </c>
      <c r="M185" s="10"/>
      <c r="N185" s="10"/>
    </row>
    <row r="186" spans="1:14" x14ac:dyDescent="0.2">
      <c r="A186">
        <f t="shared" si="2"/>
        <v>185</v>
      </c>
      <c r="B186" t="s">
        <v>1497</v>
      </c>
      <c r="C186">
        <v>3</v>
      </c>
      <c r="D186">
        <v>248</v>
      </c>
      <c r="E186" s="2">
        <f>VLOOKUP( Aop!$A186, Aop!$A$2:$N$415, ID_Jezik + 9, 1)</f>
        <v>671</v>
      </c>
      <c r="F186" t="str">
        <f>REPT( "  ", Aop!$C186) &amp; VLOOKUP( Aop!$A186, Aop!$A$2:$N$415, ID_Jezik + 6, 1)</f>
        <v xml:space="preserve">      2. Dobici po osnovu prodaje investicionih nekretnina</v>
      </c>
      <c r="G186" t="s">
        <v>767</v>
      </c>
      <c r="H186" t="s">
        <v>1946</v>
      </c>
      <c r="I186" t="s">
        <v>1947</v>
      </c>
      <c r="J186" s="267">
        <v>671</v>
      </c>
      <c r="K186" s="267">
        <v>671</v>
      </c>
      <c r="L186" s="267">
        <v>671</v>
      </c>
      <c r="M186" s="10"/>
      <c r="N186" s="10"/>
    </row>
    <row r="187" spans="1:14" x14ac:dyDescent="0.2">
      <c r="A187">
        <f t="shared" si="2"/>
        <v>186</v>
      </c>
      <c r="B187" t="s">
        <v>1497</v>
      </c>
      <c r="C187">
        <v>3</v>
      </c>
      <c r="D187">
        <v>249</v>
      </c>
      <c r="E187" s="2">
        <f>VLOOKUP( Aop!$A187, Aop!$A$2:$N$415, ID_Jezik + 9, 1)</f>
        <v>672</v>
      </c>
      <c r="F187" t="str">
        <f>REPT( "  ", Aop!$C187) &amp; VLOOKUP( Aop!$A187, Aop!$A$2:$N$415, ID_Jezik + 6, 1)</f>
        <v xml:space="preserve">      3. Dobici po osnovu prodaje bioloških sredstava</v>
      </c>
      <c r="G187" t="s">
        <v>768</v>
      </c>
      <c r="H187" t="s">
        <v>1948</v>
      </c>
      <c r="I187" t="s">
        <v>1949</v>
      </c>
      <c r="J187" s="267">
        <v>672</v>
      </c>
      <c r="K187" s="267">
        <v>672</v>
      </c>
      <c r="L187" s="267">
        <v>672</v>
      </c>
      <c r="M187" s="10"/>
      <c r="N187" s="10"/>
    </row>
    <row r="188" spans="1:14" x14ac:dyDescent="0.2">
      <c r="A188">
        <f t="shared" si="2"/>
        <v>187</v>
      </c>
      <c r="B188" t="s">
        <v>1497</v>
      </c>
      <c r="C188">
        <v>3</v>
      </c>
      <c r="D188">
        <v>250</v>
      </c>
      <c r="E188" s="2">
        <f>VLOOKUP( Aop!$A188, Aop!$A$2:$N$415, ID_Jezik + 9, 1)</f>
        <v>673</v>
      </c>
      <c r="F188" t="str">
        <f>REPT( "  ", Aop!$C188) &amp; VLOOKUP( Aop!$A188, Aop!$A$2:$N$415, ID_Jezik + 6, 1)</f>
        <v xml:space="preserve">      4. Dobici po osnovu prodaje sredstava obustavljenog poslovanja</v>
      </c>
      <c r="G188" t="s">
        <v>769</v>
      </c>
      <c r="H188" t="s">
        <v>1950</v>
      </c>
      <c r="I188" t="s">
        <v>1951</v>
      </c>
      <c r="J188" s="267">
        <v>673</v>
      </c>
      <c r="K188" s="267">
        <v>673</v>
      </c>
      <c r="L188" s="267">
        <v>673</v>
      </c>
      <c r="M188" s="10"/>
      <c r="N188" s="10"/>
    </row>
    <row r="189" spans="1:14" x14ac:dyDescent="0.2">
      <c r="A189">
        <f t="shared" si="2"/>
        <v>188</v>
      </c>
      <c r="B189" t="s">
        <v>1497</v>
      </c>
      <c r="C189">
        <v>3</v>
      </c>
      <c r="D189">
        <v>251</v>
      </c>
      <c r="E189" s="2">
        <f>VLOOKUP( Aop!$A189, Aop!$A$2:$N$415, ID_Jezik + 9, 1)</f>
        <v>674</v>
      </c>
      <c r="F189" t="str">
        <f>REPT( "  ", Aop!$C189) &amp; VLOOKUP( Aop!$A189, Aop!$A$2:$N$415, ID_Jezik + 6, 1)</f>
        <v xml:space="preserve">      5. Dobici po osnovu prodaje učešća u kapitalu i HOV</v>
      </c>
      <c r="G189" t="s">
        <v>1952</v>
      </c>
      <c r="H189" t="s">
        <v>1953</v>
      </c>
      <c r="I189" t="s">
        <v>1954</v>
      </c>
      <c r="J189" s="267">
        <v>674</v>
      </c>
      <c r="K189" s="267">
        <v>674</v>
      </c>
      <c r="L189" s="267">
        <v>674</v>
      </c>
      <c r="M189" s="10"/>
      <c r="N189" s="10"/>
    </row>
    <row r="190" spans="1:14" x14ac:dyDescent="0.2">
      <c r="A190">
        <f t="shared" si="2"/>
        <v>189</v>
      </c>
      <c r="B190" t="s">
        <v>1497</v>
      </c>
      <c r="C190">
        <v>3</v>
      </c>
      <c r="D190">
        <v>252</v>
      </c>
      <c r="E190" s="2">
        <f>VLOOKUP( Aop!$A190, Aop!$A$2:$N$415, ID_Jezik + 9, 1)</f>
        <v>675</v>
      </c>
      <c r="F190" t="str">
        <f>REPT( "  ", Aop!$C190) &amp; VLOOKUP( Aop!$A190, Aop!$A$2:$N$415, ID_Jezik + 6, 1)</f>
        <v xml:space="preserve">      6. Dobici po osnovu prodaje materijala</v>
      </c>
      <c r="G190" t="s">
        <v>770</v>
      </c>
      <c r="H190" t="s">
        <v>1955</v>
      </c>
      <c r="I190" t="s">
        <v>1956</v>
      </c>
      <c r="J190" s="267">
        <v>675</v>
      </c>
      <c r="K190" s="267">
        <v>675</v>
      </c>
      <c r="L190" s="267">
        <v>675</v>
      </c>
      <c r="M190" s="10"/>
      <c r="N190" s="10"/>
    </row>
    <row r="191" spans="1:14" x14ac:dyDescent="0.2">
      <c r="A191">
        <f t="shared" si="2"/>
        <v>190</v>
      </c>
      <c r="B191" t="s">
        <v>1497</v>
      </c>
      <c r="C191">
        <v>3</v>
      </c>
      <c r="D191">
        <v>253</v>
      </c>
      <c r="E191" s="2">
        <f>VLOOKUP( Aop!$A191, Aop!$A$2:$N$415, ID_Jezik + 9, 1)</f>
        <v>676</v>
      </c>
      <c r="F191" t="str">
        <f>REPT( "  ", Aop!$C191) &amp; VLOOKUP( Aop!$A191, Aop!$A$2:$N$415, ID_Jezik + 6, 1)</f>
        <v xml:space="preserve">      7. Viškovi, izuzimajući viškove zaliha učinaka</v>
      </c>
      <c r="G191" t="s">
        <v>776</v>
      </c>
      <c r="H191" t="s">
        <v>1957</v>
      </c>
      <c r="I191" t="s">
        <v>1958</v>
      </c>
      <c r="J191" s="267">
        <v>676</v>
      </c>
      <c r="K191" s="267">
        <v>676</v>
      </c>
      <c r="L191" s="267">
        <v>676</v>
      </c>
      <c r="M191" s="10"/>
      <c r="N191" s="10"/>
    </row>
    <row r="192" spans="1:14" x14ac:dyDescent="0.2">
      <c r="A192">
        <f t="shared" si="2"/>
        <v>191</v>
      </c>
      <c r="B192" t="s">
        <v>1497</v>
      </c>
      <c r="C192">
        <v>3</v>
      </c>
      <c r="D192">
        <v>254</v>
      </c>
      <c r="E192" s="2">
        <f>VLOOKUP( Aop!$A192, Aop!$A$2:$N$415, ID_Jezik + 9, 1)</f>
        <v>677</v>
      </c>
      <c r="F192" t="str">
        <f>REPT( "  ", Aop!$C192) &amp; VLOOKUP( Aop!$A192, Aop!$A$2:$N$415, ID_Jezik + 6, 1)</f>
        <v xml:space="preserve">      8. Naplaćena otpisana potraživanja</v>
      </c>
      <c r="G192" t="s">
        <v>1218</v>
      </c>
      <c r="H192" t="s">
        <v>1959</v>
      </c>
      <c r="I192" t="s">
        <v>1960</v>
      </c>
      <c r="J192" s="267">
        <v>677</v>
      </c>
      <c r="K192" s="267">
        <v>677</v>
      </c>
      <c r="L192" s="267">
        <v>677</v>
      </c>
      <c r="M192" s="10"/>
      <c r="N192" s="10"/>
    </row>
    <row r="193" spans="1:14" x14ac:dyDescent="0.2">
      <c r="A193">
        <f t="shared" si="2"/>
        <v>192</v>
      </c>
      <c r="B193" t="s">
        <v>1497</v>
      </c>
      <c r="C193">
        <v>3</v>
      </c>
      <c r="D193">
        <v>255</v>
      </c>
      <c r="E193" s="2">
        <f>VLOOKUP( Aop!$A193, Aop!$A$2:$N$415, ID_Jezik + 9, 1)</f>
        <v>678</v>
      </c>
      <c r="F193" t="str">
        <f>REPT( "  ", Aop!$C193) &amp; VLOOKUP( Aop!$A193, Aop!$A$2:$N$415, ID_Jezik + 6, 1)</f>
        <v xml:space="preserve">      9. Prihodi po osnovu ugovorene zaštite od rizika, koji ne ispunjavaju uslove da se iskažu u okviru revalorizacionih rezervi</v>
      </c>
      <c r="G193" t="s">
        <v>771</v>
      </c>
      <c r="H193" t="s">
        <v>1961</v>
      </c>
      <c r="I193" t="s">
        <v>1962</v>
      </c>
      <c r="J193" s="267">
        <v>678</v>
      </c>
      <c r="K193" s="267">
        <v>678</v>
      </c>
      <c r="L193" s="267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1497</v>
      </c>
      <c r="C194">
        <v>3</v>
      </c>
      <c r="D194">
        <v>256</v>
      </c>
      <c r="E194" s="2">
        <f>VLOOKUP( Aop!$A194, Aop!$A$2:$N$415, ID_Jezik + 9, 1)</f>
        <v>679</v>
      </c>
      <c r="F194" t="str">
        <f>REPT( "  ", Aop!$C194) &amp; VLOOKUP( Aop!$A194, Aop!$A$2:$N$415, ID_Jezik + 6, 1)</f>
        <v xml:space="preserve">      10. Prihodi od smanjenja obaveza, ukidanja neiskorišćenih dugoročnih rezervisanja i ostali nepomenuti prihodi</v>
      </c>
      <c r="G194" t="s">
        <v>1963</v>
      </c>
      <c r="H194" t="s">
        <v>1964</v>
      </c>
      <c r="I194" t="s">
        <v>1965</v>
      </c>
      <c r="J194" s="267">
        <v>679</v>
      </c>
      <c r="K194" s="267">
        <v>679</v>
      </c>
      <c r="L194" s="267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1497</v>
      </c>
      <c r="C195">
        <v>2</v>
      </c>
      <c r="D195">
        <v>257</v>
      </c>
      <c r="E195" s="2">
        <f>VLOOKUP( Aop!$A195, Aop!$A$2:$N$415, ID_Jezik + 9, 1)</f>
        <v>57</v>
      </c>
      <c r="F195" t="str">
        <f>REPT( "  ", Aop!$C195) &amp; VLOOKUP( Aop!$A195, Aop!$A$2:$N$415, ID_Jezik + 6, 1)</f>
        <v xml:space="preserve">    II - OSTALI RASHODI (258 do 267)</v>
      </c>
      <c r="G195" t="s">
        <v>1966</v>
      </c>
      <c r="H195" t="s">
        <v>1967</v>
      </c>
      <c r="I195" t="s">
        <v>1968</v>
      </c>
      <c r="J195" s="267">
        <v>57</v>
      </c>
      <c r="K195" s="267">
        <v>57</v>
      </c>
      <c r="L195" s="267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1497</v>
      </c>
      <c r="C196">
        <v>3</v>
      </c>
      <c r="D196">
        <v>258</v>
      </c>
      <c r="E196" s="2">
        <f>VLOOKUP( Aop!$A196, Aop!$A$2:$N$415, ID_Jezik + 9, 1)</f>
        <v>570</v>
      </c>
      <c r="F196" t="str">
        <f>REPT( "  ", Aop!$C196) &amp; VLOOKUP( Aop!$A196, Aop!$A$2:$N$415, ID_Jezik + 6, 1)</f>
        <v xml:space="preserve">      1. Gubici po osnovu prodaje i rashodovanja nematerijalnih sredstava, nekretnina, postrojenja i opreme</v>
      </c>
      <c r="G196" t="s">
        <v>1969</v>
      </c>
      <c r="H196" t="s">
        <v>1970</v>
      </c>
      <c r="I196" t="s">
        <v>1971</v>
      </c>
      <c r="J196" s="267">
        <v>570</v>
      </c>
      <c r="K196" s="267">
        <v>570</v>
      </c>
      <c r="L196" s="267">
        <v>570</v>
      </c>
      <c r="M196" s="10"/>
      <c r="N196" s="10"/>
    </row>
    <row r="197" spans="1:14" x14ac:dyDescent="0.2">
      <c r="A197">
        <f t="shared" si="3"/>
        <v>196</v>
      </c>
      <c r="B197" t="s">
        <v>1497</v>
      </c>
      <c r="C197">
        <v>3</v>
      </c>
      <c r="D197">
        <v>259</v>
      </c>
      <c r="E197" s="2">
        <f>VLOOKUP( Aop!$A197, Aop!$A$2:$N$415, ID_Jezik + 9, 1)</f>
        <v>571</v>
      </c>
      <c r="F197" t="str">
        <f>REPT( "  ", Aop!$C197) &amp; VLOOKUP( Aop!$A197, Aop!$A$2:$N$415, ID_Jezik + 6, 1)</f>
        <v xml:space="preserve">      2. Gubici po osnovu prodaje i rashodovanja investicionih nekretnina</v>
      </c>
      <c r="G197" t="s">
        <v>772</v>
      </c>
      <c r="H197" t="s">
        <v>1972</v>
      </c>
      <c r="I197" t="s">
        <v>1973</v>
      </c>
      <c r="J197" s="267">
        <v>571</v>
      </c>
      <c r="K197" s="267">
        <v>571</v>
      </c>
      <c r="L197" s="267">
        <v>571</v>
      </c>
      <c r="M197" s="10"/>
      <c r="N197" s="10"/>
    </row>
    <row r="198" spans="1:14" x14ac:dyDescent="0.2">
      <c r="A198">
        <f t="shared" si="3"/>
        <v>197</v>
      </c>
      <c r="B198" t="s">
        <v>1497</v>
      </c>
      <c r="C198">
        <v>3</v>
      </c>
      <c r="D198">
        <v>260</v>
      </c>
      <c r="E198" s="2">
        <f>VLOOKUP( Aop!$A198, Aop!$A$2:$N$415, ID_Jezik + 9, 1)</f>
        <v>572</v>
      </c>
      <c r="F198" t="str">
        <f>REPT( "  ", Aop!$C198) &amp; VLOOKUP( Aop!$A198, Aop!$A$2:$N$415, ID_Jezik + 6, 1)</f>
        <v xml:space="preserve">      3. Gubici po osnovu prodaje i rashodovanja bioloških sredstava</v>
      </c>
      <c r="G198" t="s">
        <v>773</v>
      </c>
      <c r="H198" t="s">
        <v>1974</v>
      </c>
      <c r="I198" t="s">
        <v>1975</v>
      </c>
      <c r="J198" s="267">
        <v>572</v>
      </c>
      <c r="K198" s="267">
        <v>572</v>
      </c>
      <c r="L198" s="267">
        <v>572</v>
      </c>
      <c r="M198" s="10"/>
      <c r="N198" s="10"/>
    </row>
    <row r="199" spans="1:14" x14ac:dyDescent="0.2">
      <c r="A199">
        <f t="shared" si="3"/>
        <v>198</v>
      </c>
      <c r="B199" t="s">
        <v>1497</v>
      </c>
      <c r="C199">
        <v>3</v>
      </c>
      <c r="D199">
        <v>261</v>
      </c>
      <c r="E199" s="2">
        <f>VLOOKUP( Aop!$A199, Aop!$A$2:$N$415, ID_Jezik + 9, 1)</f>
        <v>573</v>
      </c>
      <c r="F199" t="str">
        <f>REPT( "  ", Aop!$C199) &amp; VLOOKUP( Aop!$A199, Aop!$A$2:$N$415, ID_Jezik + 6, 1)</f>
        <v xml:space="preserve">      4. Gubici po osnovu prodaje sredstava obustavljenog poslovanja</v>
      </c>
      <c r="G199" t="s">
        <v>774</v>
      </c>
      <c r="H199" t="s">
        <v>1976</v>
      </c>
      <c r="I199" t="s">
        <v>1977</v>
      </c>
      <c r="J199" s="267">
        <v>573</v>
      </c>
      <c r="K199" s="267">
        <v>573</v>
      </c>
      <c r="L199" s="267">
        <v>573</v>
      </c>
      <c r="M199" s="10"/>
      <c r="N199" s="10"/>
    </row>
    <row r="200" spans="1:14" x14ac:dyDescent="0.2">
      <c r="A200">
        <f t="shared" si="3"/>
        <v>199</v>
      </c>
      <c r="B200" t="s">
        <v>1497</v>
      </c>
      <c r="C200">
        <v>3</v>
      </c>
      <c r="D200">
        <v>262</v>
      </c>
      <c r="E200" s="2">
        <f>VLOOKUP( Aop!$A200, Aop!$A$2:$N$415, ID_Jezik + 9, 1)</f>
        <v>574</v>
      </c>
      <c r="F200" t="str">
        <f>REPT( "  ", Aop!$C200) &amp; VLOOKUP( Aop!$A200, Aop!$A$2:$N$415, ID_Jezik + 6, 1)</f>
        <v xml:space="preserve">      5. Gubici po osnovu prodaje učešća u kapitalu i HOV</v>
      </c>
      <c r="G200" t="s">
        <v>1978</v>
      </c>
      <c r="H200" t="s">
        <v>1979</v>
      </c>
      <c r="I200" t="s">
        <v>1980</v>
      </c>
      <c r="J200" s="267">
        <v>574</v>
      </c>
      <c r="K200" s="267">
        <v>574</v>
      </c>
      <c r="L200" s="267">
        <v>574</v>
      </c>
      <c r="M200" s="10"/>
      <c r="N200" s="10"/>
    </row>
    <row r="201" spans="1:14" x14ac:dyDescent="0.2">
      <c r="A201">
        <f t="shared" si="3"/>
        <v>200</v>
      </c>
      <c r="B201" t="s">
        <v>1497</v>
      </c>
      <c r="C201">
        <v>3</v>
      </c>
      <c r="D201">
        <v>263</v>
      </c>
      <c r="E201" s="2">
        <f>VLOOKUP( Aop!$A201, Aop!$A$2:$N$415, ID_Jezik + 9, 1)</f>
        <v>575</v>
      </c>
      <c r="F201" t="str">
        <f>REPT( "  ", Aop!$C201) &amp; VLOOKUP( Aop!$A201, Aop!$A$2:$N$415, ID_Jezik + 6, 1)</f>
        <v xml:space="preserve">      6. Gubici po osnovu prodaje materijala</v>
      </c>
      <c r="G201" t="s">
        <v>180</v>
      </c>
      <c r="H201" t="s">
        <v>181</v>
      </c>
      <c r="I201" t="s">
        <v>1981</v>
      </c>
      <c r="J201" s="267">
        <v>575</v>
      </c>
      <c r="K201" s="267">
        <v>575</v>
      </c>
      <c r="L201" s="267">
        <v>575</v>
      </c>
      <c r="M201" s="10"/>
      <c r="N201" s="10"/>
    </row>
    <row r="202" spans="1:14" x14ac:dyDescent="0.2">
      <c r="A202">
        <f t="shared" si="3"/>
        <v>201</v>
      </c>
      <c r="B202" t="s">
        <v>1497</v>
      </c>
      <c r="C202">
        <v>3</v>
      </c>
      <c r="D202">
        <v>264</v>
      </c>
      <c r="E202" s="2">
        <f>VLOOKUP( Aop!$A202, Aop!$A$2:$N$415, ID_Jezik + 9, 1)</f>
        <v>576</v>
      </c>
      <c r="F202" t="str">
        <f>REPT( "  ", Aop!$C202) &amp; VLOOKUP( Aop!$A202, Aop!$A$2:$N$415, ID_Jezik + 6, 1)</f>
        <v xml:space="preserve">      7. Manjkovi, izuzimajući manjkove zaliha učinaka</v>
      </c>
      <c r="G202" t="s">
        <v>777</v>
      </c>
      <c r="H202" t="s">
        <v>1982</v>
      </c>
      <c r="I202" t="s">
        <v>1983</v>
      </c>
      <c r="J202" s="267">
        <v>576</v>
      </c>
      <c r="K202" s="267">
        <v>576</v>
      </c>
      <c r="L202" s="267">
        <v>576</v>
      </c>
      <c r="M202" s="10"/>
      <c r="N202" s="10"/>
    </row>
    <row r="203" spans="1:14" x14ac:dyDescent="0.2">
      <c r="A203">
        <f t="shared" si="3"/>
        <v>202</v>
      </c>
      <c r="B203" t="s">
        <v>1497</v>
      </c>
      <c r="C203">
        <v>3</v>
      </c>
      <c r="D203">
        <v>265</v>
      </c>
      <c r="E203" s="2">
        <f>VLOOKUP( Aop!$A203, Aop!$A$2:$N$415, ID_Jezik + 9, 1)</f>
        <v>577</v>
      </c>
      <c r="F203" t="str">
        <f>REPT( "  ", Aop!$C203) &amp; VLOOKUP( Aop!$A203, Aop!$A$2:$N$415, ID_Jezik + 6, 1)</f>
        <v xml:space="preserve">      8. Rashodi po osnovu zaštite od rizika koji ne ispunjavaju uslove da se iskažu u okviru revalorizacionih rezervi</v>
      </c>
      <c r="G203" t="s">
        <v>1984</v>
      </c>
      <c r="H203" t="s">
        <v>1985</v>
      </c>
      <c r="I203" t="s">
        <v>1986</v>
      </c>
      <c r="J203" s="267">
        <v>577</v>
      </c>
      <c r="K203" s="267">
        <v>577</v>
      </c>
      <c r="L203" s="267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1497</v>
      </c>
      <c r="C204">
        <v>3</v>
      </c>
      <c r="D204">
        <v>266</v>
      </c>
      <c r="E204" s="2">
        <f>VLOOKUP( Aop!$A204, Aop!$A$2:$N$415, ID_Jezik + 9, 1)</f>
        <v>578</v>
      </c>
      <c r="F204" t="str">
        <f>REPT( "  ", Aop!$C204) &amp; VLOOKUP( Aop!$A204, Aop!$A$2:$N$415, ID_Jezik + 6, 1)</f>
        <v xml:space="preserve">      9. Rashodi po osnovu ispravke vrijednosti i otpisa potraživanja</v>
      </c>
      <c r="G204" t="s">
        <v>788</v>
      </c>
      <c r="H204" t="s">
        <v>1987</v>
      </c>
      <c r="I204" t="s">
        <v>1988</v>
      </c>
      <c r="J204" s="267">
        <v>578</v>
      </c>
      <c r="K204" s="267">
        <v>578</v>
      </c>
      <c r="L204" s="267">
        <v>578</v>
      </c>
      <c r="M204" s="10"/>
      <c r="N204" s="10"/>
    </row>
    <row r="205" spans="1:14" x14ac:dyDescent="0.2">
      <c r="A205">
        <f t="shared" si="3"/>
        <v>204</v>
      </c>
      <c r="B205" t="s">
        <v>1497</v>
      </c>
      <c r="C205">
        <v>3</v>
      </c>
      <c r="D205">
        <v>267</v>
      </c>
      <c r="E205" s="2">
        <f>VLOOKUP( Aop!$A205, Aop!$A$2:$N$415, ID_Jezik + 9, 1)</f>
        <v>579</v>
      </c>
      <c r="F205" t="str">
        <f>REPT( "  ", Aop!$C205) &amp; VLOOKUP( Aop!$A205, Aop!$A$2:$N$415, ID_Jezik + 6, 1)</f>
        <v xml:space="preserve">      10. Rashodi po osnovu rashodovanja zaliha materijala i robe i ostali rashodi</v>
      </c>
      <c r="G205" t="s">
        <v>775</v>
      </c>
      <c r="H205" t="s">
        <v>1989</v>
      </c>
      <c r="I205" t="s">
        <v>1990</v>
      </c>
      <c r="J205" s="267">
        <v>579</v>
      </c>
      <c r="K205" s="267">
        <v>579</v>
      </c>
      <c r="L205" s="267">
        <v>579</v>
      </c>
      <c r="M205" s="10"/>
      <c r="N205" s="10"/>
    </row>
    <row r="206" spans="1:14" x14ac:dyDescent="0.2">
      <c r="A206">
        <f t="shared" si="3"/>
        <v>205</v>
      </c>
      <c r="B206" t="s">
        <v>1497</v>
      </c>
      <c r="C206">
        <v>1</v>
      </c>
      <c r="D206">
        <v>268</v>
      </c>
      <c r="E206" s="2">
        <f>VLOOKUP( Aop!$A206, Aop!$A$2:$N$415, ID_Jezik + 9, 1)</f>
        <v>0</v>
      </c>
      <c r="F206" t="str">
        <f>REPT( "  ", Aop!$C206) &amp; VLOOKUP( Aop!$A206, Aop!$A$2:$N$415, ID_Jezik + 6, 1)</f>
        <v xml:space="preserve">  Ž. DOBITAK PO OSNOVU OSTALIH PRIHODA I RASHODA (246 - 257)</v>
      </c>
      <c r="G206" t="s">
        <v>1991</v>
      </c>
      <c r="H206" t="s">
        <v>1992</v>
      </c>
      <c r="I206" t="s">
        <v>1993</v>
      </c>
      <c r="J206" s="267"/>
      <c r="K206" s="267"/>
      <c r="L206" s="267"/>
      <c r="M206" s="10">
        <v>1</v>
      </c>
      <c r="N206" s="10"/>
    </row>
    <row r="207" spans="1:14" x14ac:dyDescent="0.2">
      <c r="A207">
        <f t="shared" si="3"/>
        <v>206</v>
      </c>
      <c r="B207" t="s">
        <v>1497</v>
      </c>
      <c r="C207">
        <v>1</v>
      </c>
      <c r="D207">
        <v>269</v>
      </c>
      <c r="E207" s="2">
        <f>VLOOKUP( Aop!$A207, Aop!$A$2:$N$415, ID_Jezik + 9, 1)</f>
        <v>0</v>
      </c>
      <c r="F207" t="str">
        <f>REPT( "  ", Aop!$C207) &amp; VLOOKUP( Aop!$A207, Aop!$A$2:$N$415, ID_Jezik + 6, 1)</f>
        <v xml:space="preserve">  Z. GUBITAK PO OSNOVU OSTALIH PRIHODA I RASHODA (257 - 246)</v>
      </c>
      <c r="G207" t="s">
        <v>1994</v>
      </c>
      <c r="H207" t="s">
        <v>1995</v>
      </c>
      <c r="I207" t="s">
        <v>1996</v>
      </c>
      <c r="J207" s="267"/>
      <c r="K207" s="267"/>
      <c r="L207" s="267"/>
      <c r="M207" s="10">
        <v>1</v>
      </c>
      <c r="N207" s="10"/>
    </row>
    <row r="208" spans="1:14" x14ac:dyDescent="0.2">
      <c r="A208">
        <f t="shared" si="3"/>
        <v>207</v>
      </c>
      <c r="B208" t="s">
        <v>1497</v>
      </c>
      <c r="C208">
        <v>0</v>
      </c>
      <c r="E208" s="2">
        <f>VLOOKUP( Aop!$A208, Aop!$A$2:$N$415, ID_Jezik + 9, 1)</f>
        <v>0</v>
      </c>
      <c r="F208" t="str">
        <f>REPT( "  ", Aop!$C208) &amp; VLOOKUP( Aop!$A208, Aop!$A$2:$N$415, ID_Jezik + 6, 1)</f>
        <v>I. PRIHODI I RASHODI OD USKLAĐIVANJA VRIJEDNOSTI IMOVINE</v>
      </c>
      <c r="G208" t="s">
        <v>778</v>
      </c>
      <c r="H208" t="s">
        <v>1997</v>
      </c>
      <c r="I208" t="s">
        <v>832</v>
      </c>
      <c r="J208" s="267"/>
      <c r="K208" s="267"/>
      <c r="L208" s="267"/>
      <c r="M208" s="10">
        <v>1</v>
      </c>
      <c r="N208" s="10"/>
    </row>
    <row r="209" spans="1:14" x14ac:dyDescent="0.2">
      <c r="A209">
        <f t="shared" si="3"/>
        <v>208</v>
      </c>
      <c r="B209" t="s">
        <v>1497</v>
      </c>
      <c r="C209">
        <v>2</v>
      </c>
      <c r="D209">
        <v>270</v>
      </c>
      <c r="E209" s="2">
        <f>VLOOKUP( Aop!$A209, Aop!$A$2:$N$415, ID_Jezik + 9, 1)</f>
        <v>68</v>
      </c>
      <c r="F209" t="str">
        <f>REPT( "  ", Aop!$C209) &amp; VLOOKUP( Aop!$A209, Aop!$A$2:$N$415, ID_Jezik + 6, 1)</f>
        <v xml:space="preserve">    I - PRIHODI OD USKLAĐIVANJA VRIJEDNOSTI IMOVINE (271 do 279)</v>
      </c>
      <c r="G209" t="s">
        <v>1998</v>
      </c>
      <c r="H209" t="s">
        <v>1999</v>
      </c>
      <c r="I209" t="s">
        <v>2000</v>
      </c>
      <c r="J209" s="267">
        <v>68</v>
      </c>
      <c r="K209" s="267">
        <v>68</v>
      </c>
      <c r="L209" s="267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1497</v>
      </c>
      <c r="C210">
        <v>3</v>
      </c>
      <c r="D210">
        <v>271</v>
      </c>
      <c r="E210" s="2">
        <f>VLOOKUP( Aop!$A210, Aop!$A$2:$N$415, ID_Jezik + 9, 1)</f>
        <v>680</v>
      </c>
      <c r="F210" t="str">
        <f>REPT( "  ", Aop!$C210) &amp; VLOOKUP( Aop!$A210, Aop!$A$2:$N$415, ID_Jezik + 6, 1)</f>
        <v xml:space="preserve">      1. Prihodi od usklađivanja vrijednosti nematerijalnih sredstava</v>
      </c>
      <c r="G210" t="s">
        <v>2001</v>
      </c>
      <c r="H210" t="s">
        <v>2002</v>
      </c>
      <c r="I210" t="s">
        <v>2003</v>
      </c>
      <c r="J210" s="267">
        <v>680</v>
      </c>
      <c r="K210" s="267">
        <v>680</v>
      </c>
      <c r="L210" s="267">
        <v>680</v>
      </c>
      <c r="M210" s="10"/>
      <c r="N210" s="10"/>
    </row>
    <row r="211" spans="1:14" x14ac:dyDescent="0.2">
      <c r="A211">
        <f t="shared" si="3"/>
        <v>210</v>
      </c>
      <c r="B211" t="s">
        <v>1497</v>
      </c>
      <c r="C211">
        <v>3</v>
      </c>
      <c r="D211">
        <v>272</v>
      </c>
      <c r="E211" s="2">
        <f>VLOOKUP( Aop!$A211, Aop!$A$2:$N$415, ID_Jezik + 9, 1)</f>
        <v>681</v>
      </c>
      <c r="F211" t="str">
        <f>REPT( "  ", Aop!$C211) &amp; VLOOKUP( Aop!$A211, Aop!$A$2:$N$415, ID_Jezik + 6, 1)</f>
        <v xml:space="preserve">      2. Prihodi od usklađivanja vrijednosti nekretnina, postrojenja i opreme</v>
      </c>
      <c r="G211" t="s">
        <v>779</v>
      </c>
      <c r="H211" t="s">
        <v>2004</v>
      </c>
      <c r="I211" t="s">
        <v>2005</v>
      </c>
      <c r="J211" s="267">
        <v>681</v>
      </c>
      <c r="K211" s="267">
        <v>681</v>
      </c>
      <c r="L211" s="267">
        <v>681</v>
      </c>
      <c r="M211" s="10"/>
      <c r="N211" s="10"/>
    </row>
    <row r="212" spans="1:14" x14ac:dyDescent="0.2">
      <c r="A212">
        <f t="shared" si="3"/>
        <v>211</v>
      </c>
      <c r="B212" t="s">
        <v>1497</v>
      </c>
      <c r="C212">
        <v>3</v>
      </c>
      <c r="D212">
        <v>273</v>
      </c>
      <c r="E212" s="2">
        <f>VLOOKUP( Aop!$A212, Aop!$A$2:$N$415, ID_Jezik + 9, 1)</f>
        <v>682</v>
      </c>
      <c r="F212" t="str">
        <f>REPT( "  ", Aop!$C212) &amp; VLOOKUP( Aop!$A212, Aop!$A$2:$N$415, ID_Jezik + 6, 1)</f>
        <v xml:space="preserve">      3. Prihodi od usklađivanja vrijednosti investicionih nekretnina za koje se obračunava amortizacija</v>
      </c>
      <c r="G212" t="s">
        <v>780</v>
      </c>
      <c r="H212" t="s">
        <v>2006</v>
      </c>
      <c r="I212" t="s">
        <v>2007</v>
      </c>
      <c r="J212" s="267">
        <v>682</v>
      </c>
      <c r="K212" s="267">
        <v>682</v>
      </c>
      <c r="L212" s="267">
        <v>682</v>
      </c>
      <c r="M212" s="10"/>
      <c r="N212" s="10"/>
    </row>
    <row r="213" spans="1:14" x14ac:dyDescent="0.2">
      <c r="A213">
        <f t="shared" si="3"/>
        <v>212</v>
      </c>
      <c r="B213" t="s">
        <v>1497</v>
      </c>
      <c r="C213">
        <v>3</v>
      </c>
      <c r="D213">
        <v>274</v>
      </c>
      <c r="E213" s="2">
        <f>VLOOKUP( Aop!$A213, Aop!$A$2:$N$415, ID_Jezik + 9, 1)</f>
        <v>683</v>
      </c>
      <c r="F213" t="str">
        <f>REPT( "  ", Aop!$C213) &amp; VLOOKUP( Aop!$A213, Aop!$A$2:$N$415, ID_Jezik + 6, 1)</f>
        <v xml:space="preserve">      4. Prihodi od usklađivanja vrijednosti bioloških sredstava za koje se obračunava amortizacija</v>
      </c>
      <c r="G213" t="s">
        <v>2008</v>
      </c>
      <c r="H213" t="s">
        <v>2009</v>
      </c>
      <c r="I213" t="s">
        <v>2010</v>
      </c>
      <c r="J213" s="267">
        <v>683</v>
      </c>
      <c r="K213" s="267">
        <v>683</v>
      </c>
      <c r="L213" s="267">
        <v>683</v>
      </c>
      <c r="M213" s="10"/>
      <c r="N213" s="10"/>
    </row>
    <row r="214" spans="1:14" x14ac:dyDescent="0.2">
      <c r="A214">
        <f t="shared" si="3"/>
        <v>213</v>
      </c>
      <c r="B214" t="s">
        <v>1497</v>
      </c>
      <c r="C214">
        <v>3</v>
      </c>
      <c r="D214">
        <v>275</v>
      </c>
      <c r="E214" s="2">
        <f>VLOOKUP( Aop!$A214, Aop!$A$2:$N$415, ID_Jezik + 9, 1)</f>
        <v>684</v>
      </c>
      <c r="F214" t="str">
        <f>REPT( "  ", Aop!$C214) &amp; VLOOKUP( Aop!$A214, Aop!$A$2:$N$415, ID_Jezik + 6, 1)</f>
        <v xml:space="preserve">      5. Prihodi od usklađivanja vrijednosti dugoročnih finansijskih plasmana i finansijskih sredstava raspoloživih za prodaju</v>
      </c>
      <c r="G214" t="s">
        <v>2011</v>
      </c>
      <c r="H214" t="s">
        <v>2012</v>
      </c>
      <c r="I214" t="s">
        <v>2013</v>
      </c>
      <c r="J214" s="267">
        <v>684</v>
      </c>
      <c r="K214" s="267">
        <v>684</v>
      </c>
      <c r="L214" s="267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1497</v>
      </c>
      <c r="C215">
        <v>3</v>
      </c>
      <c r="D215">
        <v>276</v>
      </c>
      <c r="E215" s="2">
        <f>VLOOKUP( Aop!$A215, Aop!$A$2:$N$415, ID_Jezik + 9, 1)</f>
        <v>685</v>
      </c>
      <c r="F215" t="str">
        <f>REPT( "  ", Aop!$C215) &amp; VLOOKUP( Aop!$A215, Aop!$A$2:$N$415, ID_Jezik + 6, 1)</f>
        <v xml:space="preserve">      6. Prihodi od usklađivanja vrijednosti zaliha materijala i robe</v>
      </c>
      <c r="G215" t="s">
        <v>781</v>
      </c>
      <c r="H215" t="s">
        <v>2014</v>
      </c>
      <c r="I215" t="s">
        <v>2015</v>
      </c>
      <c r="J215" s="267">
        <v>685</v>
      </c>
      <c r="K215" s="267">
        <v>685</v>
      </c>
      <c r="L215" s="267">
        <v>685</v>
      </c>
      <c r="M215" s="10"/>
      <c r="N215" s="10"/>
    </row>
    <row r="216" spans="1:14" x14ac:dyDescent="0.2">
      <c r="A216">
        <f t="shared" si="3"/>
        <v>215</v>
      </c>
      <c r="B216" t="s">
        <v>1497</v>
      </c>
      <c r="C216">
        <v>3</v>
      </c>
      <c r="D216">
        <v>277</v>
      </c>
      <c r="E216" s="2">
        <f>VLOOKUP( Aop!$A216, Aop!$A$2:$N$415, ID_Jezik + 9, 1)</f>
        <v>686</v>
      </c>
      <c r="F216" t="str">
        <f>REPT( "  ", Aop!$C216) &amp; VLOOKUP( Aop!$A216, Aop!$A$2:$N$415, ID_Jezik + 6, 1)</f>
        <v xml:space="preserve">      7. Prihodi od usklađivanja vrijednosti kratkoročnih finansijskih plasmana</v>
      </c>
      <c r="G216" t="s">
        <v>782</v>
      </c>
      <c r="H216" t="s">
        <v>2016</v>
      </c>
      <c r="I216" t="s">
        <v>2017</v>
      </c>
      <c r="J216" s="267">
        <v>686</v>
      </c>
      <c r="K216" s="267">
        <v>686</v>
      </c>
      <c r="L216" s="267">
        <v>686</v>
      </c>
      <c r="M216" s="10"/>
      <c r="N216" s="10"/>
    </row>
    <row r="217" spans="1:14" x14ac:dyDescent="0.2">
      <c r="A217">
        <f t="shared" si="3"/>
        <v>216</v>
      </c>
      <c r="B217" t="s">
        <v>1497</v>
      </c>
      <c r="C217">
        <v>3</v>
      </c>
      <c r="D217">
        <v>278</v>
      </c>
      <c r="E217" s="2">
        <f>VLOOKUP( Aop!$A217, Aop!$A$2:$N$415, ID_Jezik + 9, 1)</f>
        <v>687</v>
      </c>
      <c r="F217" t="str">
        <f>REPT( "  ", Aop!$C217) &amp; VLOOKUP( Aop!$A217, Aop!$A$2:$N$415, ID_Jezik + 6, 1)</f>
        <v xml:space="preserve">      8. Prihodi od usklađivanja vrijednosti kapitala (negativni Goodwill)</v>
      </c>
      <c r="G217" t="s">
        <v>2018</v>
      </c>
      <c r="H217" t="s">
        <v>2019</v>
      </c>
      <c r="I217" t="s">
        <v>2020</v>
      </c>
      <c r="J217" s="267">
        <v>687</v>
      </c>
      <c r="K217" s="267">
        <v>687</v>
      </c>
      <c r="L217" s="267">
        <v>687</v>
      </c>
      <c r="M217" s="10"/>
      <c r="N217" s="10"/>
    </row>
    <row r="218" spans="1:14" x14ac:dyDescent="0.2">
      <c r="A218">
        <f t="shared" si="3"/>
        <v>217</v>
      </c>
      <c r="B218" t="s">
        <v>1497</v>
      </c>
      <c r="C218">
        <v>3</v>
      </c>
      <c r="D218">
        <v>279</v>
      </c>
      <c r="E218" s="2">
        <f>VLOOKUP( Aop!$A218, Aop!$A$2:$N$415, ID_Jezik + 9, 1)</f>
        <v>689</v>
      </c>
      <c r="F218" t="str">
        <f>REPT( "  ", Aop!$C218) &amp; VLOOKUP( Aop!$A218, Aop!$A$2:$N$415, ID_Jezik + 6, 1)</f>
        <v xml:space="preserve">      9. Prihodi od usklađivanja vrijednosti ostale imovine</v>
      </c>
      <c r="G218" t="s">
        <v>783</v>
      </c>
      <c r="H218" t="s">
        <v>2021</v>
      </c>
      <c r="I218" t="s">
        <v>2022</v>
      </c>
      <c r="J218" s="267">
        <v>689</v>
      </c>
      <c r="K218" s="267">
        <v>689</v>
      </c>
      <c r="L218" s="267">
        <v>689</v>
      </c>
      <c r="M218" s="10"/>
      <c r="N218" s="10"/>
    </row>
    <row r="219" spans="1:14" x14ac:dyDescent="0.2">
      <c r="A219">
        <f t="shared" si="3"/>
        <v>218</v>
      </c>
      <c r="B219" t="s">
        <v>1497</v>
      </c>
      <c r="C219">
        <v>2</v>
      </c>
      <c r="D219">
        <v>280</v>
      </c>
      <c r="E219" s="2">
        <f>VLOOKUP( Aop!$A219, Aop!$A$2:$N$415, ID_Jezik + 9, 1)</f>
        <v>58</v>
      </c>
      <c r="F219" t="str">
        <f>REPT( "  ", Aop!$C219) &amp; VLOOKUP( Aop!$A219, Aop!$A$2:$N$415, ID_Jezik + 6, 1)</f>
        <v xml:space="preserve">    II - RASHODI OD USKLAĐIVANJA VRIJEDNOSTI IMOVINE (281 do 289)</v>
      </c>
      <c r="G219" t="s">
        <v>2023</v>
      </c>
      <c r="H219" t="s">
        <v>2024</v>
      </c>
      <c r="I219" t="s">
        <v>2025</v>
      </c>
      <c r="J219" s="267">
        <v>58</v>
      </c>
      <c r="K219" s="267">
        <v>58</v>
      </c>
      <c r="L219" s="267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1497</v>
      </c>
      <c r="C220">
        <v>3</v>
      </c>
      <c r="D220">
        <v>281</v>
      </c>
      <c r="E220" s="2">
        <f>VLOOKUP( Aop!$A220, Aop!$A$2:$N$415, ID_Jezik + 9, 1)</f>
        <v>580</v>
      </c>
      <c r="F220" t="str">
        <f>REPT( "  ", Aop!$C220) &amp; VLOOKUP( Aop!$A220, Aop!$A$2:$N$415, ID_Jezik + 6, 1)</f>
        <v xml:space="preserve">      1. Obezvrjeđenje nematerijalnih sredstava</v>
      </c>
      <c r="G220" t="s">
        <v>2026</v>
      </c>
      <c r="H220" t="s">
        <v>2027</v>
      </c>
      <c r="I220" t="s">
        <v>2028</v>
      </c>
      <c r="J220" s="267">
        <v>580</v>
      </c>
      <c r="K220" s="267">
        <v>580</v>
      </c>
      <c r="L220" s="267">
        <v>580</v>
      </c>
      <c r="M220" s="10"/>
      <c r="N220" s="10"/>
    </row>
    <row r="221" spans="1:14" x14ac:dyDescent="0.2">
      <c r="A221">
        <f t="shared" si="3"/>
        <v>220</v>
      </c>
      <c r="B221" t="s">
        <v>1497</v>
      </c>
      <c r="C221">
        <v>3</v>
      </c>
      <c r="D221">
        <v>282</v>
      </c>
      <c r="E221" s="2">
        <f>VLOOKUP( Aop!$A221, Aop!$A$2:$N$415, ID_Jezik + 9, 1)</f>
        <v>581</v>
      </c>
      <c r="F221" t="str">
        <f>REPT( "  ", Aop!$C221) &amp; VLOOKUP( Aop!$A221, Aop!$A$2:$N$415, ID_Jezik + 6, 1)</f>
        <v xml:space="preserve">      2. Obezvrjeđenje nekretnina, postrojenja i opreme</v>
      </c>
      <c r="G221" t="s">
        <v>871</v>
      </c>
      <c r="H221" t="s">
        <v>2029</v>
      </c>
      <c r="I221" t="s">
        <v>2030</v>
      </c>
      <c r="J221" s="267">
        <v>581</v>
      </c>
      <c r="K221" s="267">
        <v>581</v>
      </c>
      <c r="L221" s="267">
        <v>581</v>
      </c>
      <c r="M221" s="10"/>
      <c r="N221" s="10"/>
    </row>
    <row r="222" spans="1:14" x14ac:dyDescent="0.2">
      <c r="A222">
        <f t="shared" si="3"/>
        <v>221</v>
      </c>
      <c r="B222" t="s">
        <v>1497</v>
      </c>
      <c r="C222">
        <v>3</v>
      </c>
      <c r="D222">
        <v>283</v>
      </c>
      <c r="E222" s="2">
        <f>VLOOKUP( Aop!$A222, Aop!$A$2:$N$415, ID_Jezik + 9, 1)</f>
        <v>582</v>
      </c>
      <c r="F222" t="str">
        <f>REPT( "  ", Aop!$C222) &amp; VLOOKUP( Aop!$A222, Aop!$A$2:$N$415, ID_Jezik + 6, 1)</f>
        <v xml:space="preserve">      3. Obezvrjeđenje investicionih nekretnina za koje se obračunava amortizacija</v>
      </c>
      <c r="G222" t="s">
        <v>872</v>
      </c>
      <c r="H222" t="s">
        <v>2031</v>
      </c>
      <c r="I222" t="s">
        <v>2032</v>
      </c>
      <c r="J222" s="267">
        <v>582</v>
      </c>
      <c r="K222" s="267">
        <v>582</v>
      </c>
      <c r="L222" s="267">
        <v>582</v>
      </c>
      <c r="M222" s="10"/>
      <c r="N222" s="10"/>
    </row>
    <row r="223" spans="1:14" x14ac:dyDescent="0.2">
      <c r="A223">
        <f t="shared" si="3"/>
        <v>222</v>
      </c>
      <c r="B223" t="s">
        <v>1497</v>
      </c>
      <c r="C223">
        <v>3</v>
      </c>
      <c r="D223">
        <v>284</v>
      </c>
      <c r="E223" s="2">
        <f>VLOOKUP( Aop!$A223, Aop!$A$2:$N$415, ID_Jezik + 9, 1)</f>
        <v>583</v>
      </c>
      <c r="F223" t="str">
        <f>REPT( "  ", Aop!$C223) &amp; VLOOKUP( Aop!$A223, Aop!$A$2:$N$415, ID_Jezik + 6, 1)</f>
        <v xml:space="preserve">      4. Obezvrjeđenje bioloških sredstava za koja se obračunava amortizacija</v>
      </c>
      <c r="G223" t="s">
        <v>2033</v>
      </c>
      <c r="H223" t="s">
        <v>2034</v>
      </c>
      <c r="I223" t="s">
        <v>2035</v>
      </c>
      <c r="J223" s="267">
        <v>583</v>
      </c>
      <c r="K223" s="267">
        <v>583</v>
      </c>
      <c r="L223" s="267">
        <v>583</v>
      </c>
      <c r="M223" s="10"/>
      <c r="N223" s="10"/>
    </row>
    <row r="224" spans="1:14" x14ac:dyDescent="0.2">
      <c r="A224">
        <f t="shared" si="3"/>
        <v>223</v>
      </c>
      <c r="B224" t="s">
        <v>1497</v>
      </c>
      <c r="C224">
        <v>3</v>
      </c>
      <c r="D224">
        <v>285</v>
      </c>
      <c r="E224" s="2">
        <f>VLOOKUP( Aop!$A224, Aop!$A$2:$N$415, ID_Jezik + 9, 1)</f>
        <v>584</v>
      </c>
      <c r="F224" t="str">
        <f>REPT( "  ", Aop!$C224) &amp; VLOOKUP( Aop!$A224, Aop!$A$2:$N$415, ID_Jezik + 6, 1)</f>
        <v xml:space="preserve">      5. Obezvrjeđenje dugoročnih finansijskih plasmana i finansijskih sredstava raspoloživih za prodaju</v>
      </c>
      <c r="G224" t="s">
        <v>873</v>
      </c>
      <c r="H224" t="s">
        <v>2036</v>
      </c>
      <c r="I224" t="s">
        <v>2037</v>
      </c>
      <c r="J224" s="267">
        <v>584</v>
      </c>
      <c r="K224" s="267">
        <v>584</v>
      </c>
      <c r="L224" s="267">
        <v>584</v>
      </c>
      <c r="M224" s="10"/>
      <c r="N224" s="10"/>
    </row>
    <row r="225" spans="1:14" x14ac:dyDescent="0.2">
      <c r="A225">
        <f t="shared" si="3"/>
        <v>224</v>
      </c>
      <c r="B225" t="s">
        <v>1497</v>
      </c>
      <c r="C225">
        <v>3</v>
      </c>
      <c r="D225">
        <v>286</v>
      </c>
      <c r="E225" s="2">
        <f>VLOOKUP( Aop!$A225, Aop!$A$2:$N$415, ID_Jezik + 9, 1)</f>
        <v>585</v>
      </c>
      <c r="F225" t="str">
        <f>REPT( "  ", Aop!$C225) &amp; VLOOKUP( Aop!$A225, Aop!$A$2:$N$415, ID_Jezik + 6, 1)</f>
        <v xml:space="preserve">      6. Obezvrjeđenje zaliha materijala i robe</v>
      </c>
      <c r="G225" t="s">
        <v>874</v>
      </c>
      <c r="H225" t="s">
        <v>2038</v>
      </c>
      <c r="I225" t="s">
        <v>2039</v>
      </c>
      <c r="J225" s="267">
        <v>585</v>
      </c>
      <c r="K225" s="267">
        <v>585</v>
      </c>
      <c r="L225" s="267">
        <v>585</v>
      </c>
      <c r="M225" s="10"/>
      <c r="N225" s="10"/>
    </row>
    <row r="226" spans="1:14" x14ac:dyDescent="0.2">
      <c r="A226">
        <f t="shared" si="3"/>
        <v>225</v>
      </c>
      <c r="B226" t="s">
        <v>1497</v>
      </c>
      <c r="C226">
        <v>3</v>
      </c>
      <c r="D226">
        <v>287</v>
      </c>
      <c r="E226" s="2">
        <f>VLOOKUP( Aop!$A226, Aop!$A$2:$N$415, ID_Jezik + 9, 1)</f>
        <v>586</v>
      </c>
      <c r="F226" t="str">
        <f>REPT( "  ", Aop!$C226) &amp; VLOOKUP( Aop!$A226, Aop!$A$2:$N$415, ID_Jezik + 6, 1)</f>
        <v xml:space="preserve">      7. Obezvrjeđenje kratkoročnih finansijskih plasmana</v>
      </c>
      <c r="G226" t="s">
        <v>875</v>
      </c>
      <c r="H226" t="s">
        <v>2040</v>
      </c>
      <c r="I226" t="s">
        <v>2041</v>
      </c>
      <c r="J226" s="267">
        <v>586</v>
      </c>
      <c r="K226" s="267">
        <v>586</v>
      </c>
      <c r="L226" s="267">
        <v>586</v>
      </c>
      <c r="M226" s="10"/>
      <c r="N226" s="10"/>
    </row>
    <row r="227" spans="1:14" x14ac:dyDescent="0.2">
      <c r="A227">
        <f t="shared" si="3"/>
        <v>226</v>
      </c>
      <c r="B227" t="s">
        <v>1497</v>
      </c>
      <c r="C227">
        <v>3</v>
      </c>
      <c r="D227">
        <v>288</v>
      </c>
      <c r="E227" s="2">
        <f>VLOOKUP( Aop!$A227, Aop!$A$2:$N$415, ID_Jezik + 9, 1)</f>
        <v>588</v>
      </c>
      <c r="F227" t="str">
        <f>REPT( "  ", Aop!$C227) &amp; VLOOKUP( Aop!$A227, Aop!$A$2:$N$415, ID_Jezik + 6, 1)</f>
        <v xml:space="preserve">      8. Obezvrjeđenje potraživanja primjenom indirektne metode utvrđivanja otpisa potraživanja</v>
      </c>
      <c r="G227" t="s">
        <v>182</v>
      </c>
      <c r="H227" t="s">
        <v>183</v>
      </c>
      <c r="I227" t="s">
        <v>2042</v>
      </c>
      <c r="J227" s="267">
        <v>588</v>
      </c>
      <c r="K227" s="267">
        <v>588</v>
      </c>
      <c r="L227" s="267">
        <v>588</v>
      </c>
      <c r="M227" s="10"/>
      <c r="N227" s="10"/>
    </row>
    <row r="228" spans="1:14" x14ac:dyDescent="0.2">
      <c r="A228">
        <f t="shared" si="3"/>
        <v>227</v>
      </c>
      <c r="B228" t="s">
        <v>1497</v>
      </c>
      <c r="C228">
        <v>3</v>
      </c>
      <c r="D228">
        <v>289</v>
      </c>
      <c r="E228" s="2">
        <f>VLOOKUP( Aop!$A228, Aop!$A$2:$N$415, ID_Jezik + 9, 1)</f>
        <v>589</v>
      </c>
      <c r="F228" t="str">
        <f>REPT( "  ", Aop!$C228) &amp; VLOOKUP( Aop!$A228, Aop!$A$2:$N$415, ID_Jezik + 6, 1)</f>
        <v xml:space="preserve">      9. Obezvrjeđenje ostale imovine</v>
      </c>
      <c r="G228" t="s">
        <v>2043</v>
      </c>
      <c r="H228" t="s">
        <v>2044</v>
      </c>
      <c r="I228" t="s">
        <v>2045</v>
      </c>
      <c r="J228" s="267">
        <v>589</v>
      </c>
      <c r="K228" s="267">
        <v>589</v>
      </c>
      <c r="L228" s="267">
        <v>589</v>
      </c>
      <c r="M228" s="10"/>
      <c r="N228" s="10"/>
    </row>
    <row r="229" spans="1:14" x14ac:dyDescent="0.2">
      <c r="A229">
        <f t="shared" si="3"/>
        <v>228</v>
      </c>
      <c r="B229" t="s">
        <v>1497</v>
      </c>
      <c r="C229">
        <v>1</v>
      </c>
      <c r="D229">
        <v>290</v>
      </c>
      <c r="E229" s="2">
        <f>VLOOKUP( Aop!$A229, Aop!$A$2:$N$415, ID_Jezik + 9, 1)</f>
        <v>0</v>
      </c>
      <c r="F229" t="str">
        <f>REPT( "  ", Aop!$C229) &amp; VLOOKUP( Aop!$A229, Aop!$A$2:$N$415, ID_Jezik + 6, 1)</f>
        <v xml:space="preserve">  J. DOBITAK PO OSNOVU USKLAĐIVANJA VRIJEDNOSTI IMOVINE (270 - 280)</v>
      </c>
      <c r="G229" t="s">
        <v>2046</v>
      </c>
      <c r="H229" t="s">
        <v>2047</v>
      </c>
      <c r="I229" t="s">
        <v>2048</v>
      </c>
      <c r="J229" s="267"/>
      <c r="K229" s="267"/>
      <c r="L229" s="267"/>
      <c r="M229" s="10">
        <v>1</v>
      </c>
      <c r="N229" s="10"/>
    </row>
    <row r="230" spans="1:14" x14ac:dyDescent="0.2">
      <c r="A230">
        <f t="shared" si="3"/>
        <v>229</v>
      </c>
      <c r="B230" t="s">
        <v>1497</v>
      </c>
      <c r="C230">
        <v>1</v>
      </c>
      <c r="D230">
        <v>291</v>
      </c>
      <c r="E230" s="2">
        <f>VLOOKUP( Aop!$A230, Aop!$A$2:$N$415, ID_Jezik + 9, 1)</f>
        <v>0</v>
      </c>
      <c r="F230" t="str">
        <f>REPT( "  ", Aop!$C230) &amp; VLOOKUP( Aop!$A230, Aop!$A$2:$N$415, ID_Jezik + 6, 1)</f>
        <v xml:space="preserve">  K. GUBITAK PO OSNOVU USKLAĐIVANJA VRIJEDNOSTI IMOVINE (280 - 270)</v>
      </c>
      <c r="G230" t="s">
        <v>2049</v>
      </c>
      <c r="H230" t="s">
        <v>2050</v>
      </c>
      <c r="I230" t="s">
        <v>2051</v>
      </c>
      <c r="J230" s="267"/>
      <c r="K230" s="267"/>
      <c r="L230" s="267"/>
      <c r="M230" s="10">
        <v>1</v>
      </c>
      <c r="N230" s="10"/>
    </row>
    <row r="231" spans="1:14" x14ac:dyDescent="0.2">
      <c r="A231">
        <f t="shared" si="3"/>
        <v>230</v>
      </c>
      <c r="B231" t="s">
        <v>1497</v>
      </c>
      <c r="C231">
        <v>1</v>
      </c>
      <c r="D231">
        <v>292</v>
      </c>
      <c r="E231" s="2" t="str">
        <f>VLOOKUP( Aop!$A231, Aop!$A$2:$N$415, ID_Jezik + 9, 1)</f>
        <v>690, 691</v>
      </c>
      <c r="F231" t="str">
        <f>REPT( "  ", Aop!$C231) &amp; VLOOKUP( Aop!$A231, Aop!$A$2:$N$415, ID_Jezik + 6, 1)</f>
        <v xml:space="preserve">  L. PRIHODI PO OSNOVU PROMJENE RAČUNOVODSTVENIH POLITIKA I ISPRAVKE GREŠAKA IZ RANIJIH GODINA</v>
      </c>
      <c r="G231" t="s">
        <v>876</v>
      </c>
      <c r="H231" t="s">
        <v>2052</v>
      </c>
      <c r="I231" t="s">
        <v>2053</v>
      </c>
      <c r="J231" s="267" t="s">
        <v>24</v>
      </c>
      <c r="K231" s="267" t="s">
        <v>24</v>
      </c>
      <c r="L231" s="267" t="s">
        <v>24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1497</v>
      </c>
      <c r="C232">
        <v>1</v>
      </c>
      <c r="D232">
        <v>293</v>
      </c>
      <c r="E232" s="2" t="str">
        <f>VLOOKUP( Aop!$A232, Aop!$A$2:$N$415, ID_Jezik + 9, 1)</f>
        <v>590, 591</v>
      </c>
      <c r="F232" t="str">
        <f>REPT( "  ", Aop!$C232) &amp; VLOOKUP( Aop!$A232, Aop!$A$2:$N$415, ID_Jezik + 6, 1)</f>
        <v xml:space="preserve">  LJ. RASHODI PO OSNOVU PROMJENE RAČUNOVODSTVENIH POLITIKA I ISPRAVKE GREŠAKA IZ RANIJIH GODINA</v>
      </c>
      <c r="G232" t="s">
        <v>877</v>
      </c>
      <c r="H232" t="s">
        <v>2054</v>
      </c>
      <c r="I232" t="s">
        <v>539</v>
      </c>
      <c r="J232" s="267" t="s">
        <v>25</v>
      </c>
      <c r="K232" s="267" t="s">
        <v>25</v>
      </c>
      <c r="L232" s="267" t="s">
        <v>25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1497</v>
      </c>
      <c r="C233">
        <v>0</v>
      </c>
      <c r="E233" s="2">
        <f>VLOOKUP( Aop!$A233, Aop!$A$2:$N$415, ID_Jezik + 9, 1)</f>
        <v>0</v>
      </c>
      <c r="F233" t="str">
        <f>REPT( "  ", Aop!$C233) &amp; VLOOKUP( Aop!$A233, Aop!$A$2:$N$415, ID_Jezik + 6, 1)</f>
        <v>M. DOBITAK I GUBITAK PRIJE OPOREZIVANJA</v>
      </c>
      <c r="G233" t="s">
        <v>878</v>
      </c>
      <c r="H233" t="s">
        <v>540</v>
      </c>
      <c r="I233" t="s">
        <v>541</v>
      </c>
      <c r="J233" s="267"/>
      <c r="K233" s="267"/>
      <c r="L233" s="267"/>
      <c r="M233" s="10">
        <v>1</v>
      </c>
      <c r="N233" s="10"/>
    </row>
    <row r="234" spans="1:14" x14ac:dyDescent="0.2">
      <c r="A234">
        <f t="shared" si="3"/>
        <v>233</v>
      </c>
      <c r="B234" t="s">
        <v>1497</v>
      </c>
      <c r="C234">
        <v>2</v>
      </c>
      <c r="D234">
        <v>294</v>
      </c>
      <c r="E234" s="2">
        <f>VLOOKUP( Aop!$A234, Aop!$A$2:$N$415, ID_Jezik + 9, 1)</f>
        <v>0</v>
      </c>
      <c r="F234" t="str">
        <f>REPT( "  ", Aop!$C234) &amp; VLOOKUP( Aop!$A234, Aop!$A$2:$N$415, ID_Jezik + 6, 1)</f>
        <v xml:space="preserve">    1. Dobitak prije oporezivanja (244 + 268 + 290 + 292 - 293 - 245 - 269 - 291)</v>
      </c>
      <c r="G234" t="s">
        <v>542</v>
      </c>
      <c r="H234" t="s">
        <v>543</v>
      </c>
      <c r="I234" t="s">
        <v>544</v>
      </c>
      <c r="J234" s="267"/>
      <c r="K234" s="267"/>
      <c r="L234" s="267"/>
      <c r="M234" s="10"/>
      <c r="N234" s="10"/>
    </row>
    <row r="235" spans="1:14" x14ac:dyDescent="0.2">
      <c r="A235">
        <f t="shared" si="3"/>
        <v>234</v>
      </c>
      <c r="B235" t="s">
        <v>1497</v>
      </c>
      <c r="C235">
        <v>2</v>
      </c>
      <c r="D235">
        <v>295</v>
      </c>
      <c r="E235" s="2">
        <f>VLOOKUP( Aop!$A235, Aop!$A$2:$N$415, ID_Jezik + 9, 1)</f>
        <v>0</v>
      </c>
      <c r="F235" t="str">
        <f>REPT( "  ", Aop!$C235) &amp; VLOOKUP( Aop!$A235, Aop!$A$2:$N$415, ID_Jezik + 6, 1)</f>
        <v xml:space="preserve">    2. Gubitak prije oporezivanja (245 + 269 + 291 + 293 - 292 - 244 - 268 - 290)</v>
      </c>
      <c r="G235" t="s">
        <v>545</v>
      </c>
      <c r="H235" t="s">
        <v>546</v>
      </c>
      <c r="I235" t="s">
        <v>547</v>
      </c>
      <c r="J235" s="267"/>
      <c r="K235" s="267"/>
      <c r="L235" s="267"/>
      <c r="M235" s="10"/>
      <c r="N235" s="10"/>
    </row>
    <row r="236" spans="1:14" x14ac:dyDescent="0.2">
      <c r="A236">
        <f t="shared" si="3"/>
        <v>235</v>
      </c>
      <c r="B236" t="s">
        <v>1497</v>
      </c>
      <c r="C236">
        <v>0</v>
      </c>
      <c r="E236" s="2">
        <f>VLOOKUP( Aop!$A236, Aop!$A$2:$N$415, ID_Jezik + 9, 1)</f>
        <v>0</v>
      </c>
      <c r="F236" t="str">
        <f>REPT( "  ", Aop!$C236) &amp; VLOOKUP( Aop!$A236, Aop!$A$2:$N$415, ID_Jezik + 6, 1)</f>
        <v>N. TEKUĆI I ODLOŽENI POREZ NA DOBIT</v>
      </c>
      <c r="G236" t="s">
        <v>879</v>
      </c>
      <c r="H236" t="s">
        <v>548</v>
      </c>
      <c r="I236" t="s">
        <v>549</v>
      </c>
      <c r="J236" s="267"/>
      <c r="K236" s="267"/>
      <c r="L236" s="267"/>
      <c r="M236" s="10">
        <v>1</v>
      </c>
      <c r="N236" s="10"/>
    </row>
    <row r="237" spans="1:14" x14ac:dyDescent="0.2">
      <c r="A237">
        <f t="shared" si="3"/>
        <v>236</v>
      </c>
      <c r="B237" t="s">
        <v>1497</v>
      </c>
      <c r="C237" s="3">
        <v>2</v>
      </c>
      <c r="D237" s="3">
        <v>296</v>
      </c>
      <c r="E237" s="10">
        <f>VLOOKUP( Aop!$A237, Aop!$A$2:$N$415, ID_Jezik + 9, 1)</f>
        <v>721</v>
      </c>
      <c r="F237" t="str">
        <f>REPT( "  ", Aop!$C237) &amp; VLOOKUP( Aop!$A237, Aop!$A$2:$N$415, ID_Jezik + 6, 1)</f>
        <v xml:space="preserve">    1. Poreski rashodi perioda</v>
      </c>
      <c r="G237" t="s">
        <v>880</v>
      </c>
      <c r="H237" t="s">
        <v>550</v>
      </c>
      <c r="I237" t="s">
        <v>551</v>
      </c>
      <c r="J237" s="267">
        <v>721</v>
      </c>
      <c r="K237" s="267">
        <v>721</v>
      </c>
      <c r="L237" s="267">
        <v>721</v>
      </c>
      <c r="M237" s="10"/>
      <c r="N237" s="10"/>
    </row>
    <row r="238" spans="1:14" x14ac:dyDescent="0.2">
      <c r="A238">
        <f t="shared" si="3"/>
        <v>237</v>
      </c>
      <c r="B238" t="s">
        <v>1497</v>
      </c>
      <c r="C238" s="3">
        <v>2</v>
      </c>
      <c r="D238" s="3">
        <v>297</v>
      </c>
      <c r="E238" s="10">
        <f>VLOOKUP( Aop!$A238, Aop!$A$2:$N$415, ID_Jezik + 9, 1)</f>
        <v>722</v>
      </c>
      <c r="F238" t="str">
        <f>REPT( "  ", Aop!$C238) &amp; VLOOKUP( Aop!$A238, Aop!$A$2:$N$415, ID_Jezik + 6, 1)</f>
        <v xml:space="preserve">    2. Odloženi poreski rashodi perioda</v>
      </c>
      <c r="G238" t="s">
        <v>881</v>
      </c>
      <c r="H238" t="s">
        <v>552</v>
      </c>
      <c r="I238" t="s">
        <v>553</v>
      </c>
      <c r="J238" s="267">
        <v>722</v>
      </c>
      <c r="K238" s="267">
        <v>722</v>
      </c>
      <c r="L238" s="267">
        <v>722</v>
      </c>
      <c r="M238" s="10"/>
      <c r="N238" s="10"/>
    </row>
    <row r="239" spans="1:14" x14ac:dyDescent="0.2">
      <c r="A239">
        <f t="shared" si="3"/>
        <v>238</v>
      </c>
      <c r="B239" t="s">
        <v>1497</v>
      </c>
      <c r="C239">
        <v>2</v>
      </c>
      <c r="D239">
        <v>298</v>
      </c>
      <c r="E239" s="2">
        <f>VLOOKUP( Aop!$A239, Aop!$A$2:$N$415, ID_Jezik + 9, 1)</f>
        <v>723</v>
      </c>
      <c r="F239" t="str">
        <f>REPT( "  ", Aop!$C239) &amp; VLOOKUP( Aop!$A239, Aop!$A$2:$N$415, ID_Jezik + 6, 1)</f>
        <v xml:space="preserve">    3. Odloženi poreski prihodi perioda</v>
      </c>
      <c r="G239" t="s">
        <v>882</v>
      </c>
      <c r="H239" t="s">
        <v>554</v>
      </c>
      <c r="I239" t="s">
        <v>555</v>
      </c>
      <c r="J239" s="267">
        <v>723</v>
      </c>
      <c r="K239" s="267">
        <v>723</v>
      </c>
      <c r="L239" s="267">
        <v>723</v>
      </c>
      <c r="M239" s="10"/>
      <c r="N239" s="10"/>
    </row>
    <row r="240" spans="1:14" x14ac:dyDescent="0.2">
      <c r="A240">
        <f t="shared" si="3"/>
        <v>239</v>
      </c>
      <c r="B240" t="s">
        <v>1497</v>
      </c>
      <c r="C240">
        <v>0</v>
      </c>
      <c r="D240" s="3"/>
      <c r="E240" s="2">
        <f>VLOOKUP( Aop!$A240, Aop!$A$2:$N$415, ID_Jezik + 9, 1)</f>
        <v>0</v>
      </c>
      <c r="F240" t="str">
        <f>REPT( "  ", Aop!$C240) &amp; VLOOKUP( Aop!$A240, Aop!$A$2:$N$415, ID_Jezik + 6, 1)</f>
        <v>NJ. NETO DOBITAK I NETO GUBITAK PERIODA</v>
      </c>
      <c r="G240" t="s">
        <v>883</v>
      </c>
      <c r="H240" t="s">
        <v>556</v>
      </c>
      <c r="I240" t="s">
        <v>557</v>
      </c>
      <c r="J240" s="267"/>
      <c r="K240" s="267"/>
      <c r="L240" s="267"/>
      <c r="M240" s="10">
        <v>1</v>
      </c>
      <c r="N240" s="10"/>
    </row>
    <row r="241" spans="1:14" x14ac:dyDescent="0.2">
      <c r="A241">
        <f t="shared" si="3"/>
        <v>240</v>
      </c>
      <c r="B241" t="s">
        <v>1497</v>
      </c>
      <c r="C241">
        <v>2</v>
      </c>
      <c r="D241" s="3">
        <v>299</v>
      </c>
      <c r="E241" s="2">
        <f>VLOOKUP( Aop!$A241, Aop!$A$2:$N$415, ID_Jezik + 9, 1)</f>
        <v>0</v>
      </c>
      <c r="F241" t="str">
        <f>REPT( "  ", Aop!$C241) &amp; VLOOKUP( Aop!$A241, Aop!$A$2:$N$415, ID_Jezik + 6, 1)</f>
        <v xml:space="preserve">    1. Neto dobitak tekuće godine (294 - 295 - 296 - 297 + 298)</v>
      </c>
      <c r="G241" t="s">
        <v>558</v>
      </c>
      <c r="H241" t="s">
        <v>559</v>
      </c>
      <c r="I241" t="s">
        <v>560</v>
      </c>
      <c r="J241" s="267"/>
      <c r="K241" s="267"/>
      <c r="L241" s="267"/>
      <c r="M241" s="10"/>
      <c r="N241" s="10"/>
    </row>
    <row r="242" spans="1:14" x14ac:dyDescent="0.2">
      <c r="A242">
        <f t="shared" si="3"/>
        <v>241</v>
      </c>
      <c r="B242" t="s">
        <v>1497</v>
      </c>
      <c r="C242">
        <v>2</v>
      </c>
      <c r="D242">
        <v>300</v>
      </c>
      <c r="E242" s="2">
        <f>VLOOKUP( Aop!$A242, Aop!$A$2:$N$415, ID_Jezik + 9, 1)</f>
        <v>0</v>
      </c>
      <c r="F242" t="str">
        <f>REPT( "  ", Aop!$C242) &amp; VLOOKUP( Aop!$A242, Aop!$A$2:$N$415, ID_Jezik + 6, 1)</f>
        <v xml:space="preserve">    2. Neto gubitak tekuće godine (295 - 294 + 296 + 297 - 298)</v>
      </c>
      <c r="G242" t="s">
        <v>561</v>
      </c>
      <c r="H242" t="s">
        <v>562</v>
      </c>
      <c r="I242" t="s">
        <v>563</v>
      </c>
      <c r="J242" s="267"/>
      <c r="K242" s="267"/>
      <c r="L242" s="267"/>
      <c r="M242" s="10"/>
      <c r="N242" s="10"/>
    </row>
    <row r="243" spans="1:14" x14ac:dyDescent="0.2">
      <c r="A243">
        <f t="shared" si="3"/>
        <v>242</v>
      </c>
      <c r="B243" t="s">
        <v>1497</v>
      </c>
      <c r="C243">
        <v>0</v>
      </c>
      <c r="D243" s="3">
        <v>301</v>
      </c>
      <c r="E243" s="2">
        <f>VLOOKUP( Aop!$A243, Aop!$A$2:$N$415, ID_Jezik + 9, 1)</f>
        <v>0</v>
      </c>
      <c r="F243" t="str">
        <f>REPT( "  ", Aop!$C243) &amp; VLOOKUP( Aop!$A243, Aop!$A$2:$N$415, ID_Jezik + 6, 1)</f>
        <v>UKUPNI PRIHODI (201 + 231 + 246 + 270 + 292)</v>
      </c>
      <c r="G243" t="s">
        <v>564</v>
      </c>
      <c r="H243" t="s">
        <v>565</v>
      </c>
      <c r="I243" t="s">
        <v>566</v>
      </c>
      <c r="J243" s="267"/>
      <c r="K243" s="267"/>
      <c r="L243" s="267"/>
      <c r="M243" s="10">
        <v>1</v>
      </c>
      <c r="N243" s="10"/>
    </row>
    <row r="244" spans="1:14" x14ac:dyDescent="0.2">
      <c r="A244">
        <f t="shared" si="3"/>
        <v>243</v>
      </c>
      <c r="B244" t="s">
        <v>1497</v>
      </c>
      <c r="C244">
        <v>0</v>
      </c>
      <c r="D244" s="3">
        <v>302</v>
      </c>
      <c r="E244" s="2">
        <f>VLOOKUP( Aop!$A244, Aop!$A$2:$N$415, ID_Jezik + 9, 1)</f>
        <v>0</v>
      </c>
      <c r="F244" t="str">
        <f>REPT( "  ", Aop!$C244) &amp; VLOOKUP( Aop!$A244, Aop!$A$2:$N$415, ID_Jezik + 6, 1)</f>
        <v>UKUPNI RASHODI (216 + 238 + 257 + 280 + 293)</v>
      </c>
      <c r="G244" t="s">
        <v>567</v>
      </c>
      <c r="H244" t="s">
        <v>568</v>
      </c>
      <c r="I244" t="s">
        <v>569</v>
      </c>
      <c r="J244" s="267"/>
      <c r="K244" s="267"/>
      <c r="L244" s="267"/>
      <c r="M244" s="10">
        <v>1</v>
      </c>
      <c r="N244" s="10"/>
    </row>
    <row r="245" spans="1:14" x14ac:dyDescent="0.2">
      <c r="A245">
        <f t="shared" si="3"/>
        <v>244</v>
      </c>
      <c r="B245" t="s">
        <v>1497</v>
      </c>
      <c r="C245">
        <v>1</v>
      </c>
      <c r="D245">
        <v>303</v>
      </c>
      <c r="E245" s="2">
        <f>VLOOKUP( Aop!$A245, Aop!$A$2:$N$415, ID_Jezik + 9, 1)</f>
        <v>724</v>
      </c>
      <c r="F245" t="str">
        <f>REPT( "  ", Aop!$C245) &amp; VLOOKUP( Aop!$A245, Aop!$A$2:$N$415, ID_Jezik + 6, 1)</f>
        <v xml:space="preserve">  O. MEĐUDIVIDENDE I DRUGI VIDOVI RASPODJELE DOBITKA U TOKU PERIODA</v>
      </c>
      <c r="G245" t="s">
        <v>884</v>
      </c>
      <c r="H245" t="s">
        <v>570</v>
      </c>
      <c r="I245" t="s">
        <v>571</v>
      </c>
      <c r="J245" s="267">
        <v>724</v>
      </c>
      <c r="K245" s="267">
        <v>724</v>
      </c>
      <c r="L245" s="267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1497</v>
      </c>
      <c r="C246" s="3">
        <v>0</v>
      </c>
      <c r="D246" s="3">
        <v>304</v>
      </c>
      <c r="E246" s="10">
        <f>VLOOKUP( Aop!$A246, Aop!$A$2:$N$415, ID_Jezik + 9, 1)</f>
        <v>0</v>
      </c>
      <c r="F246" t="str">
        <f>REPT( "  ", Aop!$C246) &amp; VLOOKUP( Aop!$A246, Aop!$A$2:$N$415, ID_Jezik + 6, 1)</f>
        <v>Dio neto dobitka/gubitka koji pripada većinskim vlasnicima</v>
      </c>
      <c r="G246" t="s">
        <v>897</v>
      </c>
      <c r="H246" t="s">
        <v>572</v>
      </c>
      <c r="I246" t="s">
        <v>931</v>
      </c>
      <c r="J246" s="267"/>
      <c r="K246" s="267"/>
      <c r="L246" s="267"/>
      <c r="M246" s="10"/>
      <c r="N246" s="10"/>
    </row>
    <row r="247" spans="1:14" x14ac:dyDescent="0.2">
      <c r="A247">
        <f t="shared" si="3"/>
        <v>246</v>
      </c>
      <c r="B247" t="s">
        <v>1497</v>
      </c>
      <c r="C247">
        <v>0</v>
      </c>
      <c r="D247" s="3">
        <v>305</v>
      </c>
      <c r="E247" s="2">
        <f>VLOOKUP( Aop!$A247, Aop!$A$2:$N$415, ID_Jezik + 9, 1)</f>
        <v>0</v>
      </c>
      <c r="F247" t="str">
        <f>REPT( "  ", Aop!$C247) &amp; VLOOKUP( Aop!$A247, Aop!$A$2:$N$415, ID_Jezik + 6, 1)</f>
        <v>Dio neto dobitka/gubitka koji pripada manjinskim vlasnicima</v>
      </c>
      <c r="G247" t="s">
        <v>894</v>
      </c>
      <c r="H247" t="s">
        <v>573</v>
      </c>
      <c r="I247" t="s">
        <v>932</v>
      </c>
      <c r="J247" s="267"/>
      <c r="K247" s="267"/>
      <c r="L247" s="267"/>
      <c r="M247" s="10"/>
      <c r="N247" s="10"/>
    </row>
    <row r="248" spans="1:14" x14ac:dyDescent="0.2">
      <c r="A248">
        <f t="shared" si="3"/>
        <v>247</v>
      </c>
      <c r="B248" t="s">
        <v>1497</v>
      </c>
      <c r="C248">
        <v>0</v>
      </c>
      <c r="D248" s="3">
        <v>306</v>
      </c>
      <c r="E248" s="2">
        <f>VLOOKUP( Aop!$A248, Aop!$A$2:$N$415, ID_Jezik + 9, 1)</f>
        <v>0</v>
      </c>
      <c r="F248" s="13" t="str">
        <f>REPT( "  ", Aop!$C248) &amp; VLOOKUP( Aop!$A248, Aop!$A$2:$N$415, ID_Jezik + 6, 1)</f>
        <v>Obična zarada po akciji</v>
      </c>
      <c r="G248" s="13" t="s">
        <v>895</v>
      </c>
      <c r="H248" t="s">
        <v>574</v>
      </c>
      <c r="I248" t="s">
        <v>930</v>
      </c>
      <c r="J248" s="267"/>
      <c r="K248" s="267"/>
      <c r="L248" s="267"/>
      <c r="M248" s="10"/>
      <c r="N248" s="10"/>
    </row>
    <row r="249" spans="1:14" x14ac:dyDescent="0.2">
      <c r="A249">
        <f t="shared" si="3"/>
        <v>248</v>
      </c>
      <c r="B249" t="s">
        <v>1497</v>
      </c>
      <c r="C249">
        <v>0</v>
      </c>
      <c r="D249" s="3">
        <v>307</v>
      </c>
      <c r="E249" s="2">
        <f>VLOOKUP( Aop!$A249, Aop!$A$2:$N$415, ID_Jezik + 9, 1)</f>
        <v>0</v>
      </c>
      <c r="F249" t="str">
        <f>REPT( "  ", Aop!$C249) &amp; VLOOKUP( Aop!$A249, Aop!$A$2:$N$415, ID_Jezik + 6, 1)</f>
        <v>Razrijeđena zarada po akciji</v>
      </c>
      <c r="G249" t="s">
        <v>784</v>
      </c>
      <c r="H249" t="s">
        <v>575</v>
      </c>
      <c r="I249" t="s">
        <v>869</v>
      </c>
      <c r="J249" s="267"/>
      <c r="K249" s="267"/>
      <c r="L249" s="267"/>
      <c r="M249" s="10"/>
      <c r="N249" s="10"/>
    </row>
    <row r="250" spans="1:14" x14ac:dyDescent="0.2">
      <c r="A250">
        <f t="shared" si="3"/>
        <v>249</v>
      </c>
      <c r="B250" t="s">
        <v>1497</v>
      </c>
      <c r="C250">
        <v>0</v>
      </c>
      <c r="D250" s="3">
        <v>308</v>
      </c>
      <c r="E250" s="2">
        <f>VLOOKUP( Aop!$A250, Aop!$A$2:$N$415, ID_Jezik + 9, 1)</f>
        <v>0</v>
      </c>
      <c r="F250" t="str">
        <f>REPT( "  ", Aop!$C250) &amp; VLOOKUP( Aop!$A250, Aop!$A$2:$N$415, ID_Jezik + 6, 1)</f>
        <v>Prosječan broj zaposlenih po osnovu časova rada</v>
      </c>
      <c r="G250" t="s">
        <v>896</v>
      </c>
      <c r="H250" t="s">
        <v>576</v>
      </c>
      <c r="I250" t="s">
        <v>933</v>
      </c>
      <c r="J250" s="267"/>
      <c r="K250" s="267"/>
      <c r="L250" s="267"/>
      <c r="M250" s="10"/>
      <c r="N250" s="10"/>
    </row>
    <row r="251" spans="1:14" x14ac:dyDescent="0.2">
      <c r="A251">
        <f t="shared" si="3"/>
        <v>250</v>
      </c>
      <c r="B251" t="s">
        <v>1497</v>
      </c>
      <c r="C251">
        <v>0</v>
      </c>
      <c r="D251" s="3">
        <v>309</v>
      </c>
      <c r="E251" s="2">
        <f>VLOOKUP( Aop!$A251, Aop!$A$2:$N$415, ID_Jezik + 9, 1)</f>
        <v>0</v>
      </c>
      <c r="F251" t="str">
        <f>REPT( "  ", Aop!$C251) &amp; VLOOKUP( Aop!$A251, Aop!$A$2:$N$415, ID_Jezik + 6, 1)</f>
        <v>Prosječan broj zaposlenih po osnovu stanja na kraju mjeseca</v>
      </c>
      <c r="G251" t="s">
        <v>935</v>
      </c>
      <c r="H251" t="s">
        <v>577</v>
      </c>
      <c r="I251" t="s">
        <v>934</v>
      </c>
      <c r="J251" s="267"/>
      <c r="K251" s="267"/>
      <c r="L251" s="267"/>
      <c r="M251" s="10"/>
      <c r="N251" s="10"/>
    </row>
    <row r="252" spans="1:14" x14ac:dyDescent="0.2">
      <c r="A252">
        <f t="shared" si="3"/>
        <v>251</v>
      </c>
      <c r="B252" t="s">
        <v>1508</v>
      </c>
      <c r="C252">
        <v>0</v>
      </c>
      <c r="D252" s="3">
        <v>400</v>
      </c>
      <c r="E252" s="2">
        <f>VLOOKUP( Aop!$A252, Aop!$A$2:$N$415, ID_Jezik + 9, 1)</f>
        <v>0</v>
      </c>
      <c r="F252" t="str">
        <f>REPT( "  ", Aop!$C252) &amp; VLOOKUP( Aop!$A252, Aop!$A$2:$N$415, ID_Jezik + 6, 1)</f>
        <v>A. NETO DOBITAK ILI NETO GUBITAK PERIODA (299 ili 300)</v>
      </c>
      <c r="G252" t="s">
        <v>578</v>
      </c>
      <c r="H252" t="s">
        <v>579</v>
      </c>
      <c r="I252" t="s">
        <v>580</v>
      </c>
      <c r="J252" s="267"/>
      <c r="K252" s="267"/>
      <c r="L252" s="267"/>
      <c r="M252" s="10">
        <v>1</v>
      </c>
      <c r="N252" s="10"/>
    </row>
    <row r="253" spans="1:14" x14ac:dyDescent="0.2">
      <c r="A253">
        <f t="shared" si="3"/>
        <v>252</v>
      </c>
      <c r="B253" t="s">
        <v>1508</v>
      </c>
      <c r="C253">
        <v>1</v>
      </c>
      <c r="D253" s="3">
        <v>401</v>
      </c>
      <c r="E253" s="2">
        <f>VLOOKUP( Aop!$A253, Aop!$A$2:$N$415, ID_Jezik + 9, 1)</f>
        <v>0</v>
      </c>
      <c r="F253" t="str">
        <f>REPT( "  ", Aop!$C253) &amp; VLOOKUP( Aop!$A253, Aop!$A$2:$N$415, ID_Jezik + 6, 1)</f>
        <v xml:space="preserve">  I - DOBICI UTVRĐENI DIREKTNO U KAPITALU (402 do 407)</v>
      </c>
      <c r="G253" t="s">
        <v>581</v>
      </c>
      <c r="H253" t="s">
        <v>582</v>
      </c>
      <c r="I253" t="s">
        <v>583</v>
      </c>
      <c r="J253" s="267"/>
      <c r="K253" s="267"/>
      <c r="L253" s="267"/>
      <c r="M253" s="10">
        <v>1</v>
      </c>
      <c r="N253" s="10"/>
    </row>
    <row r="254" spans="1:14" x14ac:dyDescent="0.2">
      <c r="A254">
        <f t="shared" si="3"/>
        <v>253</v>
      </c>
      <c r="B254" t="s">
        <v>1508</v>
      </c>
      <c r="C254">
        <v>2</v>
      </c>
      <c r="D254" s="3">
        <v>402</v>
      </c>
      <c r="E254" s="2">
        <f>VLOOKUP( Aop!$A254, Aop!$A$2:$N$415, ID_Jezik + 9, 1)</f>
        <v>0</v>
      </c>
      <c r="F254" t="str">
        <f>REPT( "  ", Aop!$C254) &amp; VLOOKUP( Aop!$A254, Aop!$A$2:$N$415, ID_Jezik + 6, 1)</f>
        <v xml:space="preserve">    1. Dobici po osnovu smanjenja revalorizacionih rezervi na stalnim sredstvima, osim HOV raspoloživih za prodaju</v>
      </c>
      <c r="G254" t="s">
        <v>885</v>
      </c>
      <c r="H254" t="s">
        <v>584</v>
      </c>
      <c r="I254" t="s">
        <v>585</v>
      </c>
      <c r="J254" s="267"/>
      <c r="K254" s="267"/>
      <c r="L254" s="267"/>
      <c r="M254" s="10"/>
      <c r="N254" s="10">
        <v>1</v>
      </c>
    </row>
    <row r="255" spans="1:14" x14ac:dyDescent="0.2">
      <c r="A255">
        <f t="shared" si="3"/>
        <v>254</v>
      </c>
      <c r="B255" t="s">
        <v>1508</v>
      </c>
      <c r="C255">
        <v>2</v>
      </c>
      <c r="D255" s="3">
        <v>403</v>
      </c>
      <c r="E255" s="2">
        <f>VLOOKUP( Aop!$A255, Aop!$A$2:$N$415, ID_Jezik + 9, 1)</f>
        <v>0</v>
      </c>
      <c r="F255" t="str">
        <f>REPT( "  ", Aop!$C255) &amp; VLOOKUP( Aop!$A255, Aop!$A$2:$N$415, ID_Jezik + 6, 1)</f>
        <v xml:space="preserve">    2. Dobici po osnovu promjene fer vrijednosti HOV raspoloživih za prodaju</v>
      </c>
      <c r="G255" t="s">
        <v>886</v>
      </c>
      <c r="H255" t="s">
        <v>586</v>
      </c>
      <c r="I255" t="s">
        <v>587</v>
      </c>
      <c r="J255" s="267"/>
      <c r="K255" s="267"/>
      <c r="L255" s="267"/>
      <c r="M255" s="10"/>
      <c r="N255" s="10"/>
    </row>
    <row r="256" spans="1:14" x14ac:dyDescent="0.2">
      <c r="A256">
        <f t="shared" si="3"/>
        <v>255</v>
      </c>
      <c r="B256" t="s">
        <v>1508</v>
      </c>
      <c r="C256">
        <v>2</v>
      </c>
      <c r="D256" s="3">
        <v>404</v>
      </c>
      <c r="E256" s="2">
        <f>VLOOKUP( Aop!$A256, Aop!$A$2:$N$415, ID_Jezik + 9, 1)</f>
        <v>0</v>
      </c>
      <c r="F256" t="str">
        <f>REPT( "  ", Aop!$C256) &amp; VLOOKUP( Aop!$A256, Aop!$A$2:$N$415, ID_Jezik + 6, 1)</f>
        <v xml:space="preserve">    3. Dobici po osnovu prevođenja finansijskih izvještaja inostranog poslovanja</v>
      </c>
      <c r="G256" t="s">
        <v>887</v>
      </c>
      <c r="H256" t="s">
        <v>588</v>
      </c>
      <c r="I256" t="s">
        <v>589</v>
      </c>
      <c r="J256" s="267"/>
      <c r="K256" s="267"/>
      <c r="L256" s="267"/>
      <c r="M256" s="10"/>
      <c r="N256" s="10"/>
    </row>
    <row r="257" spans="1:14" x14ac:dyDescent="0.2">
      <c r="A257">
        <f t="shared" si="3"/>
        <v>256</v>
      </c>
      <c r="B257" t="s">
        <v>1508</v>
      </c>
      <c r="C257">
        <v>2</v>
      </c>
      <c r="D257" s="3">
        <v>405</v>
      </c>
      <c r="E257" s="2">
        <f>VLOOKUP( Aop!$A257, Aop!$A$2:$N$415, ID_Jezik + 9, 1)</f>
        <v>0</v>
      </c>
      <c r="F257" t="str">
        <f>REPT( "  ", Aop!$C257) &amp; VLOOKUP( Aop!$A257, Aop!$A$2:$N$415, ID_Jezik + 6, 1)</f>
        <v xml:space="preserve">    4. Aktuarski dobici od planova definisanih primanja</v>
      </c>
      <c r="G257" t="s">
        <v>888</v>
      </c>
      <c r="H257" t="s">
        <v>590</v>
      </c>
      <c r="I257" t="s">
        <v>591</v>
      </c>
      <c r="J257" s="267"/>
      <c r="K257" s="267"/>
      <c r="L257" s="267"/>
      <c r="M257" s="10"/>
      <c r="N257" s="10"/>
    </row>
    <row r="258" spans="1:14" x14ac:dyDescent="0.2">
      <c r="A258">
        <f t="shared" ref="A258:A321" si="4">ROW()-ROW($A$1)</f>
        <v>257</v>
      </c>
      <c r="B258" t="s">
        <v>1508</v>
      </c>
      <c r="C258">
        <v>2</v>
      </c>
      <c r="D258" s="3">
        <v>406</v>
      </c>
      <c r="E258" s="2">
        <f>VLOOKUP( Aop!$A258, Aop!$A$2:$N$415, ID_Jezik + 9, 1)</f>
        <v>0</v>
      </c>
      <c r="F258" t="str">
        <f>REPT( "  ", Aop!$C258) &amp; VLOOKUP( Aop!$A258, Aop!$A$2:$N$415, ID_Jezik + 6, 1)</f>
        <v xml:space="preserve">    5. Efektivni dio dobitaka po osnovu zaštite od rizika gotovinskih tokova</v>
      </c>
      <c r="G258" t="s">
        <v>785</v>
      </c>
      <c r="H258" t="s">
        <v>592</v>
      </c>
      <c r="I258" t="s">
        <v>593</v>
      </c>
      <c r="J258" s="267"/>
      <c r="K258" s="267"/>
      <c r="L258" s="267"/>
      <c r="M258" s="10"/>
      <c r="N258" s="10"/>
    </row>
    <row r="259" spans="1:14" x14ac:dyDescent="0.2">
      <c r="A259">
        <f t="shared" si="4"/>
        <v>258</v>
      </c>
      <c r="B259" t="s">
        <v>1508</v>
      </c>
      <c r="C259">
        <v>2</v>
      </c>
      <c r="D259" s="3">
        <v>407</v>
      </c>
      <c r="E259" s="2">
        <f>VLOOKUP( Aop!$A259, Aop!$A$2:$N$415, ID_Jezik + 9, 1)</f>
        <v>0</v>
      </c>
      <c r="F259" t="str">
        <f>REPT( "  ", Aop!$C259) &amp; VLOOKUP( Aop!$A259, Aop!$A$2:$N$415, ID_Jezik + 6, 1)</f>
        <v xml:space="preserve">    6. Ostali dobici utvrđeni direktno u kapitalu</v>
      </c>
      <c r="G259" t="s">
        <v>889</v>
      </c>
      <c r="H259" t="s">
        <v>594</v>
      </c>
      <c r="I259" t="s">
        <v>595</v>
      </c>
      <c r="J259" s="267"/>
      <c r="K259" s="267"/>
      <c r="L259" s="267"/>
      <c r="M259" s="10"/>
      <c r="N259" s="10"/>
    </row>
    <row r="260" spans="1:14" x14ac:dyDescent="0.2">
      <c r="A260">
        <f t="shared" si="4"/>
        <v>259</v>
      </c>
      <c r="B260" t="s">
        <v>1508</v>
      </c>
      <c r="C260">
        <v>1</v>
      </c>
      <c r="D260" s="3">
        <v>408</v>
      </c>
      <c r="E260" s="2">
        <f>VLOOKUP( Aop!$A260, Aop!$A$2:$N$415, ID_Jezik + 9, 1)</f>
        <v>0</v>
      </c>
      <c r="F260" t="str">
        <f>REPT( "  ", Aop!$C260) &amp; VLOOKUP( Aop!$A260, Aop!$A$2:$N$415, ID_Jezik + 6, 1)</f>
        <v xml:space="preserve">  II - GUBICI UTVRĐENI DIREKTNO U KAPITALU (409 do 413)</v>
      </c>
      <c r="G260" t="s">
        <v>596</v>
      </c>
      <c r="H260" t="s">
        <v>597</v>
      </c>
      <c r="I260" t="s">
        <v>598</v>
      </c>
      <c r="J260" s="267"/>
      <c r="K260" s="267"/>
      <c r="L260" s="267"/>
      <c r="M260" s="10">
        <v>1</v>
      </c>
      <c r="N260" s="10"/>
    </row>
    <row r="261" spans="1:14" x14ac:dyDescent="0.2">
      <c r="A261">
        <f t="shared" si="4"/>
        <v>260</v>
      </c>
      <c r="B261" t="s">
        <v>1508</v>
      </c>
      <c r="C261">
        <v>2</v>
      </c>
      <c r="D261" s="3">
        <v>409</v>
      </c>
      <c r="E261" s="2">
        <f>VLOOKUP( Aop!$A261, Aop!$A$2:$N$415, ID_Jezik + 9, 1)</f>
        <v>0</v>
      </c>
      <c r="F261" t="str">
        <f>REPT( "  ", Aop!$C261) &amp; VLOOKUP( Aop!$A261, Aop!$A$2:$N$415, ID_Jezik + 6, 1)</f>
        <v xml:space="preserve">    1. Gubici po osnovu promjene fer vrijednosti HOV raspoloživih za prodaju</v>
      </c>
      <c r="G261" t="s">
        <v>890</v>
      </c>
      <c r="H261" t="s">
        <v>599</v>
      </c>
      <c r="I261" t="s">
        <v>600</v>
      </c>
      <c r="J261" s="267"/>
      <c r="K261" s="267"/>
      <c r="L261" s="267"/>
      <c r="M261" s="10"/>
      <c r="N261" s="10"/>
    </row>
    <row r="262" spans="1:14" x14ac:dyDescent="0.2">
      <c r="A262">
        <f t="shared" si="4"/>
        <v>261</v>
      </c>
      <c r="B262" t="s">
        <v>1508</v>
      </c>
      <c r="C262">
        <v>2</v>
      </c>
      <c r="D262" s="3">
        <v>410</v>
      </c>
      <c r="E262" s="2">
        <f>VLOOKUP( Aop!$A262, Aop!$A$2:$N$415, ID_Jezik + 9, 1)</f>
        <v>0</v>
      </c>
      <c r="F262" t="str">
        <f>REPT( "  ", Aop!$C262) &amp; VLOOKUP( Aop!$A262, Aop!$A$2:$N$415, ID_Jezik + 6, 1)</f>
        <v xml:space="preserve">    2. Gubici po osnovu prevođenja finansijskih izvještaja inostranog poslovanja</v>
      </c>
      <c r="G262" t="s">
        <v>892</v>
      </c>
      <c r="H262" t="s">
        <v>601</v>
      </c>
      <c r="I262" t="s">
        <v>602</v>
      </c>
      <c r="J262" s="267"/>
      <c r="K262" s="267"/>
      <c r="L262" s="267"/>
      <c r="M262" s="10"/>
      <c r="N262" s="10"/>
    </row>
    <row r="263" spans="1:14" x14ac:dyDescent="0.2">
      <c r="A263">
        <f t="shared" si="4"/>
        <v>262</v>
      </c>
      <c r="B263" t="s">
        <v>1508</v>
      </c>
      <c r="C263">
        <v>2</v>
      </c>
      <c r="D263">
        <v>411</v>
      </c>
      <c r="E263" s="2">
        <f>VLOOKUP( Aop!$A263, Aop!$A$2:$N$415, ID_Jezik + 9, 1)</f>
        <v>0</v>
      </c>
      <c r="F263" t="str">
        <f>REPT( "  ", Aop!$C263) &amp; VLOOKUP( Aop!$A263, Aop!$A$2:$N$415, ID_Jezik + 6, 1)</f>
        <v xml:space="preserve">    3. Aktuarski gubici od planova definisanih primanja</v>
      </c>
      <c r="G263" t="s">
        <v>891</v>
      </c>
      <c r="H263" t="s">
        <v>603</v>
      </c>
      <c r="I263" t="s">
        <v>604</v>
      </c>
      <c r="J263" s="267"/>
      <c r="K263" s="267"/>
      <c r="L263" s="267"/>
      <c r="M263" s="10"/>
      <c r="N263" s="10"/>
    </row>
    <row r="264" spans="1:14" x14ac:dyDescent="0.2">
      <c r="A264">
        <f t="shared" si="4"/>
        <v>263</v>
      </c>
      <c r="B264" t="s">
        <v>1508</v>
      </c>
      <c r="C264">
        <v>2</v>
      </c>
      <c r="D264">
        <v>412</v>
      </c>
      <c r="E264" s="2">
        <f>VLOOKUP( Aop!$A264, Aop!$A$2:$N$415, ID_Jezik + 9, 1)</f>
        <v>0</v>
      </c>
      <c r="F264" t="str">
        <f>REPT( "  ", Aop!$C264) &amp; VLOOKUP( Aop!$A264, Aop!$A$2:$N$415, ID_Jezik + 6, 1)</f>
        <v xml:space="preserve">    4. Efektivni dio gubitaka po osnovu zaštite od rizika gotovinskih tokova</v>
      </c>
      <c r="G264" t="s">
        <v>796</v>
      </c>
      <c r="H264" t="s">
        <v>605</v>
      </c>
      <c r="I264" t="s">
        <v>606</v>
      </c>
      <c r="J264" s="267"/>
      <c r="K264" s="267"/>
      <c r="L264" s="267"/>
      <c r="M264" s="10"/>
      <c r="N264" s="10"/>
    </row>
    <row r="265" spans="1:14" x14ac:dyDescent="0.2">
      <c r="A265">
        <f t="shared" si="4"/>
        <v>264</v>
      </c>
      <c r="B265" t="s">
        <v>1508</v>
      </c>
      <c r="C265">
        <v>2</v>
      </c>
      <c r="D265">
        <v>413</v>
      </c>
      <c r="E265" s="2">
        <f>VLOOKUP( Aop!$A265, Aop!$A$2:$N$415, ID_Jezik + 9, 1)</f>
        <v>0</v>
      </c>
      <c r="F265" t="str">
        <f>REPT( "  ", Aop!$C265) &amp; VLOOKUP( Aop!$A265, Aop!$A$2:$N$415, ID_Jezik + 6, 1)</f>
        <v xml:space="preserve">    5. Ostali gubici utvrđeni direktno u kapitalu</v>
      </c>
      <c r="G265" t="s">
        <v>893</v>
      </c>
      <c r="H265" t="s">
        <v>607</v>
      </c>
      <c r="I265" t="s">
        <v>608</v>
      </c>
      <c r="J265" s="267"/>
      <c r="K265" s="267"/>
      <c r="L265" s="267"/>
      <c r="M265" s="10"/>
      <c r="N265" s="10"/>
    </row>
    <row r="266" spans="1:14" x14ac:dyDescent="0.2">
      <c r="A266">
        <f t="shared" si="4"/>
        <v>265</v>
      </c>
      <c r="B266" t="s">
        <v>1508</v>
      </c>
      <c r="C266">
        <v>0</v>
      </c>
      <c r="D266">
        <v>414</v>
      </c>
      <c r="E266" s="2">
        <f>VLOOKUP( Aop!$A266, Aop!$A$2:$N$415, ID_Jezik + 9, 1)</f>
        <v>0</v>
      </c>
      <c r="F266" t="str">
        <f>REPT( "  ", Aop!$C266) &amp; VLOOKUP( Aop!$A266, Aop!$A$2:$N$415, ID_Jezik + 6, 1)</f>
        <v>B. OSTALI DOBICI ILI GUBICI U PERIODU (401 - 408) ili (408 - 401)</v>
      </c>
      <c r="G266" t="s">
        <v>609</v>
      </c>
      <c r="H266" t="s">
        <v>610</v>
      </c>
      <c r="I266" t="s">
        <v>611</v>
      </c>
      <c r="J266" s="267"/>
      <c r="K266" s="267"/>
      <c r="L266" s="267"/>
      <c r="M266" s="10">
        <v>1</v>
      </c>
      <c r="N266" s="10"/>
    </row>
    <row r="267" spans="1:14" x14ac:dyDescent="0.2">
      <c r="A267">
        <f t="shared" si="4"/>
        <v>266</v>
      </c>
      <c r="B267" t="s">
        <v>1508</v>
      </c>
      <c r="C267">
        <v>0</v>
      </c>
      <c r="D267">
        <v>415</v>
      </c>
      <c r="E267" s="2">
        <f>VLOOKUP( Aop!$A267, Aop!$A$2:$N$415, ID_Jezik + 9, 1)</f>
        <v>0</v>
      </c>
      <c r="F267" t="str">
        <f>REPT( "  ", Aop!$C267) &amp; VLOOKUP( Aop!$A267, Aop!$A$2:$N$415, ID_Jezik + 6, 1)</f>
        <v>V. POREZ NA DOBITAK KOJI SE ODNOSI NA OSTALE DOBITKE I GUBITKE</v>
      </c>
      <c r="G267" t="s">
        <v>1498</v>
      </c>
      <c r="H267" t="s">
        <v>612</v>
      </c>
      <c r="I267" t="s">
        <v>613</v>
      </c>
      <c r="J267" s="267"/>
      <c r="K267" s="267"/>
      <c r="L267" s="267"/>
      <c r="M267" s="10">
        <v>1</v>
      </c>
      <c r="N267" s="10"/>
    </row>
    <row r="268" spans="1:14" x14ac:dyDescent="0.2">
      <c r="A268">
        <f t="shared" si="4"/>
        <v>267</v>
      </c>
      <c r="B268" t="s">
        <v>1508</v>
      </c>
      <c r="C268">
        <v>0</v>
      </c>
      <c r="D268">
        <v>416</v>
      </c>
      <c r="E268" s="2">
        <f>VLOOKUP( Aop!$A268, Aop!$A$2:$N$415, ID_Jezik + 9, 1)</f>
        <v>0</v>
      </c>
      <c r="F268" t="str">
        <f>REPT( "  ", Aop!$C268) &amp; VLOOKUP( Aop!$A268, Aop!$A$2:$N$415, ID_Jezik + 6, 1)</f>
        <v>G. NETO REZULTAT PO OSNOVU OSTALIH DOBITAKA I GUBITAKA U PERIODU (414 ± 415)</v>
      </c>
      <c r="G268" t="s">
        <v>614</v>
      </c>
      <c r="H268" t="s">
        <v>615</v>
      </c>
      <c r="I268" t="s">
        <v>616</v>
      </c>
      <c r="J268" s="267"/>
      <c r="K268" s="267"/>
      <c r="L268" s="267"/>
      <c r="M268" s="10">
        <v>1</v>
      </c>
      <c r="N268" s="10"/>
    </row>
    <row r="269" spans="1:14" x14ac:dyDescent="0.2">
      <c r="A269">
        <f t="shared" si="4"/>
        <v>268</v>
      </c>
      <c r="B269" t="s">
        <v>1508</v>
      </c>
      <c r="C269">
        <v>0</v>
      </c>
      <c r="E269" s="2">
        <f>VLOOKUP( Aop!$A269, Aop!$A$2:$N$415, ID_Jezik + 9, 1)</f>
        <v>0</v>
      </c>
      <c r="F269" t="str">
        <f>REPT( "  ", Aop!$C269) &amp; VLOOKUP( Aop!$A269, Aop!$A$2:$N$415, ID_Jezik + 6, 1)</f>
        <v>D. UKUPAN NETO REZULTAT U OBRAČUNSKOM PERIODU</v>
      </c>
      <c r="G269" t="s">
        <v>1499</v>
      </c>
      <c r="H269" t="s">
        <v>617</v>
      </c>
      <c r="I269" t="s">
        <v>618</v>
      </c>
      <c r="J269" s="267"/>
      <c r="K269" s="267"/>
      <c r="L269" s="267"/>
      <c r="M269" s="10">
        <v>1</v>
      </c>
      <c r="N269" s="10"/>
    </row>
    <row r="270" spans="1:14" x14ac:dyDescent="0.2">
      <c r="A270">
        <f t="shared" si="4"/>
        <v>269</v>
      </c>
      <c r="B270" t="s">
        <v>1508</v>
      </c>
      <c r="C270">
        <v>1</v>
      </c>
      <c r="D270">
        <v>417</v>
      </c>
      <c r="E270" s="2">
        <f>VLOOKUP( Aop!$A270, Aop!$A$2:$N$415, ID_Jezik + 9, 1)</f>
        <v>0</v>
      </c>
      <c r="F270" t="str">
        <f>REPT( "  ", Aop!$C270) &amp; VLOOKUP( Aop!$A270, Aop!$A$2:$N$415, ID_Jezik + 6, 1)</f>
        <v xml:space="preserve">  I - UKUPAN NETO DOBITAK U OBRAČUNSKOM PERIODU (400 ± 416)</v>
      </c>
      <c r="G270" t="s">
        <v>619</v>
      </c>
      <c r="H270" t="s">
        <v>620</v>
      </c>
      <c r="I270" t="s">
        <v>621</v>
      </c>
      <c r="J270" s="267"/>
      <c r="K270" s="267"/>
      <c r="L270" s="267"/>
      <c r="M270" s="10">
        <v>1</v>
      </c>
      <c r="N270" s="10"/>
    </row>
    <row r="271" spans="1:14" x14ac:dyDescent="0.2">
      <c r="A271">
        <f t="shared" si="4"/>
        <v>270</v>
      </c>
      <c r="B271" t="s">
        <v>1508</v>
      </c>
      <c r="C271">
        <v>1</v>
      </c>
      <c r="D271">
        <v>418</v>
      </c>
      <c r="E271" s="2">
        <f>VLOOKUP( Aop!$A271, Aop!$A$2:$N$415, ID_Jezik + 9, 1)</f>
        <v>0</v>
      </c>
      <c r="F271" t="str">
        <f>REPT( "  ", Aop!$C271) &amp; VLOOKUP( Aop!$A271, Aop!$A$2:$N$415, ID_Jezik + 6, 1)</f>
        <v xml:space="preserve">  II - UKUPAN NETO GUBITAK U OBRAČUNSKOM PERIODU (400 ± 416)</v>
      </c>
      <c r="G271" t="s">
        <v>622</v>
      </c>
      <c r="H271" t="s">
        <v>623</v>
      </c>
      <c r="I271" t="s">
        <v>624</v>
      </c>
      <c r="J271" s="267"/>
      <c r="K271" s="267"/>
      <c r="L271" s="267"/>
      <c r="M271" s="10">
        <v>1</v>
      </c>
      <c r="N271" s="10"/>
    </row>
    <row r="272" spans="1:14" x14ac:dyDescent="0.2">
      <c r="A272">
        <f t="shared" si="4"/>
        <v>271</v>
      </c>
      <c r="B272" t="s">
        <v>1374</v>
      </c>
      <c r="C272">
        <v>0</v>
      </c>
      <c r="E272" s="2" t="str">
        <f>VLOOKUP( Aop!$A272, Aop!$A$2:$N$415, ID_Jezik + 9, 1)</f>
        <v>1.</v>
      </c>
      <c r="F272" t="str">
        <f>REPT( "  ", Aop!$C272) &amp; VLOOKUP( Aop!$A272, Aop!$A$2:$N$415, ID_Jezik + 6, 1)</f>
        <v>A. TOKOVI GOTOVINE IZ POSLOVNIH AKTIVNOSTI</v>
      </c>
      <c r="G272" t="s">
        <v>898</v>
      </c>
      <c r="H272" t="s">
        <v>625</v>
      </c>
      <c r="I272" t="s">
        <v>626</v>
      </c>
      <c r="J272" s="267" t="s">
        <v>99</v>
      </c>
      <c r="K272" s="267" t="s">
        <v>99</v>
      </c>
      <c r="L272" s="267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1374</v>
      </c>
      <c r="C273">
        <v>1</v>
      </c>
      <c r="D273">
        <v>501</v>
      </c>
      <c r="E273" s="2" t="str">
        <f>VLOOKUP( Aop!$A273, Aop!$A$2:$N$415, ID_Jezik + 9, 1)</f>
        <v>2.</v>
      </c>
      <c r="F273" t="str">
        <f>REPT( "  ", Aop!$C273) &amp; VLOOKUP( Aop!$A273, Aop!$A$2:$N$415, ID_Jezik + 6, 1)</f>
        <v xml:space="preserve">  I - PRILIVI GOTOVINE IZ POSLOVNIH AKTIVNOSTI (502 do 504)</v>
      </c>
      <c r="G273" t="s">
        <v>627</v>
      </c>
      <c r="H273" t="s">
        <v>628</v>
      </c>
      <c r="I273" t="s">
        <v>629</v>
      </c>
      <c r="J273" s="267" t="s">
        <v>100</v>
      </c>
      <c r="K273" s="267" t="s">
        <v>100</v>
      </c>
      <c r="L273" s="267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1374</v>
      </c>
      <c r="C274">
        <v>2</v>
      </c>
      <c r="D274">
        <v>502</v>
      </c>
      <c r="E274" s="2" t="str">
        <f>VLOOKUP( Aop!$A274, Aop!$A$2:$N$415, ID_Jezik + 9, 1)</f>
        <v>3.</v>
      </c>
      <c r="F274" t="str">
        <f>REPT( "  ", Aop!$C274) &amp; VLOOKUP( Aop!$A274, Aop!$A$2:$N$415, ID_Jezik + 6, 1)</f>
        <v xml:space="preserve">    1. Prilivi od kupaca i primljeni avansi</v>
      </c>
      <c r="G274" t="s">
        <v>899</v>
      </c>
      <c r="H274" t="s">
        <v>630</v>
      </c>
      <c r="I274" t="s">
        <v>631</v>
      </c>
      <c r="J274" s="267" t="s">
        <v>101</v>
      </c>
      <c r="K274" s="267" t="s">
        <v>101</v>
      </c>
      <c r="L274" s="267">
        <v>3</v>
      </c>
      <c r="M274" s="10"/>
      <c r="N274" s="10"/>
    </row>
    <row r="275" spans="1:14" x14ac:dyDescent="0.2">
      <c r="A275">
        <f t="shared" si="4"/>
        <v>274</v>
      </c>
      <c r="B275" t="s">
        <v>1374</v>
      </c>
      <c r="C275">
        <v>2</v>
      </c>
      <c r="D275">
        <v>503</v>
      </c>
      <c r="E275" s="2" t="str">
        <f>VLOOKUP( Aop!$A275, Aop!$A$2:$N$415, ID_Jezik + 9, 1)</f>
        <v>4.</v>
      </c>
      <c r="F275" t="str">
        <f>REPT( "  ", Aop!$C275) &amp; VLOOKUP( Aop!$A275, Aop!$A$2:$N$415, ID_Jezik + 6, 1)</f>
        <v xml:space="preserve">    2. Prilivi od premija, subvencija, dotacija i sl.</v>
      </c>
      <c r="G275" t="s">
        <v>900</v>
      </c>
      <c r="H275" t="s">
        <v>632</v>
      </c>
      <c r="I275" t="s">
        <v>633</v>
      </c>
      <c r="J275" s="267" t="s">
        <v>102</v>
      </c>
      <c r="K275" s="267" t="s">
        <v>102</v>
      </c>
      <c r="L275" s="267">
        <v>4</v>
      </c>
      <c r="M275" s="10"/>
      <c r="N275" s="10"/>
    </row>
    <row r="276" spans="1:14" x14ac:dyDescent="0.2">
      <c r="A276">
        <f t="shared" si="4"/>
        <v>275</v>
      </c>
      <c r="B276" t="s">
        <v>1374</v>
      </c>
      <c r="C276">
        <v>2</v>
      </c>
      <c r="D276">
        <v>504</v>
      </c>
      <c r="E276" s="2" t="str">
        <f>VLOOKUP( Aop!$A276, Aop!$A$2:$N$415, ID_Jezik + 9, 1)</f>
        <v>5.</v>
      </c>
      <c r="F276" t="str">
        <f>REPT( "  ", Aop!$C276) &amp; VLOOKUP( Aop!$A276, Aop!$A$2:$N$415, ID_Jezik + 6, 1)</f>
        <v xml:space="preserve">    3. Ostali prilivi iz poslovnih aktivnosti</v>
      </c>
      <c r="G276" t="s">
        <v>901</v>
      </c>
      <c r="H276" t="s">
        <v>634</v>
      </c>
      <c r="I276" t="s">
        <v>635</v>
      </c>
      <c r="J276" s="267" t="s">
        <v>103</v>
      </c>
      <c r="K276" s="267" t="s">
        <v>103</v>
      </c>
      <c r="L276" s="267">
        <v>5</v>
      </c>
      <c r="M276" s="10"/>
      <c r="N276" s="10"/>
    </row>
    <row r="277" spans="1:14" x14ac:dyDescent="0.2">
      <c r="A277">
        <f t="shared" si="4"/>
        <v>276</v>
      </c>
      <c r="B277" t="s">
        <v>1374</v>
      </c>
      <c r="C277">
        <v>1</v>
      </c>
      <c r="D277">
        <v>505</v>
      </c>
      <c r="E277" s="2" t="str">
        <f>VLOOKUP( Aop!$A277, Aop!$A$2:$N$415, ID_Jezik + 9, 1)</f>
        <v>6.</v>
      </c>
      <c r="F277" t="str">
        <f>REPT( "  ", Aop!$C277) &amp; VLOOKUP( Aop!$A277, Aop!$A$2:$N$415, ID_Jezik + 6, 1)</f>
        <v xml:space="preserve">  II - ODLIVI GOTOVINE IZ POSLOVNIH AKTIVNOSTI (506 do 510)</v>
      </c>
      <c r="G277" t="s">
        <v>636</v>
      </c>
      <c r="H277" t="s">
        <v>637</v>
      </c>
      <c r="I277" t="s">
        <v>638</v>
      </c>
      <c r="J277" s="267" t="s">
        <v>104</v>
      </c>
      <c r="K277" s="267" t="s">
        <v>104</v>
      </c>
      <c r="L277" s="267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1374</v>
      </c>
      <c r="C278">
        <v>2</v>
      </c>
      <c r="D278">
        <v>506</v>
      </c>
      <c r="E278" s="2" t="str">
        <f>VLOOKUP( Aop!$A278, Aop!$A$2:$N$415, ID_Jezik + 9, 1)</f>
        <v>7.</v>
      </c>
      <c r="F278" t="str">
        <f>REPT( "  ", Aop!$C278) &amp; VLOOKUP( Aop!$A278, Aop!$A$2:$N$415, ID_Jezik + 6, 1)</f>
        <v xml:space="preserve">    1. Odlivi po osnovu isplata dobavljačima i dati avansi</v>
      </c>
      <c r="G278" t="s">
        <v>904</v>
      </c>
      <c r="H278" t="s">
        <v>639</v>
      </c>
      <c r="I278" t="s">
        <v>640</v>
      </c>
      <c r="J278" s="267" t="s">
        <v>105</v>
      </c>
      <c r="K278" s="267" t="s">
        <v>105</v>
      </c>
      <c r="L278" s="267">
        <v>7</v>
      </c>
      <c r="M278" s="10"/>
      <c r="N278" s="10"/>
    </row>
    <row r="279" spans="1:14" x14ac:dyDescent="0.2">
      <c r="A279">
        <f t="shared" si="4"/>
        <v>278</v>
      </c>
      <c r="B279" t="s">
        <v>1374</v>
      </c>
      <c r="C279">
        <v>2</v>
      </c>
      <c r="D279">
        <v>507</v>
      </c>
      <c r="E279" s="2" t="str">
        <f>VLOOKUP( Aop!$A279, Aop!$A$2:$N$415, ID_Jezik + 9, 1)</f>
        <v>8.</v>
      </c>
      <c r="F279" t="str">
        <f>REPT( "  ", Aop!$C279) &amp; VLOOKUP( Aop!$A279, Aop!$A$2:$N$415, ID_Jezik + 6, 1)</f>
        <v xml:space="preserve">    2. Odlivi po osnovu isplata zarada, naknada zarada i ostalih ličnih rashoda</v>
      </c>
      <c r="G279" t="s">
        <v>905</v>
      </c>
      <c r="H279" t="s">
        <v>641</v>
      </c>
      <c r="I279" t="s">
        <v>642</v>
      </c>
      <c r="J279" s="267" t="s">
        <v>106</v>
      </c>
      <c r="K279" s="267" t="s">
        <v>106</v>
      </c>
      <c r="L279" s="267">
        <v>8</v>
      </c>
      <c r="M279" s="10"/>
      <c r="N279" s="10"/>
    </row>
    <row r="280" spans="1:14" x14ac:dyDescent="0.2">
      <c r="A280">
        <f t="shared" si="4"/>
        <v>279</v>
      </c>
      <c r="B280" t="s">
        <v>1374</v>
      </c>
      <c r="C280">
        <v>2</v>
      </c>
      <c r="D280">
        <v>508</v>
      </c>
      <c r="E280" s="2" t="str">
        <f>VLOOKUP( Aop!$A280, Aop!$A$2:$N$415, ID_Jezik + 9, 1)</f>
        <v>9.</v>
      </c>
      <c r="F280" t="str">
        <f>REPT( "  ", Aop!$C280) &amp; VLOOKUP( Aop!$A280, Aop!$A$2:$N$415, ID_Jezik + 6, 1)</f>
        <v xml:space="preserve">    3. Odlivi po osnovu plaćenih kamata</v>
      </c>
      <c r="G280" t="s">
        <v>906</v>
      </c>
      <c r="H280" t="s">
        <v>643</v>
      </c>
      <c r="I280" t="s">
        <v>644</v>
      </c>
      <c r="J280" s="267" t="s">
        <v>107</v>
      </c>
      <c r="K280" s="267" t="s">
        <v>107</v>
      </c>
      <c r="L280" s="267">
        <v>9</v>
      </c>
      <c r="M280" s="10"/>
      <c r="N280" s="10"/>
    </row>
    <row r="281" spans="1:14" x14ac:dyDescent="0.2">
      <c r="A281">
        <f t="shared" si="4"/>
        <v>280</v>
      </c>
      <c r="B281" t="s">
        <v>1374</v>
      </c>
      <c r="C281">
        <v>2</v>
      </c>
      <c r="D281">
        <v>509</v>
      </c>
      <c r="E281" s="2" t="str">
        <f>VLOOKUP( Aop!$A281, Aop!$A$2:$N$415, ID_Jezik + 9, 1)</f>
        <v>10.</v>
      </c>
      <c r="F281" t="str">
        <f>REPT( "  ", Aop!$C281) &amp; VLOOKUP( Aop!$A281, Aop!$A$2:$N$415, ID_Jezik + 6, 1)</f>
        <v xml:space="preserve">    4. Odlivi po osnovu poreza na dobit</v>
      </c>
      <c r="G281" t="s">
        <v>902</v>
      </c>
      <c r="H281" t="s">
        <v>645</v>
      </c>
      <c r="I281" t="s">
        <v>646</v>
      </c>
      <c r="J281" s="267" t="s">
        <v>108</v>
      </c>
      <c r="K281" s="267" t="s">
        <v>108</v>
      </c>
      <c r="L281" s="267">
        <v>10</v>
      </c>
      <c r="M281" s="10"/>
      <c r="N281" s="10"/>
    </row>
    <row r="282" spans="1:14" x14ac:dyDescent="0.2">
      <c r="A282">
        <f t="shared" si="4"/>
        <v>281</v>
      </c>
      <c r="B282" t="s">
        <v>1374</v>
      </c>
      <c r="C282">
        <v>2</v>
      </c>
      <c r="D282">
        <v>510</v>
      </c>
      <c r="E282" s="2" t="str">
        <f>VLOOKUP( Aop!$A282, Aop!$A$2:$N$415, ID_Jezik + 9, 1)</f>
        <v>11.</v>
      </c>
      <c r="F282" t="str">
        <f>REPT( "  ", Aop!$C282) &amp; VLOOKUP( Aop!$A282, Aop!$A$2:$N$415, ID_Jezik + 6, 1)</f>
        <v xml:space="preserve">    5. Ostali odlivi iz poslovnih aktivnosti</v>
      </c>
      <c r="G282" t="s">
        <v>903</v>
      </c>
      <c r="H282" t="s">
        <v>647</v>
      </c>
      <c r="I282" t="s">
        <v>648</v>
      </c>
      <c r="J282" s="267" t="s">
        <v>109</v>
      </c>
      <c r="K282" s="267" t="s">
        <v>109</v>
      </c>
      <c r="L282" s="267">
        <v>11</v>
      </c>
      <c r="M282" s="10"/>
      <c r="N282" s="10"/>
    </row>
    <row r="283" spans="1:14" x14ac:dyDescent="0.2">
      <c r="A283">
        <f t="shared" si="4"/>
        <v>282</v>
      </c>
      <c r="B283" t="s">
        <v>1374</v>
      </c>
      <c r="C283">
        <v>1</v>
      </c>
      <c r="D283">
        <v>511</v>
      </c>
      <c r="E283" s="2" t="str">
        <f>VLOOKUP( Aop!$A283, Aop!$A$2:$N$415, ID_Jezik + 9, 1)</f>
        <v>12.</v>
      </c>
      <c r="F283" t="str">
        <f>REPT( "  ", Aop!$C283) &amp; VLOOKUP( Aop!$A283, Aop!$A$2:$N$415, ID_Jezik + 6, 1)</f>
        <v xml:space="preserve">  III - NETO PRILIV GOTOVINE IZ POSLOVNIH AKTIVNOSTI (501 - 505)</v>
      </c>
      <c r="G283" t="s">
        <v>649</v>
      </c>
      <c r="H283" t="s">
        <v>650</v>
      </c>
      <c r="I283" t="s">
        <v>651</v>
      </c>
      <c r="J283" s="267" t="s">
        <v>110</v>
      </c>
      <c r="K283" s="267" t="s">
        <v>110</v>
      </c>
      <c r="L283" s="267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1374</v>
      </c>
      <c r="C284">
        <v>1</v>
      </c>
      <c r="D284">
        <v>512</v>
      </c>
      <c r="E284" s="2" t="str">
        <f>VLOOKUP( Aop!$A284, Aop!$A$2:$N$415, ID_Jezik + 9, 1)</f>
        <v>13.</v>
      </c>
      <c r="F284" t="str">
        <f>REPT( "  ", Aop!$C284) &amp; VLOOKUP( Aop!$A284, Aop!$A$2:$N$415, ID_Jezik + 6, 1)</f>
        <v xml:space="preserve">  IV - NETO ODLIV GOTOVINE IZ POSLOVNIH AKTIVNOSTI (505 - 501)</v>
      </c>
      <c r="G284" t="s">
        <v>652</v>
      </c>
      <c r="H284" t="s">
        <v>653</v>
      </c>
      <c r="I284" t="s">
        <v>654</v>
      </c>
      <c r="J284" s="267" t="s">
        <v>111</v>
      </c>
      <c r="K284" s="267" t="s">
        <v>111</v>
      </c>
      <c r="L284" s="267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1374</v>
      </c>
      <c r="C285">
        <v>0</v>
      </c>
      <c r="E285" s="2" t="str">
        <f>VLOOKUP( Aop!$A285, Aop!$A$2:$N$415, ID_Jezik + 9, 1)</f>
        <v>14.</v>
      </c>
      <c r="F285" t="str">
        <f>REPT( "  ", Aop!$C285) &amp; VLOOKUP( Aop!$A285, Aop!$A$2:$N$415, ID_Jezik + 6, 1)</f>
        <v>B. TOKOVI GOTOVINE IZ AKTIVNOSTI INVESTIRANJA</v>
      </c>
      <c r="G285" t="s">
        <v>1159</v>
      </c>
      <c r="H285" t="s">
        <v>655</v>
      </c>
      <c r="I285" t="s">
        <v>838</v>
      </c>
      <c r="J285" s="267" t="s">
        <v>112</v>
      </c>
      <c r="K285" s="267" t="s">
        <v>112</v>
      </c>
      <c r="L285" s="267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1374</v>
      </c>
      <c r="C286">
        <v>1</v>
      </c>
      <c r="D286">
        <v>513</v>
      </c>
      <c r="E286" s="2" t="str">
        <f>VLOOKUP( Aop!$A286, Aop!$A$2:$N$415, ID_Jezik + 9, 1)</f>
        <v>15.</v>
      </c>
      <c r="F286" t="str">
        <f>REPT( "  ", Aop!$C286) &amp; VLOOKUP( Aop!$A286, Aop!$A$2:$N$415, ID_Jezik + 6, 1)</f>
        <v xml:space="preserve">  I - PRILIVI GOTOVINE IZ AKTIVNOSTI INVESTIRANJA (514 do 519)</v>
      </c>
      <c r="G286" t="s">
        <v>656</v>
      </c>
      <c r="H286" t="s">
        <v>657</v>
      </c>
      <c r="I286" t="s">
        <v>658</v>
      </c>
      <c r="J286" s="267" t="s">
        <v>113</v>
      </c>
      <c r="K286" s="267" t="s">
        <v>113</v>
      </c>
      <c r="L286" s="267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1374</v>
      </c>
      <c r="C287">
        <v>2</v>
      </c>
      <c r="D287">
        <v>514</v>
      </c>
      <c r="E287" s="2" t="str">
        <f>VLOOKUP( Aop!$A287, Aop!$A$2:$N$415, ID_Jezik + 9, 1)</f>
        <v>16.</v>
      </c>
      <c r="F287" t="str">
        <f>REPT( "  ", Aop!$C287) &amp; VLOOKUP( Aop!$A287, Aop!$A$2:$N$415, ID_Jezik + 6, 1)</f>
        <v xml:space="preserve">    1. Prilivi po osnovu kratkoročnih finansijskih plasmana</v>
      </c>
      <c r="G287" t="s">
        <v>909</v>
      </c>
      <c r="H287" t="s">
        <v>659</v>
      </c>
      <c r="I287" t="s">
        <v>660</v>
      </c>
      <c r="J287" s="267" t="s">
        <v>114</v>
      </c>
      <c r="K287" s="267" t="s">
        <v>114</v>
      </c>
      <c r="L287" s="267">
        <v>16</v>
      </c>
      <c r="M287" s="10"/>
      <c r="N287" s="10"/>
    </row>
    <row r="288" spans="1:14" x14ac:dyDescent="0.2">
      <c r="A288">
        <f t="shared" si="4"/>
        <v>287</v>
      </c>
      <c r="B288" t="s">
        <v>1374</v>
      </c>
      <c r="C288">
        <v>2</v>
      </c>
      <c r="D288">
        <v>515</v>
      </c>
      <c r="E288" s="2" t="str">
        <f>VLOOKUP( Aop!$A288, Aop!$A$2:$N$415, ID_Jezik + 9, 1)</f>
        <v>17.</v>
      </c>
      <c r="F288" t="str">
        <f>REPT( "  ", Aop!$C288) &amp; VLOOKUP( Aop!$A288, Aop!$A$2:$N$415, ID_Jezik + 6, 1)</f>
        <v xml:space="preserve">    2. Prilivi po osnovu prodaje akcija i udjela</v>
      </c>
      <c r="G288" t="s">
        <v>907</v>
      </c>
      <c r="H288" t="s">
        <v>661</v>
      </c>
      <c r="I288" t="s">
        <v>662</v>
      </c>
      <c r="J288" s="267" t="s">
        <v>115</v>
      </c>
      <c r="K288" s="267" t="s">
        <v>115</v>
      </c>
      <c r="L288" s="267">
        <v>17</v>
      </c>
      <c r="M288" s="10"/>
      <c r="N288" s="10"/>
    </row>
    <row r="289" spans="1:14" x14ac:dyDescent="0.2">
      <c r="A289">
        <f t="shared" si="4"/>
        <v>288</v>
      </c>
      <c r="B289" t="s">
        <v>1374</v>
      </c>
      <c r="C289">
        <v>2</v>
      </c>
      <c r="D289">
        <v>516</v>
      </c>
      <c r="E289" s="2" t="str">
        <f>VLOOKUP( Aop!$A289, Aop!$A$2:$N$415, ID_Jezik + 9, 1)</f>
        <v>18.</v>
      </c>
      <c r="F289" t="str">
        <f>REPT( "  ", Aop!$C289) &amp; VLOOKUP( Aop!$A289, Aop!$A$2:$N$415, ID_Jezik + 6, 1)</f>
        <v xml:space="preserve">    3. Prilivi po osnovu prodaje nematerijalnih sredstava, nekretnina, postrojenja, opreme, investicionih nekretnina i bioloških sredstava</v>
      </c>
      <c r="G289" t="s">
        <v>173</v>
      </c>
      <c r="H289" s="12" t="s">
        <v>175</v>
      </c>
      <c r="I289" t="s">
        <v>663</v>
      </c>
      <c r="J289" s="267" t="s">
        <v>116</v>
      </c>
      <c r="K289" s="267" t="s">
        <v>116</v>
      </c>
      <c r="L289" s="267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1374</v>
      </c>
      <c r="C290">
        <v>2</v>
      </c>
      <c r="D290">
        <v>517</v>
      </c>
      <c r="E290" s="2" t="str">
        <f>VLOOKUP( Aop!$A290, Aop!$A$2:$N$415, ID_Jezik + 9, 1)</f>
        <v>19.</v>
      </c>
      <c r="F290" t="str">
        <f>REPT( "  ", Aop!$C290) &amp; VLOOKUP( Aop!$A290, Aop!$A$2:$N$415, ID_Jezik + 6, 1)</f>
        <v xml:space="preserve">    4. Prilivi po osnovu kamata</v>
      </c>
      <c r="G290" t="s">
        <v>792</v>
      </c>
      <c r="H290" t="s">
        <v>664</v>
      </c>
      <c r="I290" t="s">
        <v>665</v>
      </c>
      <c r="J290" s="267" t="s">
        <v>117</v>
      </c>
      <c r="K290" s="267" t="s">
        <v>117</v>
      </c>
      <c r="L290" s="267">
        <v>19</v>
      </c>
      <c r="M290" s="10"/>
      <c r="N290" s="10"/>
    </row>
    <row r="291" spans="1:14" x14ac:dyDescent="0.2">
      <c r="A291">
        <f t="shared" si="4"/>
        <v>290</v>
      </c>
      <c r="B291" t="s">
        <v>1374</v>
      </c>
      <c r="C291">
        <v>2</v>
      </c>
      <c r="D291">
        <v>518</v>
      </c>
      <c r="E291" s="2" t="str">
        <f>VLOOKUP( Aop!$A291, Aop!$A$2:$N$415, ID_Jezik + 9, 1)</f>
        <v>20.</v>
      </c>
      <c r="F291" t="str">
        <f>REPT( "  ", Aop!$C291) &amp; VLOOKUP( Aop!$A291, Aop!$A$2:$N$415, ID_Jezik + 6, 1)</f>
        <v xml:space="preserve">    5. Prilivi od dividendi i učešća u dobitku</v>
      </c>
      <c r="G291" t="s">
        <v>910</v>
      </c>
      <c r="H291" t="s">
        <v>666</v>
      </c>
      <c r="I291" t="s">
        <v>667</v>
      </c>
      <c r="J291" s="267" t="s">
        <v>118</v>
      </c>
      <c r="K291" s="267" t="s">
        <v>118</v>
      </c>
      <c r="L291" s="267">
        <v>20</v>
      </c>
      <c r="M291" s="10"/>
      <c r="N291" s="10"/>
    </row>
    <row r="292" spans="1:14" x14ac:dyDescent="0.2">
      <c r="A292">
        <f t="shared" si="4"/>
        <v>291</v>
      </c>
      <c r="B292" t="s">
        <v>1374</v>
      </c>
      <c r="C292">
        <v>2</v>
      </c>
      <c r="D292">
        <v>519</v>
      </c>
      <c r="E292" s="2" t="str">
        <f>VLOOKUP( Aop!$A292, Aop!$A$2:$N$415, ID_Jezik + 9, 1)</f>
        <v>21.</v>
      </c>
      <c r="F292" t="str">
        <f>REPT( "  ", Aop!$C292) &amp; VLOOKUP( Aop!$A292, Aop!$A$2:$N$415, ID_Jezik + 6, 1)</f>
        <v xml:space="preserve">    6. Prilivi po osnovu ostalih dugoročnih finansijskih plasmana</v>
      </c>
      <c r="G292" t="s">
        <v>911</v>
      </c>
      <c r="H292" t="s">
        <v>668</v>
      </c>
      <c r="I292" t="s">
        <v>669</v>
      </c>
      <c r="J292" s="267" t="s">
        <v>119</v>
      </c>
      <c r="K292" s="267" t="s">
        <v>119</v>
      </c>
      <c r="L292" s="267">
        <v>21</v>
      </c>
      <c r="M292" s="10"/>
      <c r="N292" s="10"/>
    </row>
    <row r="293" spans="1:14" x14ac:dyDescent="0.2">
      <c r="A293">
        <f t="shared" si="4"/>
        <v>292</v>
      </c>
      <c r="B293" t="s">
        <v>1374</v>
      </c>
      <c r="C293">
        <v>1</v>
      </c>
      <c r="D293">
        <v>520</v>
      </c>
      <c r="E293" s="2" t="str">
        <f>VLOOKUP( Aop!$A293, Aop!$A$2:$N$415, ID_Jezik + 9, 1)</f>
        <v>22.</v>
      </c>
      <c r="F293" t="str">
        <f>REPT( "  ", Aop!$C293) &amp; VLOOKUP( Aop!$A293, Aop!$A$2:$N$415, ID_Jezik + 6, 1)</f>
        <v xml:space="preserve">  II - ODLIVI GOTOVINE IZ AKTIVNOSTI INVESTIRANJA (521 do 524)</v>
      </c>
      <c r="G293" t="s">
        <v>670</v>
      </c>
      <c r="H293" t="s">
        <v>671</v>
      </c>
      <c r="I293" t="s">
        <v>672</v>
      </c>
      <c r="J293" s="267" t="s">
        <v>120</v>
      </c>
      <c r="K293" s="267" t="s">
        <v>120</v>
      </c>
      <c r="L293" s="267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1374</v>
      </c>
      <c r="C294">
        <v>2</v>
      </c>
      <c r="D294">
        <v>521</v>
      </c>
      <c r="E294" s="2" t="str">
        <f>VLOOKUP( Aop!$A294, Aop!$A$2:$N$415, ID_Jezik + 9, 1)</f>
        <v>23.</v>
      </c>
      <c r="F294" t="str">
        <f>REPT( "  ", Aop!$C294) &amp; VLOOKUP( Aop!$A294, Aop!$A$2:$N$415, ID_Jezik + 6, 1)</f>
        <v xml:space="preserve">    1. Odlivi po osnovu kratkoročnih finansijskih plasmana</v>
      </c>
      <c r="G294" t="s">
        <v>912</v>
      </c>
      <c r="H294" t="s">
        <v>673</v>
      </c>
      <c r="I294" t="s">
        <v>674</v>
      </c>
      <c r="J294" s="267" t="s">
        <v>121</v>
      </c>
      <c r="K294" s="267" t="s">
        <v>121</v>
      </c>
      <c r="L294" s="267">
        <v>23</v>
      </c>
      <c r="M294" s="10"/>
      <c r="N294" s="10"/>
    </row>
    <row r="295" spans="1:14" x14ac:dyDescent="0.2">
      <c r="A295">
        <f t="shared" si="4"/>
        <v>294</v>
      </c>
      <c r="B295" t="s">
        <v>1374</v>
      </c>
      <c r="C295">
        <v>2</v>
      </c>
      <c r="D295">
        <v>522</v>
      </c>
      <c r="E295" s="2" t="str">
        <f>VLOOKUP( Aop!$A295, Aop!$A$2:$N$415, ID_Jezik + 9, 1)</f>
        <v>24.</v>
      </c>
      <c r="F295" t="str">
        <f>REPT( "  ", Aop!$C295) &amp; VLOOKUP( Aop!$A295, Aop!$A$2:$N$415, ID_Jezik + 6, 1)</f>
        <v xml:space="preserve">    2. Odlivi po osnovu kupovine akcija i udjela</v>
      </c>
      <c r="G295" t="s">
        <v>908</v>
      </c>
      <c r="H295" t="s">
        <v>675</v>
      </c>
      <c r="I295" t="s">
        <v>676</v>
      </c>
      <c r="J295" s="267" t="s">
        <v>122</v>
      </c>
      <c r="K295" s="267" t="s">
        <v>122</v>
      </c>
      <c r="L295" s="267">
        <v>24</v>
      </c>
      <c r="M295" s="10"/>
      <c r="N295" s="10"/>
    </row>
    <row r="296" spans="1:14" x14ac:dyDescent="0.2">
      <c r="A296">
        <f t="shared" si="4"/>
        <v>295</v>
      </c>
      <c r="B296" t="s">
        <v>1374</v>
      </c>
      <c r="C296">
        <v>2</v>
      </c>
      <c r="D296">
        <v>523</v>
      </c>
      <c r="E296" s="2" t="str">
        <f>VLOOKUP( Aop!$A296, Aop!$A$2:$N$415, ID_Jezik + 9, 1)</f>
        <v>25.</v>
      </c>
      <c r="F296" t="str">
        <f>REPT( "  ", Aop!$C296) &amp; VLOOKUP( Aop!$A296, Aop!$A$2:$N$415, ID_Jezik + 6, 1)</f>
        <v xml:space="preserve">    3. Odlivi po osnovu kupovine nematerijalnih sredstava, nekretnina, postrojenja, opreme, investicionih nekretnina i bioloških sredstava</v>
      </c>
      <c r="G296" t="s">
        <v>174</v>
      </c>
      <c r="H296" t="s">
        <v>174</v>
      </c>
      <c r="I296" t="s">
        <v>677</v>
      </c>
      <c r="J296" s="267" t="s">
        <v>123</v>
      </c>
      <c r="K296" s="267" t="s">
        <v>123</v>
      </c>
      <c r="L296" s="267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1374</v>
      </c>
      <c r="C297">
        <v>2</v>
      </c>
      <c r="D297">
        <v>524</v>
      </c>
      <c r="E297" s="2" t="str">
        <f>VLOOKUP( Aop!$A297, Aop!$A$2:$N$415, ID_Jezik + 9, 1)</f>
        <v>26.</v>
      </c>
      <c r="F297" t="str">
        <f>REPT( "  ", Aop!$C297) &amp; VLOOKUP( Aop!$A297, Aop!$A$2:$N$415, ID_Jezik + 6, 1)</f>
        <v xml:space="preserve">    4. Odlivi po osnovu ostalih dugoročnih finansijskih plasmana</v>
      </c>
      <c r="G297" t="s">
        <v>791</v>
      </c>
      <c r="H297" t="s">
        <v>678</v>
      </c>
      <c r="I297" t="s">
        <v>679</v>
      </c>
      <c r="J297" s="267" t="s">
        <v>124</v>
      </c>
      <c r="K297" s="267" t="s">
        <v>124</v>
      </c>
      <c r="L297" s="267">
        <v>26</v>
      </c>
      <c r="M297" s="10"/>
      <c r="N297" s="10"/>
    </row>
    <row r="298" spans="1:14" x14ac:dyDescent="0.2">
      <c r="A298">
        <f t="shared" si="4"/>
        <v>297</v>
      </c>
      <c r="B298" t="s">
        <v>1374</v>
      </c>
      <c r="C298">
        <v>1</v>
      </c>
      <c r="D298">
        <v>525</v>
      </c>
      <c r="E298" s="2" t="str">
        <f>VLOOKUP( Aop!$A298, Aop!$A$2:$N$415, ID_Jezik + 9, 1)</f>
        <v>27.</v>
      </c>
      <c r="F298" t="str">
        <f>REPT( "  ", Aop!$C298) &amp; VLOOKUP( Aop!$A298, Aop!$A$2:$N$415, ID_Jezik + 6, 1)</f>
        <v xml:space="preserve">  III - NETO PRILIV GOTOVINE IZ AKTIVNOSTI INVESTIRANJA (513 - 520)</v>
      </c>
      <c r="G298" t="s">
        <v>680</v>
      </c>
      <c r="H298" t="s">
        <v>681</v>
      </c>
      <c r="I298" t="s">
        <v>682</v>
      </c>
      <c r="J298" s="267" t="s">
        <v>125</v>
      </c>
      <c r="K298" s="267" t="s">
        <v>125</v>
      </c>
      <c r="L298" s="267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1374</v>
      </c>
      <c r="C299">
        <v>1</v>
      </c>
      <c r="D299">
        <v>526</v>
      </c>
      <c r="E299" s="2" t="str">
        <f>VLOOKUP( Aop!$A299, Aop!$A$2:$N$415, ID_Jezik + 9, 1)</f>
        <v>28.</v>
      </c>
      <c r="F299" t="str">
        <f>REPT( "  ", Aop!$C299) &amp; VLOOKUP( Aop!$A299, Aop!$A$2:$N$415, ID_Jezik + 6, 1)</f>
        <v xml:space="preserve">  IV - NETO ODLIV GOTOVINE IZ AKTIVNOSTI INVESTIRANJA (520 - 513)</v>
      </c>
      <c r="G299" t="s">
        <v>683</v>
      </c>
      <c r="H299" t="s">
        <v>684</v>
      </c>
      <c r="I299" t="s">
        <v>685</v>
      </c>
      <c r="J299" s="267" t="s">
        <v>126</v>
      </c>
      <c r="K299" s="267" t="s">
        <v>126</v>
      </c>
      <c r="L299" s="267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1374</v>
      </c>
      <c r="C300">
        <v>0</v>
      </c>
      <c r="E300" s="2" t="str">
        <f>VLOOKUP( Aop!$A300, Aop!$A$2:$N$415, ID_Jezik + 9, 1)</f>
        <v>29.</v>
      </c>
      <c r="F300" t="str">
        <f>REPT( "  ", Aop!$C300) &amp; VLOOKUP( Aop!$A300, Aop!$A$2:$N$415, ID_Jezik + 6, 1)</f>
        <v>V. TOKOVI GOTOVINE IZ AKTIVNOSTI FINANSIRANJA</v>
      </c>
      <c r="G300" t="s">
        <v>913</v>
      </c>
      <c r="H300" t="s">
        <v>686</v>
      </c>
      <c r="I300" t="s">
        <v>687</v>
      </c>
      <c r="J300" s="267" t="s">
        <v>127</v>
      </c>
      <c r="K300" s="267" t="s">
        <v>127</v>
      </c>
      <c r="L300" s="267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1374</v>
      </c>
      <c r="C301">
        <v>1</v>
      </c>
      <c r="D301">
        <v>527</v>
      </c>
      <c r="E301" s="2" t="str">
        <f>VLOOKUP( Aop!$A301, Aop!$A$2:$N$415, ID_Jezik + 9, 1)</f>
        <v>30.</v>
      </c>
      <c r="F301" t="str">
        <f>REPT( "  ", Aop!$C301) &amp; VLOOKUP( Aop!$A301, Aop!$A$2:$N$415, ID_Jezik + 6, 1)</f>
        <v xml:space="preserve">  I - PRILIV GOTOVINE IZ AKTIVNOSTI FINANSIRANJA (528 do 531)</v>
      </c>
      <c r="G301" t="s">
        <v>688</v>
      </c>
      <c r="H301" t="s">
        <v>689</v>
      </c>
      <c r="I301" t="s">
        <v>690</v>
      </c>
      <c r="J301" s="267" t="s">
        <v>128</v>
      </c>
      <c r="K301" s="267" t="s">
        <v>128</v>
      </c>
      <c r="L301" s="267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1374</v>
      </c>
      <c r="C302">
        <v>2</v>
      </c>
      <c r="D302">
        <v>528</v>
      </c>
      <c r="E302" s="2" t="str">
        <f>VLOOKUP( Aop!$A302, Aop!$A$2:$N$415, ID_Jezik + 9, 1)</f>
        <v>31.</v>
      </c>
      <c r="F302" t="str">
        <f>REPT( "  ", Aop!$C302) &amp; VLOOKUP( Aop!$A302, Aop!$A$2:$N$415, ID_Jezik + 6, 1)</f>
        <v xml:space="preserve">    1. Prilivi po osnovu povećanja osnovnog kapitala</v>
      </c>
      <c r="G302" t="s">
        <v>916</v>
      </c>
      <c r="H302" t="s">
        <v>691</v>
      </c>
      <c r="I302" t="s">
        <v>692</v>
      </c>
      <c r="J302" s="267" t="s">
        <v>129</v>
      </c>
      <c r="K302" s="267" t="s">
        <v>129</v>
      </c>
      <c r="L302" s="267">
        <v>31</v>
      </c>
      <c r="M302" s="10"/>
      <c r="N302" s="10"/>
    </row>
    <row r="303" spans="1:14" x14ac:dyDescent="0.2">
      <c r="A303">
        <f t="shared" si="4"/>
        <v>302</v>
      </c>
      <c r="B303" t="s">
        <v>1374</v>
      </c>
      <c r="C303">
        <v>2</v>
      </c>
      <c r="D303">
        <v>529</v>
      </c>
      <c r="E303" s="2" t="str">
        <f>VLOOKUP( Aop!$A303, Aop!$A$2:$N$415, ID_Jezik + 9, 1)</f>
        <v>32.</v>
      </c>
      <c r="F303" t="str">
        <f>REPT( "  ", Aop!$C303) &amp; VLOOKUP( Aop!$A303, Aop!$A$2:$N$415, ID_Jezik + 6, 1)</f>
        <v xml:space="preserve">    2. Prilivi po osnovu dugoročnih kredita</v>
      </c>
      <c r="G303" t="s">
        <v>917</v>
      </c>
      <c r="H303" t="s">
        <v>693</v>
      </c>
      <c r="I303" t="s">
        <v>694</v>
      </c>
      <c r="J303" s="267" t="s">
        <v>130</v>
      </c>
      <c r="K303" s="267" t="s">
        <v>130</v>
      </c>
      <c r="L303" s="267">
        <v>32</v>
      </c>
      <c r="M303" s="10"/>
      <c r="N303" s="10"/>
    </row>
    <row r="304" spans="1:14" x14ac:dyDescent="0.2">
      <c r="A304">
        <f t="shared" si="4"/>
        <v>303</v>
      </c>
      <c r="B304" t="s">
        <v>1374</v>
      </c>
      <c r="C304">
        <v>2</v>
      </c>
      <c r="D304">
        <v>530</v>
      </c>
      <c r="E304" s="2" t="str">
        <f>VLOOKUP( Aop!$A304, Aop!$A$2:$N$415, ID_Jezik + 9, 1)</f>
        <v>33.</v>
      </c>
      <c r="F304" t="str">
        <f>REPT( "  ", Aop!$C304) &amp; VLOOKUP( Aop!$A304, Aop!$A$2:$N$415, ID_Jezik + 6, 1)</f>
        <v xml:space="preserve">    3. Prilivi po osnovu kratkoročnih kredita</v>
      </c>
      <c r="G304" t="s">
        <v>918</v>
      </c>
      <c r="H304" t="s">
        <v>695</v>
      </c>
      <c r="I304" t="s">
        <v>696</v>
      </c>
      <c r="J304" s="267" t="s">
        <v>131</v>
      </c>
      <c r="K304" s="267" t="s">
        <v>131</v>
      </c>
      <c r="L304" s="267">
        <v>33</v>
      </c>
      <c r="M304" s="10"/>
      <c r="N304" s="10"/>
    </row>
    <row r="305" spans="1:14" x14ac:dyDescent="0.2">
      <c r="A305">
        <f t="shared" si="4"/>
        <v>304</v>
      </c>
      <c r="B305" t="s">
        <v>1374</v>
      </c>
      <c r="C305">
        <v>2</v>
      </c>
      <c r="D305">
        <v>531</v>
      </c>
      <c r="E305" s="2" t="str">
        <f>VLOOKUP( Aop!$A305, Aop!$A$2:$N$415, ID_Jezik + 9, 1)</f>
        <v>34.</v>
      </c>
      <c r="F305" t="str">
        <f>REPT( "  ", Aop!$C305) &amp; VLOOKUP( Aop!$A305, Aop!$A$2:$N$415, ID_Jezik + 6, 1)</f>
        <v xml:space="preserve">    4. Prilivi po osnovu ostalih dugoročnih i kratkoročnih obaveza</v>
      </c>
      <c r="G305" t="s">
        <v>928</v>
      </c>
      <c r="H305" t="s">
        <v>697</v>
      </c>
      <c r="I305" t="s">
        <v>698</v>
      </c>
      <c r="J305" s="267" t="s">
        <v>132</v>
      </c>
      <c r="K305" s="267" t="s">
        <v>132</v>
      </c>
      <c r="L305" s="267">
        <v>34</v>
      </c>
      <c r="M305" s="10"/>
      <c r="N305" s="10"/>
    </row>
    <row r="306" spans="1:14" x14ac:dyDescent="0.2">
      <c r="A306">
        <f t="shared" si="4"/>
        <v>305</v>
      </c>
      <c r="B306" t="s">
        <v>1374</v>
      </c>
      <c r="C306">
        <v>1</v>
      </c>
      <c r="D306">
        <v>532</v>
      </c>
      <c r="E306" s="2" t="str">
        <f>VLOOKUP( Aop!$A306, Aop!$A$2:$N$415, ID_Jezik + 9, 1)</f>
        <v>35.</v>
      </c>
      <c r="F306" t="str">
        <f>REPT( "  ", Aop!$C306) &amp; VLOOKUP( Aop!$A306, Aop!$A$2:$N$415, ID_Jezik + 6, 1)</f>
        <v xml:space="preserve">  II - ODLIVI GOTOVINE IZ AKTIVNOSTI FINANSIRANJA (533 do 538)</v>
      </c>
      <c r="G306" t="s">
        <v>699</v>
      </c>
      <c r="H306" t="s">
        <v>700</v>
      </c>
      <c r="I306" t="s">
        <v>701</v>
      </c>
      <c r="J306" s="267" t="s">
        <v>133</v>
      </c>
      <c r="K306" s="267" t="s">
        <v>133</v>
      </c>
      <c r="L306" s="267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1374</v>
      </c>
      <c r="C307">
        <v>2</v>
      </c>
      <c r="D307">
        <v>533</v>
      </c>
      <c r="E307" s="2" t="str">
        <f>VLOOKUP( Aop!$A307, Aop!$A$2:$N$415, ID_Jezik + 9, 1)</f>
        <v>36.</v>
      </c>
      <c r="F307" t="str">
        <f>REPT( "  ", Aop!$C307) &amp; VLOOKUP( Aop!$A307, Aop!$A$2:$N$415, ID_Jezik + 6, 1)</f>
        <v xml:space="preserve">    1. Odlivi po osnovu otkupa sopstvenih akcija i udjela</v>
      </c>
      <c r="G307" t="s">
        <v>914</v>
      </c>
      <c r="H307" t="s">
        <v>702</v>
      </c>
      <c r="I307" t="s">
        <v>703</v>
      </c>
      <c r="J307" s="267" t="s">
        <v>134</v>
      </c>
      <c r="K307" s="267" t="s">
        <v>134</v>
      </c>
      <c r="L307" s="267">
        <v>36</v>
      </c>
      <c r="M307" s="10"/>
      <c r="N307" s="10"/>
    </row>
    <row r="308" spans="1:14" x14ac:dyDescent="0.2">
      <c r="A308">
        <f t="shared" si="4"/>
        <v>307</v>
      </c>
      <c r="B308" t="s">
        <v>1374</v>
      </c>
      <c r="C308">
        <v>2</v>
      </c>
      <c r="D308">
        <v>534</v>
      </c>
      <c r="E308" s="2" t="str">
        <f>VLOOKUP( Aop!$A308, Aop!$A$2:$N$415, ID_Jezik + 9, 1)</f>
        <v>37.</v>
      </c>
      <c r="F308" t="str">
        <f>REPT( "  ", Aop!$C308) &amp; VLOOKUP( Aop!$A308, Aop!$A$2:$N$415, ID_Jezik + 6, 1)</f>
        <v xml:space="preserve">    2. Odlivi po osnovu dugoročnih kredita</v>
      </c>
      <c r="G308" t="s">
        <v>919</v>
      </c>
      <c r="H308" t="s">
        <v>704</v>
      </c>
      <c r="I308" t="s">
        <v>705</v>
      </c>
      <c r="J308" s="267" t="s">
        <v>135</v>
      </c>
      <c r="K308" s="267" t="s">
        <v>135</v>
      </c>
      <c r="L308" s="267">
        <v>37</v>
      </c>
      <c r="M308" s="10"/>
      <c r="N308" s="10"/>
    </row>
    <row r="309" spans="1:14" x14ac:dyDescent="0.2">
      <c r="A309">
        <f t="shared" si="4"/>
        <v>308</v>
      </c>
      <c r="B309" t="s">
        <v>1374</v>
      </c>
      <c r="C309">
        <v>2</v>
      </c>
      <c r="D309">
        <v>535</v>
      </c>
      <c r="E309" s="2" t="str">
        <f>VLOOKUP( Aop!$A309, Aop!$A$2:$N$415, ID_Jezik + 9, 1)</f>
        <v>38.</v>
      </c>
      <c r="F309" t="str">
        <f>REPT( "  ", Aop!$C309) &amp; VLOOKUP( Aop!$A309, Aop!$A$2:$N$415, ID_Jezik + 6, 1)</f>
        <v xml:space="preserve">    3. Odlivi po osnovu kratkoročnih kredita</v>
      </c>
      <c r="G309" t="s">
        <v>920</v>
      </c>
      <c r="H309" t="s">
        <v>706</v>
      </c>
      <c r="I309" t="s">
        <v>707</v>
      </c>
      <c r="J309" s="267" t="s">
        <v>136</v>
      </c>
      <c r="K309" s="267" t="s">
        <v>136</v>
      </c>
      <c r="L309" s="267">
        <v>38</v>
      </c>
      <c r="M309" s="10"/>
      <c r="N309" s="10"/>
    </row>
    <row r="310" spans="1:14" x14ac:dyDescent="0.2">
      <c r="A310">
        <f t="shared" si="4"/>
        <v>309</v>
      </c>
      <c r="B310" t="s">
        <v>1374</v>
      </c>
      <c r="C310">
        <v>2</v>
      </c>
      <c r="D310">
        <v>536</v>
      </c>
      <c r="E310" s="2" t="str">
        <f>VLOOKUP( Aop!$A310, Aop!$A$2:$N$415, ID_Jezik + 9, 1)</f>
        <v>39.</v>
      </c>
      <c r="F310" t="str">
        <f>REPT( "  ", Aop!$C310) &amp; VLOOKUP( Aop!$A310, Aop!$A$2:$N$415, ID_Jezik + 6, 1)</f>
        <v xml:space="preserve">    4. Odlivi po osnovu finansijskog lizinga</v>
      </c>
      <c r="G310" t="s">
        <v>915</v>
      </c>
      <c r="H310" t="s">
        <v>708</v>
      </c>
      <c r="I310" t="s">
        <v>709</v>
      </c>
      <c r="J310" s="267" t="s">
        <v>137</v>
      </c>
      <c r="K310" s="267" t="s">
        <v>137</v>
      </c>
      <c r="L310" s="267">
        <v>39</v>
      </c>
      <c r="M310" s="10"/>
      <c r="N310" s="10"/>
    </row>
    <row r="311" spans="1:14" x14ac:dyDescent="0.2">
      <c r="A311">
        <f t="shared" si="4"/>
        <v>310</v>
      </c>
      <c r="B311" t="s">
        <v>1374</v>
      </c>
      <c r="C311">
        <v>2</v>
      </c>
      <c r="D311">
        <v>537</v>
      </c>
      <c r="E311" s="2" t="str">
        <f>VLOOKUP( Aop!$A311, Aop!$A$2:$N$415, ID_Jezik + 9, 1)</f>
        <v>40.</v>
      </c>
      <c r="F311" t="str">
        <f>REPT( "  ", Aop!$C311) &amp; VLOOKUP( Aop!$A311, Aop!$A$2:$N$415, ID_Jezik + 6, 1)</f>
        <v xml:space="preserve">    5. Odlivi po osnovu isplaćenih dividendi</v>
      </c>
      <c r="G311" t="s">
        <v>921</v>
      </c>
      <c r="H311" t="s">
        <v>710</v>
      </c>
      <c r="I311" t="s">
        <v>711</v>
      </c>
      <c r="J311" s="267" t="s">
        <v>138</v>
      </c>
      <c r="K311" s="267" t="s">
        <v>138</v>
      </c>
      <c r="L311" s="267">
        <v>40</v>
      </c>
      <c r="M311" s="10"/>
      <c r="N311" s="10"/>
    </row>
    <row r="312" spans="1:14" x14ac:dyDescent="0.2">
      <c r="A312">
        <f t="shared" si="4"/>
        <v>311</v>
      </c>
      <c r="B312" t="s">
        <v>1374</v>
      </c>
      <c r="C312">
        <v>2</v>
      </c>
      <c r="D312">
        <v>538</v>
      </c>
      <c r="E312" s="2" t="str">
        <f>VLOOKUP( Aop!$A312, Aop!$A$2:$N$415, ID_Jezik + 9, 1)</f>
        <v>41.</v>
      </c>
      <c r="F312" t="str">
        <f>REPT( "  ", Aop!$C312) &amp; VLOOKUP( Aop!$A312, Aop!$A$2:$N$415, ID_Jezik + 6, 1)</f>
        <v xml:space="preserve">    6. Odlivi po osnovu ostalih dugoročnih i kratkoročnih obaveza</v>
      </c>
      <c r="G312" t="s">
        <v>922</v>
      </c>
      <c r="H312" t="s">
        <v>712</v>
      </c>
      <c r="I312" t="s">
        <v>713</v>
      </c>
      <c r="J312" s="267" t="s">
        <v>139</v>
      </c>
      <c r="K312" s="267" t="s">
        <v>139</v>
      </c>
      <c r="L312" s="267">
        <v>41</v>
      </c>
      <c r="M312" s="10"/>
      <c r="N312" s="10"/>
    </row>
    <row r="313" spans="1:14" x14ac:dyDescent="0.2">
      <c r="A313">
        <f t="shared" si="4"/>
        <v>312</v>
      </c>
      <c r="B313" t="s">
        <v>1374</v>
      </c>
      <c r="C313">
        <v>1</v>
      </c>
      <c r="D313">
        <v>539</v>
      </c>
      <c r="E313" s="2" t="str">
        <f>VLOOKUP( Aop!$A313, Aop!$A$2:$N$415, ID_Jezik + 9, 1)</f>
        <v>42.</v>
      </c>
      <c r="F313" t="str">
        <f>REPT( "  ", Aop!$C313) &amp; VLOOKUP( Aop!$A313, Aop!$A$2:$N$415, ID_Jezik + 6, 1)</f>
        <v xml:space="preserve">  III - NETO PRILIV GOTOVINE IZ AKTIVNOST FINANSIRANJA (527 - 532)</v>
      </c>
      <c r="G313" t="s">
        <v>714</v>
      </c>
      <c r="H313" t="s">
        <v>715</v>
      </c>
      <c r="I313" t="s">
        <v>716</v>
      </c>
      <c r="J313" s="267" t="s">
        <v>140</v>
      </c>
      <c r="K313" s="267" t="s">
        <v>140</v>
      </c>
      <c r="L313" s="267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1374</v>
      </c>
      <c r="C314">
        <v>1</v>
      </c>
      <c r="D314">
        <v>540</v>
      </c>
      <c r="E314" s="2" t="str">
        <f>VLOOKUP( Aop!$A314, Aop!$A$2:$N$415, ID_Jezik + 9, 1)</f>
        <v>43.</v>
      </c>
      <c r="F314" t="str">
        <f>REPT( "  ", Aop!$C314) &amp; VLOOKUP( Aop!$A314, Aop!$A$2:$N$415, ID_Jezik + 6, 1)</f>
        <v xml:space="preserve">  IV - NETO ODLIV GOTOVINE IZ AKTIVNOSTI FINANSIRANJA (532 - 527)</v>
      </c>
      <c r="G314" t="s">
        <v>717</v>
      </c>
      <c r="H314" t="s">
        <v>718</v>
      </c>
      <c r="I314" t="s">
        <v>719</v>
      </c>
      <c r="J314" s="267" t="s">
        <v>141</v>
      </c>
      <c r="K314" s="267" t="s">
        <v>141</v>
      </c>
      <c r="L314" s="267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1374</v>
      </c>
      <c r="C315">
        <v>0</v>
      </c>
      <c r="D315">
        <v>541</v>
      </c>
      <c r="E315" s="2" t="str">
        <f>VLOOKUP( Aop!$A315, Aop!$A$2:$N$415, ID_Jezik + 9, 1)</f>
        <v>44.</v>
      </c>
      <c r="F315" t="str">
        <f>REPT( "  ", Aop!$C315) &amp; VLOOKUP( Aop!$A315, Aop!$A$2:$N$415, ID_Jezik + 6, 1)</f>
        <v>G. UKUPNI PRILIVI GOTOVINE (501 + 513 + 527)</v>
      </c>
      <c r="G315" t="s">
        <v>720</v>
      </c>
      <c r="H315" t="s">
        <v>721</v>
      </c>
      <c r="I315" t="s">
        <v>722</v>
      </c>
      <c r="J315" s="267" t="s">
        <v>142</v>
      </c>
      <c r="K315" s="267" t="s">
        <v>142</v>
      </c>
      <c r="L315" s="267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1374</v>
      </c>
      <c r="C316">
        <v>0</v>
      </c>
      <c r="D316">
        <v>542</v>
      </c>
      <c r="E316" s="2" t="str">
        <f>VLOOKUP( Aop!$A316, Aop!$A$2:$N$415, ID_Jezik + 9, 1)</f>
        <v>45.</v>
      </c>
      <c r="F316" t="str">
        <f>REPT( "  ", Aop!$C316) &amp; VLOOKUP( Aop!$A316, Aop!$A$2:$N$415, ID_Jezik + 6, 1)</f>
        <v>D. UKUPNI ODLIVI GOTOVINE (505 + 520 + 532)</v>
      </c>
      <c r="G316" s="13" t="s">
        <v>723</v>
      </c>
      <c r="H316" t="s">
        <v>724</v>
      </c>
      <c r="I316" t="s">
        <v>725</v>
      </c>
      <c r="J316" s="267" t="s">
        <v>143</v>
      </c>
      <c r="K316" s="267" t="s">
        <v>143</v>
      </c>
      <c r="L316" s="267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1374</v>
      </c>
      <c r="C317">
        <v>0</v>
      </c>
      <c r="D317">
        <v>543</v>
      </c>
      <c r="E317" s="2" t="str">
        <f>VLOOKUP( Aop!$A317, Aop!$A$2:$N$415, ID_Jezik + 9, 1)</f>
        <v>46.</v>
      </c>
      <c r="F317" t="str">
        <f>REPT( "  ", Aop!$C317) &amp; VLOOKUP( Aop!$A317, Aop!$A$2:$N$415, ID_Jezik + 6, 1)</f>
        <v>Đ. NETO PRILIV GOTOVINE (541 - 542)</v>
      </c>
      <c r="G317" t="s">
        <v>726</v>
      </c>
      <c r="H317" t="s">
        <v>727</v>
      </c>
      <c r="I317" t="s">
        <v>728</v>
      </c>
      <c r="J317" s="267" t="s">
        <v>144</v>
      </c>
      <c r="K317" s="268" t="s">
        <v>144</v>
      </c>
      <c r="L317" s="267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1374</v>
      </c>
      <c r="C318">
        <v>0</v>
      </c>
      <c r="D318">
        <v>544</v>
      </c>
      <c r="E318" s="2" t="str">
        <f>VLOOKUP( Aop!$A318, Aop!$A$2:$N$415, ID_Jezik + 9, 1)</f>
        <v>47.</v>
      </c>
      <c r="F318" t="str">
        <f>REPT( "  ", Aop!$C318) &amp; VLOOKUP( Aop!$A318, Aop!$A$2:$N$415, ID_Jezik + 6, 1)</f>
        <v>E. NETO ODLIV GOTOVINE (542 - 541)</v>
      </c>
      <c r="G318" t="s">
        <v>729</v>
      </c>
      <c r="H318" t="s">
        <v>730</v>
      </c>
      <c r="I318" t="s">
        <v>731</v>
      </c>
      <c r="J318" s="267" t="s">
        <v>145</v>
      </c>
      <c r="K318" s="267" t="s">
        <v>145</v>
      </c>
      <c r="L318" s="267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1374</v>
      </c>
      <c r="C319">
        <v>0</v>
      </c>
      <c r="D319">
        <v>545</v>
      </c>
      <c r="E319" s="2" t="str">
        <f>VLOOKUP( Aop!$A319, Aop!$A$2:$N$415, ID_Jezik + 9, 1)</f>
        <v>48.</v>
      </c>
      <c r="F319" t="str">
        <f>REPT( "  ", Aop!$C319) &amp; VLOOKUP( Aop!$A319, Aop!$A$2:$N$415, ID_Jezik + 6, 1)</f>
        <v>Ž. GOTOVINA NA POČETKU OBRAČUNSKOG PERIODA</v>
      </c>
      <c r="G319" t="s">
        <v>923</v>
      </c>
      <c r="H319" t="s">
        <v>732</v>
      </c>
      <c r="I319" t="s">
        <v>936</v>
      </c>
      <c r="J319" s="267" t="s">
        <v>146</v>
      </c>
      <c r="K319" s="267" t="s">
        <v>146</v>
      </c>
      <c r="L319" s="267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1374</v>
      </c>
      <c r="C320">
        <v>0</v>
      </c>
      <c r="D320">
        <v>546</v>
      </c>
      <c r="E320" s="2" t="str">
        <f>VLOOKUP( Aop!$A320, Aop!$A$2:$N$415, ID_Jezik + 9, 1)</f>
        <v>49.</v>
      </c>
      <c r="F320" t="str">
        <f>REPT( "  ", Aop!$C320) &amp; VLOOKUP( Aop!$A320, Aop!$A$2:$N$415, ID_Jezik + 6, 1)</f>
        <v>Z. POZITIVNE KURSNE RAZLIKE PO OSNOVU PRERAČUNA GOTOVINE</v>
      </c>
      <c r="G320" t="s">
        <v>924</v>
      </c>
      <c r="H320" t="s">
        <v>937</v>
      </c>
      <c r="I320" t="s">
        <v>938</v>
      </c>
      <c r="J320" s="267" t="s">
        <v>147</v>
      </c>
      <c r="K320" s="267" t="s">
        <v>147</v>
      </c>
      <c r="L320" s="267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1374</v>
      </c>
      <c r="C321">
        <v>0</v>
      </c>
      <c r="D321">
        <v>547</v>
      </c>
      <c r="E321" s="2" t="str">
        <f>VLOOKUP( Aop!$A321, Aop!$A$2:$N$415, ID_Jezik + 9, 1)</f>
        <v>50.</v>
      </c>
      <c r="F321" t="str">
        <f>REPT( "  ", Aop!$C321) &amp; VLOOKUP( Aop!$A321, Aop!$A$2:$N$415, ID_Jezik + 6, 1)</f>
        <v>I. NEGATIVNE KURSNE RAZLIKE PO OSNOVU PRERAČUNA GOTOVINE</v>
      </c>
      <c r="G321" t="s">
        <v>929</v>
      </c>
      <c r="H321" t="s">
        <v>939</v>
      </c>
      <c r="I321" t="s">
        <v>940</v>
      </c>
      <c r="J321" s="267" t="s">
        <v>148</v>
      </c>
      <c r="K321" s="267" t="s">
        <v>148</v>
      </c>
      <c r="L321" s="267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1374</v>
      </c>
      <c r="C322">
        <v>0</v>
      </c>
      <c r="D322">
        <v>548</v>
      </c>
      <c r="E322" s="2" t="str">
        <f>VLOOKUP( Aop!$A322, Aop!$A$2:$N$415, ID_Jezik + 9, 1)</f>
        <v>51.</v>
      </c>
      <c r="F322" t="str">
        <f>REPT( "  ", Aop!$C322) &amp; VLOOKUP( Aop!$A322, Aop!$A$2:$N$415, ID_Jezik + 6, 1)</f>
        <v>J. GOTOVINA NA KRAJU OBRAČUNSKOG PERIODA (545 + 543 - 544 + 546 - 547)</v>
      </c>
      <c r="G322" t="s">
        <v>941</v>
      </c>
      <c r="H322" t="s">
        <v>942</v>
      </c>
      <c r="I322" t="s">
        <v>943</v>
      </c>
      <c r="J322" s="267" t="s">
        <v>149</v>
      </c>
      <c r="K322" s="267" t="s">
        <v>149</v>
      </c>
      <c r="L322" s="267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1375</v>
      </c>
      <c r="C323">
        <v>0</v>
      </c>
      <c r="D323">
        <v>601</v>
      </c>
      <c r="E323" s="2" t="str">
        <f>VLOOKUP( Aop!$A323, Aop!$A$2:$N$415, ID_Jezik + 9, 1)</f>
        <v>010</v>
      </c>
      <c r="F323" t="str">
        <f>REPT( "  ", Aop!$C323) &amp; VLOOKUP( Aop!$A323, Aop!$A$2:$N$415, ID_Jezik + 6, 1)</f>
        <v>Ulaganja u istraživanje i razvoj (dugovni promet bez početnog stanja)</v>
      </c>
      <c r="G323" t="s">
        <v>944</v>
      </c>
      <c r="H323" t="s">
        <v>945</v>
      </c>
      <c r="I323" t="s">
        <v>946</v>
      </c>
      <c r="J323" s="267" t="s">
        <v>167</v>
      </c>
      <c r="K323" s="267" t="s">
        <v>167</v>
      </c>
      <c r="L323" s="267" t="s">
        <v>167</v>
      </c>
      <c r="M323" s="10"/>
      <c r="N323" s="10"/>
    </row>
    <row r="324" spans="1:14" x14ac:dyDescent="0.2">
      <c r="A324">
        <f t="shared" si="5"/>
        <v>323</v>
      </c>
      <c r="B324" t="s">
        <v>1375</v>
      </c>
      <c r="C324">
        <v>0</v>
      </c>
      <c r="D324">
        <v>602</v>
      </c>
      <c r="E324" s="2" t="str">
        <f>VLOOKUP( Aop!$A324, Aop!$A$2:$N$415, ID_Jezik + 9, 1)</f>
        <v>201, dio 200</v>
      </c>
      <c r="F324" t="str">
        <f>REPT( "  ", Aop!$C324) &amp; VLOOKUP( Aop!$A324, Aop!$A$2:$N$415, ID_Jezik + 6, 1)</f>
        <v>Kupci iz Republike Srpske i kupci - povezana pravna lica iz RS (dugovni promet bez početnog stanja)</v>
      </c>
      <c r="G324" t="s">
        <v>947</v>
      </c>
      <c r="H324" t="s">
        <v>948</v>
      </c>
      <c r="I324" t="s">
        <v>949</v>
      </c>
      <c r="J324" s="267" t="s">
        <v>26</v>
      </c>
      <c r="K324" s="268" t="s">
        <v>27</v>
      </c>
      <c r="L324" s="267" t="s">
        <v>28</v>
      </c>
      <c r="M324" s="10"/>
      <c r="N324" s="10">
        <v>1</v>
      </c>
    </row>
    <row r="325" spans="1:14" x14ac:dyDescent="0.2">
      <c r="A325">
        <f t="shared" si="5"/>
        <v>324</v>
      </c>
      <c r="B325" t="s">
        <v>1375</v>
      </c>
      <c r="C325">
        <v>0</v>
      </c>
      <c r="D325">
        <v>603</v>
      </c>
      <c r="E325" s="2" t="str">
        <f>VLOOKUP( Aop!$A325, Aop!$A$2:$N$415, ID_Jezik + 9, 1)</f>
        <v>202, dio 200</v>
      </c>
      <c r="F325" t="str">
        <f>REPT( "  ", Aop!$C325) &amp; VLOOKUP( Aop!$A325, Aop!$A$2:$N$415, ID_Jezik + 6, 1)</f>
        <v>Kupci iz Federacije BiH i kupci - povezana pravna lica iz FBiH (dugovni promet bez početnog stanja)</v>
      </c>
      <c r="G325" t="s">
        <v>950</v>
      </c>
      <c r="H325" t="s">
        <v>951</v>
      </c>
      <c r="I325" t="s">
        <v>952</v>
      </c>
      <c r="J325" s="267" t="s">
        <v>29</v>
      </c>
      <c r="K325" s="268" t="s">
        <v>30</v>
      </c>
      <c r="L325" s="267" t="s">
        <v>31</v>
      </c>
      <c r="M325" s="10"/>
      <c r="N325" s="10">
        <v>1</v>
      </c>
    </row>
    <row r="326" spans="1:14" x14ac:dyDescent="0.2">
      <c r="A326">
        <f t="shared" si="5"/>
        <v>325</v>
      </c>
      <c r="B326" t="s">
        <v>1375</v>
      </c>
      <c r="C326">
        <v>0</v>
      </c>
      <c r="D326">
        <v>604</v>
      </c>
      <c r="E326" s="2" t="str">
        <f>VLOOKUP( Aop!$A326, Aop!$A$2:$N$415, ID_Jezik + 9, 1)</f>
        <v>203, dio 200</v>
      </c>
      <c r="F326" t="str">
        <f>REPT( "  ", Aop!$C326) &amp; VLOOKUP( Aop!$A326, Aop!$A$2:$N$415, ID_Jezik + 6, 1)</f>
        <v>Kupci iz Brčko Distrikta BiH i kupci - povezana pravna lica iz BD (dugovni promet bez početnog stanja)</v>
      </c>
      <c r="G326" t="s">
        <v>953</v>
      </c>
      <c r="H326" t="s">
        <v>954</v>
      </c>
      <c r="I326" t="s">
        <v>955</v>
      </c>
      <c r="J326" s="267" t="s">
        <v>32</v>
      </c>
      <c r="K326" s="267" t="s">
        <v>33</v>
      </c>
      <c r="L326" s="267" t="s">
        <v>34</v>
      </c>
      <c r="M326" s="10"/>
      <c r="N326" s="10">
        <v>1</v>
      </c>
    </row>
    <row r="327" spans="1:14" x14ac:dyDescent="0.2">
      <c r="A327">
        <f t="shared" si="5"/>
        <v>326</v>
      </c>
      <c r="B327" t="s">
        <v>1375</v>
      </c>
      <c r="C327">
        <v>0</v>
      </c>
      <c r="D327">
        <v>605</v>
      </c>
      <c r="E327" s="2" t="str">
        <f>VLOOKUP( Aop!$A327, Aop!$A$2:$N$415, ID_Jezik + 9, 1)</f>
        <v>432, dio 431</v>
      </c>
      <c r="F327" t="str">
        <f>REPT( "  ", Aop!$C327) &amp; VLOOKUP( Aop!$A327, Aop!$A$2:$N$415, ID_Jezik + 6, 1)</f>
        <v>Dobavljači iz Republike Srpske i dobavljači - povezana pravna lica iz RS (potražni promet bez početnog stanja)</v>
      </c>
      <c r="G327" t="s">
        <v>956</v>
      </c>
      <c r="H327" t="s">
        <v>957</v>
      </c>
      <c r="I327" t="s">
        <v>958</v>
      </c>
      <c r="J327" s="267" t="s">
        <v>35</v>
      </c>
      <c r="K327" s="267" t="s">
        <v>36</v>
      </c>
      <c r="L327" s="267" t="s">
        <v>37</v>
      </c>
      <c r="M327" s="10"/>
      <c r="N327" s="10">
        <v>1</v>
      </c>
    </row>
    <row r="328" spans="1:14" x14ac:dyDescent="0.2">
      <c r="A328">
        <f t="shared" si="5"/>
        <v>327</v>
      </c>
      <c r="B328" t="s">
        <v>1375</v>
      </c>
      <c r="C328">
        <v>0</v>
      </c>
      <c r="D328">
        <v>606</v>
      </c>
      <c r="E328" s="2" t="str">
        <f>VLOOKUP( Aop!$A328, Aop!$A$2:$N$415, ID_Jezik + 9, 1)</f>
        <v>433, dio 431</v>
      </c>
      <c r="F328" t="str">
        <f>REPT( "  ", Aop!$C328) &amp; VLOOKUP( Aop!$A328, Aop!$A$2:$N$415, ID_Jezik + 6, 1)</f>
        <v>Dobavljači iz Federacije BiH i dobavljači - povezana pravna lica iz FBiH (potražni promet bez početnog stanja)</v>
      </c>
      <c r="G328" t="s">
        <v>959</v>
      </c>
      <c r="H328" t="s">
        <v>960</v>
      </c>
      <c r="I328" t="s">
        <v>961</v>
      </c>
      <c r="J328" s="267" t="s">
        <v>38</v>
      </c>
      <c r="K328" s="268" t="s">
        <v>39</v>
      </c>
      <c r="L328" s="267" t="s">
        <v>40</v>
      </c>
      <c r="M328" s="10"/>
      <c r="N328" s="10">
        <v>1</v>
      </c>
    </row>
    <row r="329" spans="1:14" x14ac:dyDescent="0.2">
      <c r="A329">
        <f t="shared" si="5"/>
        <v>328</v>
      </c>
      <c r="B329" t="s">
        <v>1375</v>
      </c>
      <c r="C329">
        <v>0</v>
      </c>
      <c r="D329">
        <v>607</v>
      </c>
      <c r="E329" s="2" t="str">
        <f>VLOOKUP( Aop!$A329, Aop!$A$2:$N$415, ID_Jezik + 9, 1)</f>
        <v>434, dio 431</v>
      </c>
      <c r="F329" t="str">
        <f>REPT( "  ", Aop!$C329) &amp; VLOOKUP( Aop!$A329, Aop!$A$2:$N$415, ID_Jezik + 6, 1)</f>
        <v>Dobavljači iz Brčko Distrikta BiH i dobavljači - povezana pravna lica iz DB (potražni promet bez početnog stanja)</v>
      </c>
      <c r="G329" t="s">
        <v>962</v>
      </c>
      <c r="H329" t="s">
        <v>963</v>
      </c>
      <c r="I329" t="s">
        <v>964</v>
      </c>
      <c r="J329" s="267" t="s">
        <v>41</v>
      </c>
      <c r="K329" s="268" t="s">
        <v>42</v>
      </c>
      <c r="L329" s="267" t="s">
        <v>43</v>
      </c>
      <c r="M329" s="10"/>
      <c r="N329" s="10">
        <v>1</v>
      </c>
    </row>
    <row r="330" spans="1:14" x14ac:dyDescent="0.2">
      <c r="A330">
        <f t="shared" si="5"/>
        <v>329</v>
      </c>
      <c r="B330" t="s">
        <v>1375</v>
      </c>
      <c r="C330">
        <v>0</v>
      </c>
      <c r="D330">
        <v>608</v>
      </c>
      <c r="E330" s="2" t="str">
        <f>VLOOKUP( Aop!$A330, Aop!$A$2:$N$415, ID_Jezik + 9, 1)</f>
        <v>601, dio 600</v>
      </c>
      <c r="F330" t="str">
        <f>REPT( "  ", Aop!$C330) &amp; VLOOKUP( Aop!$A330, Aop!$A$2:$N$415, ID_Jezik + 6, 1)</f>
        <v>Prihodi od prodaje robe u Republici Srpskoj i prihodi od prodaje robe povezanim pravnim licima u RS</v>
      </c>
      <c r="G330" t="s">
        <v>965</v>
      </c>
      <c r="H330" t="s">
        <v>966</v>
      </c>
      <c r="I330" t="s">
        <v>967</v>
      </c>
      <c r="J330" s="267" t="s">
        <v>44</v>
      </c>
      <c r="K330" s="268" t="s">
        <v>45</v>
      </c>
      <c r="L330" s="267" t="s">
        <v>46</v>
      </c>
      <c r="M330" s="10"/>
      <c r="N330" s="10">
        <v>1</v>
      </c>
    </row>
    <row r="331" spans="1:14" x14ac:dyDescent="0.2">
      <c r="A331">
        <f t="shared" si="5"/>
        <v>330</v>
      </c>
      <c r="B331" t="s">
        <v>1375</v>
      </c>
      <c r="C331">
        <v>0</v>
      </c>
      <c r="D331">
        <v>609</v>
      </c>
      <c r="E331" s="2" t="str">
        <f>VLOOKUP( Aop!$A331, Aop!$A$2:$N$415, ID_Jezik + 9, 1)</f>
        <v>602, dio 600</v>
      </c>
      <c r="F331" t="str">
        <f>REPT( "  ", Aop!$C331) &amp; VLOOKUP( Aop!$A331, Aop!$A$2:$N$415, ID_Jezik + 6, 1)</f>
        <v>Prihodi od prodaje robe u Federaciji BiH i prihodi od prodaje robe povezanim pravnim licima u FBiH</v>
      </c>
      <c r="G331" t="s">
        <v>968</v>
      </c>
      <c r="H331" t="s">
        <v>969</v>
      </c>
      <c r="I331" t="s">
        <v>970</v>
      </c>
      <c r="J331" s="267" t="s">
        <v>47</v>
      </c>
      <c r="K331" s="268" t="s">
        <v>48</v>
      </c>
      <c r="L331" s="267" t="s">
        <v>49</v>
      </c>
      <c r="M331" s="10"/>
      <c r="N331" s="10">
        <v>1</v>
      </c>
    </row>
    <row r="332" spans="1:14" x14ac:dyDescent="0.2">
      <c r="A332">
        <f t="shared" si="5"/>
        <v>331</v>
      </c>
      <c r="B332" t="s">
        <v>1375</v>
      </c>
      <c r="C332">
        <v>0</v>
      </c>
      <c r="D332">
        <v>610</v>
      </c>
      <c r="E332" s="2" t="str">
        <f>VLOOKUP( Aop!$A332, Aop!$A$2:$N$415, ID_Jezik + 9, 1)</f>
        <v>603, dio 600</v>
      </c>
      <c r="F332" t="str">
        <f>REPT( "  ", Aop!$C332) &amp; VLOOKUP( Aop!$A332, Aop!$A$2:$N$415, ID_Jezik + 6, 1)</f>
        <v>Prihodi od prodaje robe u Brčko Distriktu BiH i prihodi od prodaje robe povezanim pravnim licima u BD</v>
      </c>
      <c r="G332" t="s">
        <v>971</v>
      </c>
      <c r="H332" t="s">
        <v>972</v>
      </c>
      <c r="I332" t="s">
        <v>973</v>
      </c>
      <c r="J332" s="267" t="s">
        <v>50</v>
      </c>
      <c r="K332" s="268" t="s">
        <v>51</v>
      </c>
      <c r="L332" s="267" t="s">
        <v>52</v>
      </c>
      <c r="M332" s="10"/>
      <c r="N332" s="10">
        <v>1</v>
      </c>
    </row>
    <row r="333" spans="1:14" x14ac:dyDescent="0.2">
      <c r="A333">
        <f t="shared" si="5"/>
        <v>332</v>
      </c>
      <c r="B333" t="s">
        <v>1375</v>
      </c>
      <c r="C333">
        <v>0</v>
      </c>
      <c r="D333">
        <v>611</v>
      </c>
      <c r="E333" s="2" t="str">
        <f>VLOOKUP( Aop!$A333, Aop!$A$2:$N$415, ID_Jezik + 9, 1)</f>
        <v>dio 61</v>
      </c>
      <c r="F333" t="str">
        <f>REPT( "  ", Aop!$C333) &amp; VLOOKUP( Aop!$A333, Aop!$A$2:$N$415, ID_Jezik + 6, 1)</f>
        <v>Prihodi od prodaje proizvoda</v>
      </c>
      <c r="G333" t="s">
        <v>224</v>
      </c>
      <c r="H333" t="s">
        <v>253</v>
      </c>
      <c r="I333" t="s">
        <v>241</v>
      </c>
      <c r="J333" s="267" t="s">
        <v>219</v>
      </c>
      <c r="K333" s="268" t="s">
        <v>223</v>
      </c>
      <c r="L333" s="267" t="s">
        <v>222</v>
      </c>
      <c r="M333" s="10"/>
      <c r="N333" s="10"/>
    </row>
    <row r="334" spans="1:14" x14ac:dyDescent="0.2">
      <c r="A334">
        <f t="shared" si="5"/>
        <v>333</v>
      </c>
      <c r="B334" t="s">
        <v>1375</v>
      </c>
      <c r="C334">
        <v>0</v>
      </c>
      <c r="D334">
        <v>612</v>
      </c>
      <c r="E334" s="2" t="str">
        <f>VLOOKUP( Aop!$A334, Aop!$A$2:$N$415, ID_Jezik + 9, 1)</f>
        <v>dio 61</v>
      </c>
      <c r="F334" t="str">
        <f>REPT( "  ", Aop!$C334) &amp; VLOOKUP( Aop!$A334, Aop!$A$2:$N$415, ID_Jezik + 6, 1)</f>
        <v>Prihodi od prodaje usluga</v>
      </c>
      <c r="G334" t="s">
        <v>225</v>
      </c>
      <c r="H334" t="s">
        <v>252</v>
      </c>
      <c r="I334" t="s">
        <v>242</v>
      </c>
      <c r="J334" s="267" t="s">
        <v>219</v>
      </c>
      <c r="K334" s="268" t="s">
        <v>223</v>
      </c>
      <c r="L334" s="267" t="s">
        <v>222</v>
      </c>
      <c r="M334" s="10"/>
      <c r="N334" s="10"/>
    </row>
    <row r="335" spans="1:14" x14ac:dyDescent="0.2">
      <c r="A335">
        <f t="shared" si="5"/>
        <v>334</v>
      </c>
      <c r="B335" t="s">
        <v>1375</v>
      </c>
      <c r="C335">
        <v>0</v>
      </c>
      <c r="D335">
        <v>613</v>
      </c>
      <c r="E335" s="2" t="str">
        <f>VLOOKUP( Aop!$A335, Aop!$A$2:$N$415, ID_Jezik + 9, 1)</f>
        <v>611, dio 610</v>
      </c>
      <c r="F335" t="str">
        <f>REPT( "  ", Aop!$C335) &amp; VLOOKUP( Aop!$A335, Aop!$A$2:$N$415, ID_Jezik + 6, 1)</f>
        <v>Prihodi od prodaje učinaka u Republici Srpskoj i prihodi od prodaje učinaka povezanim pravnim licima u RS</v>
      </c>
      <c r="G335" t="s">
        <v>974</v>
      </c>
      <c r="H335" t="s">
        <v>975</v>
      </c>
      <c r="I335" t="s">
        <v>976</v>
      </c>
      <c r="J335" s="267" t="s">
        <v>53</v>
      </c>
      <c r="K335" s="268" t="s">
        <v>54</v>
      </c>
      <c r="L335" s="267" t="s">
        <v>55</v>
      </c>
      <c r="M335" s="10"/>
      <c r="N335" s="10">
        <v>1</v>
      </c>
    </row>
    <row r="336" spans="1:14" x14ac:dyDescent="0.2">
      <c r="A336">
        <f t="shared" si="5"/>
        <v>335</v>
      </c>
      <c r="B336" t="s">
        <v>1375</v>
      </c>
      <c r="C336">
        <v>0</v>
      </c>
      <c r="D336">
        <v>614</v>
      </c>
      <c r="E336" s="2" t="str">
        <f>VLOOKUP( Aop!$A336, Aop!$A$2:$N$415, ID_Jezik + 9, 1)</f>
        <v>612, dio 610</v>
      </c>
      <c r="F336" t="str">
        <f>REPT( "  ", Aop!$C336) &amp; VLOOKUP( Aop!$A336, Aop!$A$2:$N$415, ID_Jezik + 6, 1)</f>
        <v>Prihodi od prodaje učinaka u Federaciji BiH i prihodi od prodaje učinaka povezanim pravnim licima u FBiH</v>
      </c>
      <c r="G336" t="s">
        <v>977</v>
      </c>
      <c r="H336" t="s">
        <v>978</v>
      </c>
      <c r="I336" t="s">
        <v>979</v>
      </c>
      <c r="J336" s="267" t="s">
        <v>56</v>
      </c>
      <c r="K336" s="267" t="s">
        <v>57</v>
      </c>
      <c r="L336" s="267" t="s">
        <v>58</v>
      </c>
      <c r="M336" s="10"/>
      <c r="N336" s="10" t="s">
        <v>240</v>
      </c>
    </row>
    <row r="337" spans="1:14" x14ac:dyDescent="0.2">
      <c r="A337">
        <f t="shared" si="5"/>
        <v>336</v>
      </c>
      <c r="B337" t="s">
        <v>1375</v>
      </c>
      <c r="C337">
        <v>0</v>
      </c>
      <c r="D337">
        <v>615</v>
      </c>
      <c r="E337" s="2" t="str">
        <f>VLOOKUP( Aop!$A337, Aop!$A$2:$N$415, ID_Jezik + 9, 1)</f>
        <v>613, dio 610</v>
      </c>
      <c r="F337" t="str">
        <f>REPT( "  ", Aop!$C337) &amp; VLOOKUP( Aop!$A337, Aop!$A$2:$N$415, ID_Jezik + 6, 1)</f>
        <v>Prihodi od prodaje učinaka u Brčko Distriktu BiH i prihodi od prodaje učinaka povezanim pravnim licima u BD</v>
      </c>
      <c r="G337" t="s">
        <v>980</v>
      </c>
      <c r="H337" t="s">
        <v>981</v>
      </c>
      <c r="I337" t="s">
        <v>982</v>
      </c>
      <c r="J337" s="267" t="s">
        <v>59</v>
      </c>
      <c r="K337" s="267" t="s">
        <v>60</v>
      </c>
      <c r="L337" s="267" t="s">
        <v>61</v>
      </c>
      <c r="M337" s="10"/>
      <c r="N337" s="10" t="s">
        <v>240</v>
      </c>
    </row>
    <row r="338" spans="1:14" x14ac:dyDescent="0.2">
      <c r="A338">
        <f t="shared" si="5"/>
        <v>337</v>
      </c>
      <c r="B338" t="s">
        <v>1375</v>
      </c>
      <c r="C338">
        <v>0</v>
      </c>
      <c r="D338">
        <v>616</v>
      </c>
      <c r="E338" s="2" t="str">
        <f>VLOOKUP( Aop!$A338, Aop!$A$2:$N$415, ID_Jezik + 9, 1)</f>
        <v>dio 611</v>
      </c>
      <c r="F338" t="str">
        <f>REPT( "  ", Aop!$C338) &amp; VLOOKUP( Aop!$A338, Aop!$A$2:$N$415, ID_Jezik + 6, 1)</f>
        <v>Prihodi od prodaje usluga u Republici Srpskoj</v>
      </c>
      <c r="G338" t="s">
        <v>983</v>
      </c>
      <c r="H338" t="s">
        <v>984</v>
      </c>
      <c r="I338" t="s">
        <v>985</v>
      </c>
      <c r="J338" s="267" t="s">
        <v>1628</v>
      </c>
      <c r="K338" s="267" t="s">
        <v>62</v>
      </c>
      <c r="L338" s="267" t="s">
        <v>1635</v>
      </c>
      <c r="M338" s="10"/>
      <c r="N338" s="10"/>
    </row>
    <row r="339" spans="1:14" x14ac:dyDescent="0.2">
      <c r="A339">
        <f t="shared" si="5"/>
        <v>338</v>
      </c>
      <c r="B339" t="s">
        <v>1375</v>
      </c>
      <c r="C339">
        <v>0</v>
      </c>
      <c r="D339">
        <v>617</v>
      </c>
      <c r="E339" s="2" t="str">
        <f>VLOOKUP( Aop!$A339, Aop!$A$2:$N$415, ID_Jezik + 9, 1)</f>
        <v>dio 612</v>
      </c>
      <c r="F339" t="str">
        <f>REPT( "  ", Aop!$C339) &amp; VLOOKUP( Aop!$A339, Aop!$A$2:$N$415, ID_Jezik + 6, 1)</f>
        <v>Prihodi od prodaje usluga u Federaciji BiH</v>
      </c>
      <c r="G339" t="s">
        <v>986</v>
      </c>
      <c r="H339" t="s">
        <v>987</v>
      </c>
      <c r="I339" t="s">
        <v>988</v>
      </c>
      <c r="J339" s="267" t="s">
        <v>1627</v>
      </c>
      <c r="K339" s="268" t="s">
        <v>63</v>
      </c>
      <c r="L339" s="267" t="s">
        <v>1634</v>
      </c>
      <c r="M339" s="10"/>
      <c r="N339" s="10"/>
    </row>
    <row r="340" spans="1:14" x14ac:dyDescent="0.2">
      <c r="A340">
        <f t="shared" si="5"/>
        <v>339</v>
      </c>
      <c r="B340" t="s">
        <v>1375</v>
      </c>
      <c r="C340">
        <v>0</v>
      </c>
      <c r="D340">
        <v>618</v>
      </c>
      <c r="E340" s="2" t="str">
        <f>VLOOKUP( Aop!$A340, Aop!$A$2:$N$415, ID_Jezik + 9, 1)</f>
        <v>dio 613</v>
      </c>
      <c r="F340" t="str">
        <f>REPT( "  ", Aop!$C340) &amp; VLOOKUP( Aop!$A340, Aop!$A$2:$N$415, ID_Jezik + 6, 1)</f>
        <v>Prihodi od prodaje usluga u Brčko Distriktu BiH</v>
      </c>
      <c r="G340" t="s">
        <v>989</v>
      </c>
      <c r="H340" t="s">
        <v>990</v>
      </c>
      <c r="I340" t="s">
        <v>991</v>
      </c>
      <c r="J340" s="267" t="s">
        <v>64</v>
      </c>
      <c r="K340" s="268" t="s">
        <v>65</v>
      </c>
      <c r="L340" s="267" t="s">
        <v>66</v>
      </c>
      <c r="M340" s="10"/>
      <c r="N340" s="10"/>
    </row>
    <row r="341" spans="1:14" x14ac:dyDescent="0.2">
      <c r="A341">
        <f t="shared" si="5"/>
        <v>340</v>
      </c>
      <c r="B341" t="s">
        <v>1375</v>
      </c>
      <c r="C341">
        <v>0</v>
      </c>
      <c r="D341">
        <v>619</v>
      </c>
      <c r="E341" s="2">
        <f>VLOOKUP( Aop!$A341, Aop!$A$2:$N$415, ID_Jezik + 9, 1)</f>
        <v>65</v>
      </c>
      <c r="F341" t="str">
        <f>REPT( "  ", Aop!$C341) &amp; VLOOKUP( Aop!$A341, Aop!$A$2:$N$415, ID_Jezik + 6, 1)</f>
        <v>OSTALI POSLOVNI PRIHODI (620 + 623 + 624 + 625 + 626 + 627 + 628)</v>
      </c>
      <c r="G341" t="s">
        <v>226</v>
      </c>
      <c r="H341" t="s">
        <v>281</v>
      </c>
      <c r="I341" t="s">
        <v>282</v>
      </c>
      <c r="J341" s="267">
        <v>65</v>
      </c>
      <c r="K341" s="268">
        <v>65</v>
      </c>
      <c r="L341" s="267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1375</v>
      </c>
      <c r="C342">
        <v>1</v>
      </c>
      <c r="D342">
        <v>620</v>
      </c>
      <c r="E342" s="2">
        <f>VLOOKUP( Aop!$A342, Aop!$A$2:$N$415, ID_Jezik + 9, 1)</f>
        <v>650</v>
      </c>
      <c r="F342" t="str">
        <f>REPT( "  ", Aop!$C342) &amp; VLOOKUP( Aop!$A342, Aop!$A$2:$N$415, ID_Jezik + 6, 1)</f>
        <v xml:space="preserve">  a) Prihodi od premija, subvencija, dotacija, regresa, podsticaja i slično</v>
      </c>
      <c r="G342" t="s">
        <v>992</v>
      </c>
      <c r="H342" t="s">
        <v>993</v>
      </c>
      <c r="I342" t="s">
        <v>1643</v>
      </c>
      <c r="J342" s="267">
        <v>650</v>
      </c>
      <c r="K342" s="268">
        <v>650</v>
      </c>
      <c r="L342" s="267">
        <v>650</v>
      </c>
      <c r="M342" s="10"/>
      <c r="N342" s="10"/>
    </row>
    <row r="343" spans="1:14" x14ac:dyDescent="0.2">
      <c r="A343">
        <f t="shared" si="5"/>
        <v>342</v>
      </c>
      <c r="B343" t="s">
        <v>1375</v>
      </c>
      <c r="C343">
        <v>2</v>
      </c>
      <c r="D343">
        <v>621</v>
      </c>
      <c r="E343" s="2" t="str">
        <f>VLOOKUP( Aop!$A343, Aop!$A$2:$N$415, ID_Jezik + 9, 1)</f>
        <v>dio 650</v>
      </c>
      <c r="F343" t="str">
        <f>REPT( "  ", Aop!$C343) &amp; VLOOKUP( Aop!$A343, Aop!$A$2:$N$415, ID_Jezik + 6, 1)</f>
        <v xml:space="preserve">    Od toga: prihodi po osnovu subvencija na proizvode (subvencije koje se mogu prikazati po jedinici proizvoda, npr. vozna karta, brašno, hljeb, mlijeko i dr.)</v>
      </c>
      <c r="G343" t="s">
        <v>1644</v>
      </c>
      <c r="H343" t="s">
        <v>994</v>
      </c>
      <c r="I343" t="s">
        <v>1645</v>
      </c>
      <c r="J343" s="267" t="s">
        <v>927</v>
      </c>
      <c r="K343" s="268" t="s">
        <v>67</v>
      </c>
      <c r="L343" s="267" t="s">
        <v>1636</v>
      </c>
      <c r="M343" s="10"/>
      <c r="N343" s="10">
        <v>1</v>
      </c>
    </row>
    <row r="344" spans="1:14" x14ac:dyDescent="0.2">
      <c r="A344">
        <f t="shared" si="5"/>
        <v>343</v>
      </c>
      <c r="B344" t="s">
        <v>1375</v>
      </c>
      <c r="C344">
        <v>2</v>
      </c>
      <c r="D344">
        <v>622</v>
      </c>
      <c r="E344" s="2" t="str">
        <f>VLOOKUP( Aop!$A344, Aop!$A$2:$N$415, ID_Jezik + 9, 1)</f>
        <v>dio 650</v>
      </c>
      <c r="F344" t="str">
        <f>REPT( "  ", Aop!$C344) &amp; VLOOKUP( Aop!$A344, Aop!$A$2:$N$415, ID_Jezik + 6, 1)</f>
        <v xml:space="preserve">    Od toga: prihodi po osnovu subvencija na proizvodnju (na zapošljavanje, platu, kamatnu stopu, za smanjenje zagađenja i dr.)</v>
      </c>
      <c r="G344" t="s">
        <v>265</v>
      </c>
      <c r="H344" t="s">
        <v>266</v>
      </c>
      <c r="I344" t="s">
        <v>267</v>
      </c>
      <c r="J344" s="268" t="s">
        <v>927</v>
      </c>
      <c r="K344" s="267" t="s">
        <v>67</v>
      </c>
      <c r="L344" s="267" t="s">
        <v>1636</v>
      </c>
      <c r="M344" s="10"/>
      <c r="N344" s="10">
        <v>1</v>
      </c>
    </row>
    <row r="345" spans="1:14" x14ac:dyDescent="0.2">
      <c r="A345">
        <f t="shared" si="5"/>
        <v>344</v>
      </c>
      <c r="B345" t="s">
        <v>1375</v>
      </c>
      <c r="C345">
        <v>1</v>
      </c>
      <c r="D345">
        <v>623</v>
      </c>
      <c r="E345" s="2">
        <f>VLOOKUP( Aop!$A345, Aop!$A$2:$N$415, ID_Jezik + 9, 1)</f>
        <v>651</v>
      </c>
      <c r="F345" t="str">
        <f>REPT( "  ", Aop!$C345) &amp; VLOOKUP( Aop!$A345, Aop!$A$2:$N$415, ID_Jezik + 6, 1)</f>
        <v xml:space="preserve">  b) Prihod od zakupnina</v>
      </c>
      <c r="G345" t="s">
        <v>1646</v>
      </c>
      <c r="H345" t="s">
        <v>995</v>
      </c>
      <c r="I345" t="s">
        <v>1647</v>
      </c>
      <c r="J345" s="268">
        <v>651</v>
      </c>
      <c r="K345" s="267">
        <v>651</v>
      </c>
      <c r="L345" s="267">
        <v>651</v>
      </c>
      <c r="M345" s="10"/>
      <c r="N345" s="10"/>
    </row>
    <row r="346" spans="1:14" x14ac:dyDescent="0.2">
      <c r="A346">
        <f t="shared" si="5"/>
        <v>345</v>
      </c>
      <c r="B346" t="s">
        <v>1375</v>
      </c>
      <c r="C346">
        <v>1</v>
      </c>
      <c r="D346">
        <v>624</v>
      </c>
      <c r="E346" s="2">
        <f>VLOOKUP( Aop!$A346, Aop!$A$2:$N$415, ID_Jezik + 9, 1)</f>
        <v>652</v>
      </c>
      <c r="F346" t="str">
        <f>REPT( "  ", Aop!$C346) &amp; VLOOKUP( Aop!$A346, Aop!$A$2:$N$415, ID_Jezik + 6, 1)</f>
        <v xml:space="preserve">  v) Prihod od donacija</v>
      </c>
      <c r="G346" t="s">
        <v>996</v>
      </c>
      <c r="H346" t="s">
        <v>997</v>
      </c>
      <c r="I346" t="s">
        <v>1648</v>
      </c>
      <c r="J346" s="267">
        <v>652</v>
      </c>
      <c r="K346" s="268">
        <v>652</v>
      </c>
      <c r="L346" s="268">
        <v>652</v>
      </c>
      <c r="M346" s="10"/>
      <c r="N346" s="10"/>
    </row>
    <row r="347" spans="1:14" x14ac:dyDescent="0.2">
      <c r="A347">
        <f t="shared" si="5"/>
        <v>346</v>
      </c>
      <c r="B347" t="s">
        <v>1375</v>
      </c>
      <c r="C347">
        <v>1</v>
      </c>
      <c r="D347">
        <v>625</v>
      </c>
      <c r="E347" s="2">
        <f>VLOOKUP( Aop!$A347, Aop!$A$2:$N$415, ID_Jezik + 9, 1)</f>
        <v>653</v>
      </c>
      <c r="F347" t="str">
        <f>REPT( "  ", Aop!$C347) &amp; VLOOKUP( Aop!$A347, Aop!$A$2:$N$415, ID_Jezik + 6, 1)</f>
        <v xml:space="preserve">  g) Prihod od članarina</v>
      </c>
      <c r="G347" t="s">
        <v>998</v>
      </c>
      <c r="H347" t="s">
        <v>999</v>
      </c>
      <c r="I347" t="s">
        <v>1649</v>
      </c>
      <c r="J347" s="267">
        <v>653</v>
      </c>
      <c r="K347" s="268">
        <v>653</v>
      </c>
      <c r="L347" s="268">
        <v>653</v>
      </c>
      <c r="M347" s="10"/>
      <c r="N347" s="10"/>
    </row>
    <row r="348" spans="1:14" s="117" customFormat="1" x14ac:dyDescent="0.2">
      <c r="A348">
        <f t="shared" si="5"/>
        <v>347</v>
      </c>
      <c r="B348" s="117" t="s">
        <v>1375</v>
      </c>
      <c r="C348">
        <v>1</v>
      </c>
      <c r="D348" s="118">
        <v>626</v>
      </c>
      <c r="E348" s="119">
        <f>VLOOKUP( Aop!$A348, Aop!$A$2:$N$415, ID_Jezik + 9, 1)</f>
        <v>654</v>
      </c>
      <c r="F348" s="118" t="str">
        <f>REPT( "  ", Aop!$C348) &amp; VLOOKUP( Aop!$A348, Aop!$A$2:$N$415, ID_Jezik + 6, 1)</f>
        <v xml:space="preserve">  d) Prihod od tantijema i licencnih prava</v>
      </c>
      <c r="G348" s="117" t="s">
        <v>1000</v>
      </c>
      <c r="H348" t="s">
        <v>1001</v>
      </c>
      <c r="I348" t="s">
        <v>1650</v>
      </c>
      <c r="J348" s="269">
        <v>654</v>
      </c>
      <c r="K348" s="268">
        <v>654</v>
      </c>
      <c r="L348" s="267">
        <v>654</v>
      </c>
      <c r="M348" s="10"/>
      <c r="N348" s="10"/>
    </row>
    <row r="349" spans="1:14" s="117" customFormat="1" x14ac:dyDescent="0.2">
      <c r="A349">
        <f t="shared" si="5"/>
        <v>348</v>
      </c>
      <c r="B349" s="117" t="s">
        <v>1375</v>
      </c>
      <c r="C349">
        <v>1</v>
      </c>
      <c r="D349" s="118">
        <v>627</v>
      </c>
      <c r="E349" s="119">
        <f>VLOOKUP( Aop!$A349, Aop!$A$2:$N$415, ID_Jezik + 9, 1)</f>
        <v>655</v>
      </c>
      <c r="F349" s="118" t="str">
        <f>REPT( "  ", Aop!$C349) &amp; VLOOKUP( Aop!$A349, Aop!$A$2:$N$415, ID_Jezik + 6, 1)</f>
        <v xml:space="preserve">  đ) Prihod iz namjenskih izvora finansiranja (iz budžeta, fondova i dr.)</v>
      </c>
      <c r="G349" s="117" t="s">
        <v>1002</v>
      </c>
      <c r="H349" t="s">
        <v>1003</v>
      </c>
      <c r="I349" t="s">
        <v>1651</v>
      </c>
      <c r="J349" s="269">
        <v>655</v>
      </c>
      <c r="K349" s="267">
        <v>655</v>
      </c>
      <c r="L349" s="267">
        <v>655</v>
      </c>
      <c r="M349" s="10"/>
      <c r="N349" s="10"/>
    </row>
    <row r="350" spans="1:14" s="117" customFormat="1" x14ac:dyDescent="0.2">
      <c r="A350">
        <f t="shared" si="5"/>
        <v>349</v>
      </c>
      <c r="B350" s="117" t="s">
        <v>1375</v>
      </c>
      <c r="C350" s="118">
        <v>1</v>
      </c>
      <c r="D350" s="118">
        <v>628</v>
      </c>
      <c r="E350" s="119">
        <f>VLOOKUP( Aop!$A350, Aop!$A$2:$N$415, ID_Jezik + 9, 1)</f>
        <v>659</v>
      </c>
      <c r="F350" s="118" t="str">
        <f>REPT( "  ", Aop!$C350) &amp; VLOOKUP( Aop!$A350, Aop!$A$2:$N$415, ID_Jezik + 6, 1)</f>
        <v xml:space="preserve">  e) Ostali poslovni prihodi po drugim osnovima</v>
      </c>
      <c r="G350" s="117" t="s">
        <v>1004</v>
      </c>
      <c r="H350" s="117" t="s">
        <v>1005</v>
      </c>
      <c r="I350" s="117" t="s">
        <v>1652</v>
      </c>
      <c r="J350" s="269">
        <v>659</v>
      </c>
      <c r="K350" s="269">
        <v>659</v>
      </c>
      <c r="L350" s="269">
        <v>659</v>
      </c>
      <c r="M350" s="119"/>
      <c r="N350" s="119"/>
    </row>
    <row r="351" spans="1:14" s="117" customFormat="1" x14ac:dyDescent="0.2">
      <c r="A351">
        <f t="shared" si="5"/>
        <v>350</v>
      </c>
      <c r="B351" s="117" t="s">
        <v>1375</v>
      </c>
      <c r="C351" s="118">
        <v>0</v>
      </c>
      <c r="D351" s="118">
        <v>629</v>
      </c>
      <c r="E351" s="119" t="str">
        <f>VLOOKUP( Aop!$A351, Aop!$A$2:$N$415, ID_Jezik + 9, 1)</f>
        <v>66 + 67</v>
      </c>
      <c r="F351" s="118" t="str">
        <f>REPT( "  ", Aop!$C351) &amp; VLOOKUP( Aop!$A351, Aop!$A$2:$N$415, ID_Jezik + 6, 1)</f>
        <v>FINANSIJSKI I OSTALI PRIHODI</v>
      </c>
      <c r="G351" s="117" t="s">
        <v>1618</v>
      </c>
      <c r="H351" s="117" t="s">
        <v>1006</v>
      </c>
      <c r="I351" s="117" t="s">
        <v>1653</v>
      </c>
      <c r="J351" s="269" t="s">
        <v>68</v>
      </c>
      <c r="K351" s="270" t="s">
        <v>68</v>
      </c>
      <c r="L351" s="269" t="s">
        <v>68</v>
      </c>
      <c r="M351" s="119">
        <v>1</v>
      </c>
      <c r="N351" s="119"/>
    </row>
    <row r="352" spans="1:14" s="117" customFormat="1" x14ac:dyDescent="0.2">
      <c r="A352">
        <f t="shared" si="5"/>
        <v>351</v>
      </c>
      <c r="B352" s="117" t="s">
        <v>1375</v>
      </c>
      <c r="C352" s="118">
        <v>2</v>
      </c>
      <c r="D352" s="118">
        <v>630</v>
      </c>
      <c r="E352" s="119" t="str">
        <f>VLOOKUP( Aop!$A352, Aop!$A$2:$N$415, ID_Jezik + 9, 1)</f>
        <v>dio 660</v>
      </c>
      <c r="F352" s="118" t="str">
        <f>REPT( "  ", Aop!$C352) &amp; VLOOKUP( Aop!$A352, Aop!$A$2:$N$415, ID_Jezik + 6, 1)</f>
        <v xml:space="preserve">    Od toga: prihodi od učešća u dobiti (dividendi)</v>
      </c>
      <c r="G352" s="117" t="s">
        <v>1619</v>
      </c>
      <c r="H352" s="117" t="s">
        <v>1007</v>
      </c>
      <c r="I352" s="117" t="s">
        <v>1654</v>
      </c>
      <c r="J352" s="269" t="s">
        <v>1629</v>
      </c>
      <c r="K352" s="269" t="s">
        <v>69</v>
      </c>
      <c r="L352" s="269" t="s">
        <v>1637</v>
      </c>
      <c r="M352" s="119"/>
      <c r="N352" s="119"/>
    </row>
    <row r="353" spans="1:14" s="117" customFormat="1" x14ac:dyDescent="0.2">
      <c r="A353">
        <f t="shared" si="5"/>
        <v>352</v>
      </c>
      <c r="B353" s="117" t="s">
        <v>1375</v>
      </c>
      <c r="C353" s="118">
        <v>1</v>
      </c>
      <c r="D353" s="118">
        <v>631</v>
      </c>
      <c r="E353" s="119" t="str">
        <f>VLOOKUP( Aop!$A353, Aop!$A$2:$N$415, ID_Jezik + 9, 1)</f>
        <v>dio 670</v>
      </c>
      <c r="F353" s="118" t="str">
        <f>REPT( "  ", Aop!$C353) &amp; VLOOKUP( Aop!$A353, Aop!$A$2:$N$415, ID_Jezik + 6, 1)</f>
        <v xml:space="preserve">  Dobici po osnovu prodaje nekretnina, postrojenja i opreme</v>
      </c>
      <c r="G353" s="117" t="s">
        <v>1008</v>
      </c>
      <c r="H353" s="117" t="s">
        <v>1009</v>
      </c>
      <c r="I353" s="117" t="s">
        <v>1655</v>
      </c>
      <c r="J353" s="269" t="s">
        <v>1630</v>
      </c>
      <c r="K353" s="269" t="s">
        <v>70</v>
      </c>
      <c r="L353" s="269" t="s">
        <v>1638</v>
      </c>
      <c r="M353" s="119"/>
      <c r="N353" s="119"/>
    </row>
    <row r="354" spans="1:14" s="117" customFormat="1" x14ac:dyDescent="0.2">
      <c r="A354">
        <f t="shared" si="5"/>
        <v>353</v>
      </c>
      <c r="B354" s="117" t="s">
        <v>1375</v>
      </c>
      <c r="C354" s="118">
        <v>1</v>
      </c>
      <c r="D354" s="118">
        <v>632</v>
      </c>
      <c r="E354" s="119">
        <f>VLOOKUP( Aop!$A354, Aop!$A$2:$N$415, ID_Jezik + 9, 1)</f>
        <v>678</v>
      </c>
      <c r="F354" s="118" t="str">
        <f>REPT( "  ", Aop!$C354) &amp; VLOOKUP( Aop!$A354, Aop!$A$2:$N$415, ID_Jezik + 6, 1)</f>
        <v xml:space="preserve">  Prihodi po osnovu ugovorene zaštite od rizika koji ne ispunjavaju uslove da se iskažu u okviru revalorizacionih rezervi</v>
      </c>
      <c r="G354" s="117" t="s">
        <v>227</v>
      </c>
      <c r="H354" s="117" t="s">
        <v>1010</v>
      </c>
      <c r="I354" s="117" t="s">
        <v>1656</v>
      </c>
      <c r="J354" s="269">
        <v>678</v>
      </c>
      <c r="K354" s="270">
        <v>678</v>
      </c>
      <c r="L354" s="269">
        <v>678</v>
      </c>
      <c r="M354" s="119"/>
      <c r="N354" s="119"/>
    </row>
    <row r="355" spans="1:14" s="117" customFormat="1" x14ac:dyDescent="0.2">
      <c r="A355">
        <f t="shared" si="5"/>
        <v>354</v>
      </c>
      <c r="B355" s="117" t="s">
        <v>1375</v>
      </c>
      <c r="C355" s="118">
        <v>0</v>
      </c>
      <c r="D355" s="118">
        <v>633</v>
      </c>
      <c r="E355" s="119">
        <f>VLOOKUP( Aop!$A355, Aop!$A$2:$N$415, ID_Jezik + 9, 1)</f>
        <v>51</v>
      </c>
      <c r="F355" s="118" t="str">
        <f>REPT( "  ", Aop!$C355) &amp; VLOOKUP( Aop!$A355, Aop!$A$2:$N$415, ID_Jezik + 6, 1)</f>
        <v>TROŠKOVI MATERIJALA</v>
      </c>
      <c r="G355" s="117" t="s">
        <v>1620</v>
      </c>
      <c r="H355" s="117" t="s">
        <v>1011</v>
      </c>
      <c r="I355" s="117" t="s">
        <v>1657</v>
      </c>
      <c r="J355" s="269">
        <v>51</v>
      </c>
      <c r="K355" s="269">
        <v>51</v>
      </c>
      <c r="L355" s="269">
        <v>51</v>
      </c>
      <c r="M355" s="119">
        <v>1</v>
      </c>
      <c r="N355" s="119"/>
    </row>
    <row r="356" spans="1:14" s="117" customFormat="1" x14ac:dyDescent="0.2">
      <c r="A356">
        <f t="shared" si="5"/>
        <v>355</v>
      </c>
      <c r="B356" s="117" t="s">
        <v>1375</v>
      </c>
      <c r="C356" s="118">
        <v>2</v>
      </c>
      <c r="D356" s="118">
        <v>634</v>
      </c>
      <c r="E356" s="119">
        <f>VLOOKUP( Aop!$A356, Aop!$A$2:$N$415, ID_Jezik + 9, 1)</f>
        <v>513</v>
      </c>
      <c r="F356" s="118" t="str">
        <f>REPT( "  ", Aop!$C356) &amp; VLOOKUP( Aop!$A356, Aop!$A$2:$N$415, ID_Jezik + 6, 1)</f>
        <v xml:space="preserve">    Od toga: troškovi goriva i energije</v>
      </c>
      <c r="G356" s="117" t="s">
        <v>1621</v>
      </c>
      <c r="H356" s="117" t="s">
        <v>1012</v>
      </c>
      <c r="I356" s="117" t="s">
        <v>1658</v>
      </c>
      <c r="J356" s="269">
        <v>513</v>
      </c>
      <c r="K356" s="269">
        <v>513</v>
      </c>
      <c r="L356" s="269">
        <v>513</v>
      </c>
      <c r="M356" s="119"/>
      <c r="N356" s="119"/>
    </row>
    <row r="357" spans="1:14" s="117" customFormat="1" x14ac:dyDescent="0.2">
      <c r="A357">
        <f t="shared" si="5"/>
        <v>356</v>
      </c>
      <c r="B357" s="117" t="s">
        <v>1375</v>
      </c>
      <c r="C357" s="118">
        <v>0</v>
      </c>
      <c r="D357" s="118">
        <v>635</v>
      </c>
      <c r="E357" s="119">
        <f>VLOOKUP( Aop!$A357, Aop!$A$2:$N$415, ID_Jezik + 9, 1)</f>
        <v>52</v>
      </c>
      <c r="F357" s="118" t="str">
        <f>REPT( "  ", Aop!$C357) &amp; VLOOKUP( Aop!$A357, Aop!$A$2:$N$415, ID_Jezik + 6, 1)</f>
        <v>TROŠKOVI ZARADA, NAKNADA ZARADA I OSTALIH LIČNIH RASHODA</v>
      </c>
      <c r="G357" s="117" t="s">
        <v>1622</v>
      </c>
      <c r="H357" s="117" t="s">
        <v>1013</v>
      </c>
      <c r="I357" s="117" t="s">
        <v>1659</v>
      </c>
      <c r="J357" s="269">
        <v>52</v>
      </c>
      <c r="K357" s="270">
        <v>52</v>
      </c>
      <c r="L357" s="269">
        <v>52</v>
      </c>
      <c r="M357" s="119">
        <v>1</v>
      </c>
      <c r="N357" s="119"/>
    </row>
    <row r="358" spans="1:14" s="117" customFormat="1" x14ac:dyDescent="0.2">
      <c r="A358">
        <f t="shared" si="5"/>
        <v>357</v>
      </c>
      <c r="B358" s="117" t="s">
        <v>1375</v>
      </c>
      <c r="C358" s="118">
        <v>1</v>
      </c>
      <c r="D358" s="118">
        <v>636</v>
      </c>
      <c r="E358" s="119" t="str">
        <f>VLOOKUP( Aop!$A358, Aop!$A$2:$N$415, ID_Jezik + 9, 1)</f>
        <v>522 + 523</v>
      </c>
      <c r="F358" s="118" t="str">
        <f>REPT( "  ", Aop!$C358) &amp; VLOOKUP( Aop!$A358, Aop!$A$2:$N$415, ID_Jezik + 6, 1)</f>
        <v xml:space="preserve">  Troškovi bruto naknada članovima upravnog, nadzornog, odbora za reviziju i dr.</v>
      </c>
      <c r="G358" s="117" t="s">
        <v>228</v>
      </c>
      <c r="H358" s="117" t="s">
        <v>254</v>
      </c>
      <c r="I358" s="117" t="s">
        <v>264</v>
      </c>
      <c r="J358" s="269" t="s">
        <v>220</v>
      </c>
      <c r="K358" s="270" t="s">
        <v>220</v>
      </c>
      <c r="L358" s="269" t="s">
        <v>220</v>
      </c>
      <c r="M358" s="119"/>
      <c r="N358" s="119"/>
    </row>
    <row r="359" spans="1:14" s="117" customFormat="1" x14ac:dyDescent="0.2">
      <c r="A359">
        <f t="shared" si="5"/>
        <v>358</v>
      </c>
      <c r="B359" s="117" t="s">
        <v>1375</v>
      </c>
      <c r="C359" s="118">
        <v>1</v>
      </c>
      <c r="D359" s="118">
        <v>637</v>
      </c>
      <c r="E359" s="119">
        <f>VLOOKUP( Aop!$A359, Aop!$A$2:$N$415, ID_Jezik + 9, 1)</f>
        <v>525</v>
      </c>
      <c r="F359" s="118" t="str">
        <f>REPT( "  ", Aop!$C359) &amp; VLOOKUP( Aop!$A359, Aop!$A$2:$N$415, ID_Jezik + 6, 1)</f>
        <v xml:space="preserve">  Troškovi zaposlenih na službenom putu</v>
      </c>
      <c r="G359" s="117" t="s">
        <v>1014</v>
      </c>
      <c r="H359" s="117" t="s">
        <v>1015</v>
      </c>
      <c r="I359" s="117" t="s">
        <v>1016</v>
      </c>
      <c r="J359" s="269">
        <v>525</v>
      </c>
      <c r="K359" s="270">
        <v>525</v>
      </c>
      <c r="L359" s="269">
        <v>525</v>
      </c>
      <c r="M359" s="119"/>
      <c r="N359" s="119"/>
    </row>
    <row r="360" spans="1:14" s="117" customFormat="1" x14ac:dyDescent="0.2">
      <c r="A360">
        <f t="shared" si="5"/>
        <v>359</v>
      </c>
      <c r="B360" s="117" t="s">
        <v>1375</v>
      </c>
      <c r="C360" s="118">
        <v>2</v>
      </c>
      <c r="D360" s="118">
        <v>638</v>
      </c>
      <c r="E360" s="119" t="str">
        <f>VLOOKUP( Aop!$A360, Aop!$A$2:$N$415, ID_Jezik + 9, 1)</f>
        <v>dio 525</v>
      </c>
      <c r="F360" s="118" t="str">
        <f>REPT( "  ", Aop!$C360) &amp; VLOOKUP( Aop!$A360, Aop!$A$2:$N$415, ID_Jezik + 6, 1)</f>
        <v xml:space="preserve">    Od toga: dnevnice</v>
      </c>
      <c r="G360" s="117" t="s">
        <v>1017</v>
      </c>
      <c r="H360" s="117" t="s">
        <v>1018</v>
      </c>
      <c r="I360" s="117" t="s">
        <v>1019</v>
      </c>
      <c r="J360" s="269" t="s">
        <v>71</v>
      </c>
      <c r="K360" s="269" t="s">
        <v>72</v>
      </c>
      <c r="L360" s="269" t="s">
        <v>73</v>
      </c>
      <c r="M360" s="119"/>
      <c r="N360" s="119"/>
    </row>
    <row r="361" spans="1:14" s="117" customFormat="1" x14ac:dyDescent="0.2">
      <c r="A361">
        <f t="shared" si="5"/>
        <v>360</v>
      </c>
      <c r="B361" s="117" t="s">
        <v>1375</v>
      </c>
      <c r="C361" s="118">
        <v>0</v>
      </c>
      <c r="D361" s="118">
        <v>639</v>
      </c>
      <c r="E361" s="119">
        <f>VLOOKUP( Aop!$A361, Aop!$A$2:$N$415, ID_Jezik + 9, 1)</f>
        <v>53</v>
      </c>
      <c r="F361" s="118" t="str">
        <f>REPT( "  ", Aop!$C361) &amp; VLOOKUP( Aop!$A361, Aop!$A$2:$N$415, ID_Jezik + 6, 1)</f>
        <v>TROŠKOVI PROIZVODNIH USLUGA (640 + 641 + 642 + 643 + 644 + 645 + 646 + 647)</v>
      </c>
      <c r="G361" s="117" t="s">
        <v>229</v>
      </c>
      <c r="H361" s="117" t="s">
        <v>283</v>
      </c>
      <c r="I361" s="117" t="s">
        <v>284</v>
      </c>
      <c r="J361" s="269">
        <v>53</v>
      </c>
      <c r="K361" s="270">
        <v>53</v>
      </c>
      <c r="L361" s="269">
        <v>53</v>
      </c>
      <c r="M361" s="119">
        <v>1</v>
      </c>
      <c r="N361" s="119"/>
    </row>
    <row r="362" spans="1:14" s="117" customFormat="1" x14ac:dyDescent="0.2">
      <c r="A362">
        <f t="shared" si="5"/>
        <v>361</v>
      </c>
      <c r="B362" s="117" t="s">
        <v>1375</v>
      </c>
      <c r="C362" s="118">
        <v>1</v>
      </c>
      <c r="D362" s="118">
        <v>640</v>
      </c>
      <c r="E362" s="119">
        <f>VLOOKUP( Aop!$A362, Aop!$A$2:$N$415, ID_Jezik + 9, 1)</f>
        <v>530</v>
      </c>
      <c r="F362" s="118" t="str">
        <f>REPT( "  ", Aop!$C362) &amp; VLOOKUP( Aop!$A362, Aop!$A$2:$N$415, ID_Jezik + 6, 1)</f>
        <v xml:space="preserve">  a) Troškovi usluga na izradi učinaka</v>
      </c>
      <c r="G362" s="117" t="s">
        <v>1623</v>
      </c>
      <c r="H362" s="117" t="s">
        <v>1020</v>
      </c>
      <c r="I362" s="117" t="s">
        <v>1021</v>
      </c>
      <c r="J362" s="269">
        <v>530</v>
      </c>
      <c r="K362" s="270">
        <v>530</v>
      </c>
      <c r="L362" s="269">
        <v>530</v>
      </c>
      <c r="M362" s="119"/>
      <c r="N362" s="119"/>
    </row>
    <row r="363" spans="1:14" s="117" customFormat="1" x14ac:dyDescent="0.2">
      <c r="A363">
        <f t="shared" si="5"/>
        <v>362</v>
      </c>
      <c r="B363" s="117" t="s">
        <v>1375</v>
      </c>
      <c r="C363" s="118">
        <v>1</v>
      </c>
      <c r="D363" s="118">
        <v>641</v>
      </c>
      <c r="E363" s="119">
        <f>VLOOKUP( Aop!$A363, Aop!$A$2:$N$415, ID_Jezik + 9, 1)</f>
        <v>531</v>
      </c>
      <c r="F363" s="118" t="str">
        <f>REPT( "  ", Aop!$C363) &amp; VLOOKUP( Aop!$A363, Aop!$A$2:$N$415, ID_Jezik + 6, 1)</f>
        <v xml:space="preserve">  b) Troškovi transportnih usluga</v>
      </c>
      <c r="G363" s="117" t="s">
        <v>1624</v>
      </c>
      <c r="H363" s="117" t="s">
        <v>1022</v>
      </c>
      <c r="I363" s="117" t="s">
        <v>1660</v>
      </c>
      <c r="J363" s="269">
        <v>531</v>
      </c>
      <c r="K363" s="270">
        <v>531</v>
      </c>
      <c r="L363" s="269">
        <v>531</v>
      </c>
      <c r="M363" s="119"/>
      <c r="N363" s="119"/>
    </row>
    <row r="364" spans="1:14" s="117" customFormat="1" x14ac:dyDescent="0.2">
      <c r="A364">
        <f t="shared" si="5"/>
        <v>363</v>
      </c>
      <c r="B364" s="117" t="s">
        <v>1375</v>
      </c>
      <c r="C364" s="118">
        <v>1</v>
      </c>
      <c r="D364" s="118">
        <v>642</v>
      </c>
      <c r="E364" s="119" t="str">
        <f>VLOOKUP( Aop!$A364, Aop!$A$2:$N$415, ID_Jezik + 9, 1)</f>
        <v>dio 532</v>
      </c>
      <c r="F364" s="118" t="str">
        <f>REPT( "  ", Aop!$C364) &amp; VLOOKUP( Aop!$A364, Aop!$A$2:$N$415, ID_Jezik + 6, 1)</f>
        <v xml:space="preserve">  v) Troškovi za usluge tekućeg održavanja osnovnih sredstava</v>
      </c>
      <c r="G364" s="117" t="s">
        <v>1023</v>
      </c>
      <c r="H364" s="117" t="s">
        <v>1024</v>
      </c>
      <c r="I364" s="117" t="s">
        <v>1025</v>
      </c>
      <c r="J364" s="269" t="s">
        <v>1631</v>
      </c>
      <c r="K364" s="270" t="s">
        <v>74</v>
      </c>
      <c r="L364" s="269" t="s">
        <v>1639</v>
      </c>
      <c r="M364" s="119"/>
      <c r="N364" s="119"/>
    </row>
    <row r="365" spans="1:14" s="117" customFormat="1" x14ac:dyDescent="0.2">
      <c r="A365">
        <f t="shared" si="5"/>
        <v>364</v>
      </c>
      <c r="B365" s="117" t="s">
        <v>1375</v>
      </c>
      <c r="C365" s="118">
        <v>1</v>
      </c>
      <c r="D365" s="118">
        <v>643</v>
      </c>
      <c r="E365" s="119" t="str">
        <f>VLOOKUP( Aop!$A365, Aop!$A$2:$N$415, ID_Jezik + 9, 1)</f>
        <v>dio 532</v>
      </c>
      <c r="F365" s="118" t="str">
        <f>REPT( "  ", Aop!$C365) &amp; VLOOKUP( Aop!$A365, Aop!$A$2:$N$415, ID_Jezik + 6, 1)</f>
        <v xml:space="preserve">  g) Troškovi za usluge investicionog održavanja osnovnih sredstava</v>
      </c>
      <c r="G365" s="117" t="s">
        <v>1026</v>
      </c>
      <c r="H365" s="117" t="s">
        <v>1027</v>
      </c>
      <c r="I365" s="117" t="s">
        <v>1028</v>
      </c>
      <c r="J365" s="269" t="s">
        <v>1631</v>
      </c>
      <c r="K365" s="269" t="s">
        <v>74</v>
      </c>
      <c r="L365" s="269" t="s">
        <v>1639</v>
      </c>
      <c r="M365" s="119"/>
      <c r="N365" s="119"/>
    </row>
    <row r="366" spans="1:14" s="117" customFormat="1" x14ac:dyDescent="0.2">
      <c r="A366">
        <f t="shared" si="5"/>
        <v>365</v>
      </c>
      <c r="B366" s="117" t="s">
        <v>1375</v>
      </c>
      <c r="C366" s="118">
        <v>1</v>
      </c>
      <c r="D366" s="118">
        <v>644</v>
      </c>
      <c r="E366" s="119">
        <f>VLOOKUP( Aop!$A366, Aop!$A$2:$N$415, ID_Jezik + 9, 1)</f>
        <v>533</v>
      </c>
      <c r="F366" s="118" t="str">
        <f>REPT( "  ", Aop!$C366) &amp; VLOOKUP( Aop!$A366, Aop!$A$2:$N$415, ID_Jezik + 6, 1)</f>
        <v xml:space="preserve">  d) Troškovi zakupa</v>
      </c>
      <c r="G366" s="117" t="s">
        <v>1029</v>
      </c>
      <c r="H366" s="117" t="s">
        <v>1030</v>
      </c>
      <c r="I366" s="117" t="s">
        <v>1661</v>
      </c>
      <c r="J366" s="269">
        <v>533</v>
      </c>
      <c r="K366" s="269">
        <v>533</v>
      </c>
      <c r="L366" s="269">
        <v>533</v>
      </c>
      <c r="M366" s="119"/>
      <c r="N366" s="119"/>
    </row>
    <row r="367" spans="1:14" s="117" customFormat="1" x14ac:dyDescent="0.2">
      <c r="A367">
        <f t="shared" si="5"/>
        <v>366</v>
      </c>
      <c r="B367" s="117" t="s">
        <v>1375</v>
      </c>
      <c r="C367" s="118">
        <v>1</v>
      </c>
      <c r="D367" s="118">
        <v>645</v>
      </c>
      <c r="E367" s="119" t="str">
        <f>VLOOKUP( Aop!$A367, Aop!$A$2:$N$415, ID_Jezik + 9, 1)</f>
        <v>534 + 535</v>
      </c>
      <c r="F367" s="118" t="str">
        <f>REPT( "  ", Aop!$C367) &amp; VLOOKUP( Aop!$A367, Aop!$A$2:$N$415, ID_Jezik + 6, 1)</f>
        <v xml:space="preserve">  đ) Troškovi sajmova, reklame i propagande</v>
      </c>
      <c r="G367" s="117" t="s">
        <v>1031</v>
      </c>
      <c r="H367" s="117" t="s">
        <v>1032</v>
      </c>
      <c r="I367" s="117" t="s">
        <v>1662</v>
      </c>
      <c r="J367" s="269" t="s">
        <v>75</v>
      </c>
      <c r="K367" s="270" t="s">
        <v>75</v>
      </c>
      <c r="L367" s="269" t="s">
        <v>75</v>
      </c>
      <c r="M367" s="119"/>
      <c r="N367" s="119"/>
    </row>
    <row r="368" spans="1:14" s="117" customFormat="1" x14ac:dyDescent="0.2">
      <c r="A368">
        <f t="shared" si="5"/>
        <v>367</v>
      </c>
      <c r="B368" s="117" t="s">
        <v>1375</v>
      </c>
      <c r="C368" s="118">
        <v>1</v>
      </c>
      <c r="D368" s="118">
        <v>646</v>
      </c>
      <c r="E368" s="119" t="str">
        <f>VLOOKUP( Aop!$A368, Aop!$A$2:$N$415, ID_Jezik + 9, 1)</f>
        <v>536 + 537</v>
      </c>
      <c r="F368" s="118" t="str">
        <f>REPT( "  ", Aop!$C368) &amp; VLOOKUP( Aop!$A368, Aop!$A$2:$N$415, ID_Jezik + 6, 1)</f>
        <v xml:space="preserve">  e) Troškovi istraživanja i razvoja koji se ne kapitalizuju</v>
      </c>
      <c r="G368" s="117" t="s">
        <v>1033</v>
      </c>
      <c r="H368" s="117" t="s">
        <v>1034</v>
      </c>
      <c r="I368" s="117" t="s">
        <v>1663</v>
      </c>
      <c r="J368" s="269" t="s">
        <v>76</v>
      </c>
      <c r="K368" s="269" t="s">
        <v>76</v>
      </c>
      <c r="L368" s="269" t="s">
        <v>76</v>
      </c>
      <c r="M368" s="119"/>
      <c r="N368" s="119"/>
    </row>
    <row r="369" spans="1:14" s="117" customFormat="1" x14ac:dyDescent="0.2">
      <c r="A369">
        <f t="shared" si="5"/>
        <v>368</v>
      </c>
      <c r="B369" s="117" t="s">
        <v>1375</v>
      </c>
      <c r="C369" s="118">
        <v>1</v>
      </c>
      <c r="D369" s="118">
        <v>647</v>
      </c>
      <c r="E369" s="119">
        <f>VLOOKUP( Aop!$A369, Aop!$A$2:$N$415, ID_Jezik + 9, 1)</f>
        <v>539</v>
      </c>
      <c r="F369" s="118" t="str">
        <f>REPT( "  ", Aop!$C369) &amp; VLOOKUP( Aop!$A369, Aop!$A$2:$N$415, ID_Jezik + 6, 1)</f>
        <v xml:space="preserve">  ž) Troškovi ostalih usluga</v>
      </c>
      <c r="G369" s="117" t="s">
        <v>1035</v>
      </c>
      <c r="H369" s="117" t="s">
        <v>1036</v>
      </c>
      <c r="I369" s="117" t="s">
        <v>1664</v>
      </c>
      <c r="J369" s="269">
        <v>539</v>
      </c>
      <c r="K369" s="269">
        <v>539</v>
      </c>
      <c r="L369" s="269">
        <v>539</v>
      </c>
      <c r="M369" s="119"/>
      <c r="N369" s="119"/>
    </row>
    <row r="370" spans="1:14" s="117" customFormat="1" x14ac:dyDescent="0.2">
      <c r="A370">
        <f t="shared" si="5"/>
        <v>369</v>
      </c>
      <c r="B370" s="117" t="s">
        <v>1375</v>
      </c>
      <c r="C370" s="118">
        <v>2</v>
      </c>
      <c r="D370" s="118">
        <v>648</v>
      </c>
      <c r="E370" s="119" t="str">
        <f>VLOOKUP( Aop!$A370, Aop!$A$2:$N$415, ID_Jezik + 9, 1)</f>
        <v>dio 539</v>
      </c>
      <c r="F370" s="118" t="str">
        <f>REPT( "  ", Aop!$C370) &amp; VLOOKUP( Aop!$A370, Aop!$A$2:$N$415, ID_Jezik + 6, 1)</f>
        <v xml:space="preserve">    Od toga: bruto iznosi naknada po ugovorima sa fizičkim licima van radnog odnosa</v>
      </c>
      <c r="G370" s="117" t="s">
        <v>1037</v>
      </c>
      <c r="H370" s="117" t="s">
        <v>1038</v>
      </c>
      <c r="I370" s="117" t="s">
        <v>1039</v>
      </c>
      <c r="J370" s="269" t="s">
        <v>1632</v>
      </c>
      <c r="K370" s="269" t="s">
        <v>77</v>
      </c>
      <c r="L370" s="269" t="s">
        <v>1640</v>
      </c>
      <c r="M370" s="119"/>
      <c r="N370" s="119"/>
    </row>
    <row r="371" spans="1:14" s="117" customFormat="1" x14ac:dyDescent="0.2">
      <c r="A371">
        <f t="shared" si="5"/>
        <v>370</v>
      </c>
      <c r="B371" s="117" t="s">
        <v>1375</v>
      </c>
      <c r="C371" s="118">
        <v>0</v>
      </c>
      <c r="D371" s="118">
        <v>649</v>
      </c>
      <c r="E371" s="119">
        <f>VLOOKUP( Aop!$A371, Aop!$A$2:$N$415, ID_Jezik + 9, 1)</f>
        <v>55</v>
      </c>
      <c r="F371" s="118" t="str">
        <f>REPT( "  ", Aop!$C371) &amp; VLOOKUP( Aop!$A371, Aop!$A$2:$N$415, ID_Jezik + 6, 1)</f>
        <v>NEMATERIJALNI TROŠKOVI (650 + 653 + 654 + 655 + 656 + 657 + 658 + 659)</v>
      </c>
      <c r="G371" s="117" t="s">
        <v>230</v>
      </c>
      <c r="H371" s="117" t="s">
        <v>285</v>
      </c>
      <c r="I371" s="117" t="s">
        <v>286</v>
      </c>
      <c r="J371" s="269">
        <v>55</v>
      </c>
      <c r="K371" s="270">
        <v>55</v>
      </c>
      <c r="L371" s="269">
        <v>55</v>
      </c>
      <c r="M371" s="119">
        <v>1</v>
      </c>
      <c r="N371" s="119"/>
    </row>
    <row r="372" spans="1:14" s="117" customFormat="1" x14ac:dyDescent="0.2">
      <c r="A372">
        <f t="shared" si="5"/>
        <v>371</v>
      </c>
      <c r="B372" s="117" t="s">
        <v>1375</v>
      </c>
      <c r="C372" s="118">
        <v>1</v>
      </c>
      <c r="D372" s="118">
        <v>650</v>
      </c>
      <c r="E372" s="119">
        <f>VLOOKUP( Aop!$A372, Aop!$A$2:$N$415, ID_Jezik + 9, 1)</f>
        <v>550</v>
      </c>
      <c r="F372" s="118" t="str">
        <f>REPT( "  ", Aop!$C372) &amp; VLOOKUP( Aop!$A372, Aop!$A$2:$N$415, ID_Jezik + 6, 1)</f>
        <v xml:space="preserve">  a) Troškovi neproizvodnih usluga</v>
      </c>
      <c r="G372" s="117" t="s">
        <v>231</v>
      </c>
      <c r="H372" s="117" t="s">
        <v>256</v>
      </c>
      <c r="I372" s="117" t="s">
        <v>243</v>
      </c>
      <c r="J372" s="269">
        <v>550</v>
      </c>
      <c r="K372" s="270">
        <v>550</v>
      </c>
      <c r="L372" s="269">
        <v>550</v>
      </c>
      <c r="M372" s="119"/>
      <c r="N372" s="119"/>
    </row>
    <row r="373" spans="1:14" s="117" customFormat="1" x14ac:dyDescent="0.2">
      <c r="A373">
        <f t="shared" si="5"/>
        <v>372</v>
      </c>
      <c r="B373" s="117" t="s">
        <v>1375</v>
      </c>
      <c r="C373" s="118">
        <v>2</v>
      </c>
      <c r="D373" s="118">
        <v>651</v>
      </c>
      <c r="E373" s="119" t="str">
        <f>VLOOKUP( Aop!$A373, Aop!$A$2:$N$415, ID_Jezik + 9, 1)</f>
        <v>dio 550</v>
      </c>
      <c r="F373" s="118" t="str">
        <f>REPT( "  ", Aop!$C373) &amp; VLOOKUP( Aop!$A373, Aop!$A$2:$N$415, ID_Jezik + 6, 1)</f>
        <v xml:space="preserve">    Od toga: troškovi stručnog obrazovanja i usavršavanja zaposlenih</v>
      </c>
      <c r="G373" s="117" t="s">
        <v>232</v>
      </c>
      <c r="H373" s="117" t="s">
        <v>255</v>
      </c>
      <c r="I373" s="117" t="s">
        <v>1665</v>
      </c>
      <c r="J373" s="269" t="s">
        <v>1204</v>
      </c>
      <c r="K373" s="270" t="s">
        <v>78</v>
      </c>
      <c r="L373" s="269" t="s">
        <v>1641</v>
      </c>
      <c r="M373" s="119"/>
      <c r="N373" s="119"/>
    </row>
    <row r="374" spans="1:14" s="117" customFormat="1" x14ac:dyDescent="0.2">
      <c r="A374">
        <f t="shared" si="5"/>
        <v>373</v>
      </c>
      <c r="B374" s="117" t="s">
        <v>1375</v>
      </c>
      <c r="C374" s="118">
        <v>2</v>
      </c>
      <c r="D374" s="118">
        <v>652</v>
      </c>
      <c r="E374" s="119" t="str">
        <f>VLOOKUP( Aop!$A374, Aop!$A$2:$N$415, ID_Jezik + 9, 1)</f>
        <v>dio 550</v>
      </c>
      <c r="F374" s="118" t="str">
        <f>REPT( "  ", Aop!$C374) &amp; VLOOKUP( Aop!$A374, Aop!$A$2:$N$415, ID_Jezik + 6, 1)</f>
        <v xml:space="preserve">    Od toga: bruto iznosi naknada po ugovorima sa fizičkim licima van radnog odnosa</v>
      </c>
      <c r="G374" s="117" t="s">
        <v>1037</v>
      </c>
      <c r="H374" s="117" t="s">
        <v>1038</v>
      </c>
      <c r="I374" s="117" t="s">
        <v>1039</v>
      </c>
      <c r="J374" s="269" t="s">
        <v>1204</v>
      </c>
      <c r="K374" s="270" t="s">
        <v>78</v>
      </c>
      <c r="L374" s="269" t="s">
        <v>1641</v>
      </c>
      <c r="M374" s="119"/>
      <c r="N374" s="119"/>
    </row>
    <row r="375" spans="1:14" s="117" customFormat="1" x14ac:dyDescent="0.2">
      <c r="A375">
        <f t="shared" si="5"/>
        <v>374</v>
      </c>
      <c r="B375" s="117" t="s">
        <v>1375</v>
      </c>
      <c r="C375" s="118">
        <v>1</v>
      </c>
      <c r="D375" s="118">
        <v>653</v>
      </c>
      <c r="E375" s="119">
        <f>VLOOKUP( Aop!$A375, Aop!$A$2:$N$415, ID_Jezik + 9, 1)</f>
        <v>551</v>
      </c>
      <c r="F375" s="118" t="str">
        <f>REPT( "  ", Aop!$C375) &amp; VLOOKUP( Aop!$A375, Aop!$A$2:$N$415, ID_Jezik + 6, 1)</f>
        <v xml:space="preserve">  b) Troškovi reprezentacije</v>
      </c>
      <c r="G375" s="117" t="s">
        <v>233</v>
      </c>
      <c r="H375" s="117" t="s">
        <v>257</v>
      </c>
      <c r="I375" s="117" t="s">
        <v>244</v>
      </c>
      <c r="J375" s="269">
        <v>551</v>
      </c>
      <c r="K375" s="270">
        <v>551</v>
      </c>
      <c r="L375" s="269">
        <v>551</v>
      </c>
      <c r="M375" s="119"/>
      <c r="N375" s="119"/>
    </row>
    <row r="376" spans="1:14" s="117" customFormat="1" x14ac:dyDescent="0.2">
      <c r="A376">
        <f t="shared" si="5"/>
        <v>375</v>
      </c>
      <c r="B376" s="117" t="s">
        <v>1375</v>
      </c>
      <c r="C376" s="118">
        <v>1</v>
      </c>
      <c r="D376" s="118">
        <v>654</v>
      </c>
      <c r="E376" s="119">
        <f>VLOOKUP( Aop!$A376, Aop!$A$2:$N$415, ID_Jezik + 9, 1)</f>
        <v>552</v>
      </c>
      <c r="F376" s="118" t="str">
        <f>REPT( "  ", Aop!$C376) &amp; VLOOKUP( Aop!$A376, Aop!$A$2:$N$415, ID_Jezik + 6, 1)</f>
        <v xml:space="preserve">  v) Troškovi premije osiguranja</v>
      </c>
      <c r="G376" s="117" t="s">
        <v>234</v>
      </c>
      <c r="H376" s="117" t="s">
        <v>258</v>
      </c>
      <c r="I376" s="117" t="s">
        <v>245</v>
      </c>
      <c r="J376" s="269">
        <v>552</v>
      </c>
      <c r="K376" s="270">
        <v>552</v>
      </c>
      <c r="L376" s="269">
        <v>552</v>
      </c>
      <c r="M376" s="119"/>
      <c r="N376" s="119"/>
    </row>
    <row r="377" spans="1:14" s="117" customFormat="1" x14ac:dyDescent="0.2">
      <c r="A377">
        <f t="shared" si="5"/>
        <v>376</v>
      </c>
      <c r="B377" s="117" t="s">
        <v>1375</v>
      </c>
      <c r="C377" s="118">
        <v>1</v>
      </c>
      <c r="D377" s="118">
        <v>655</v>
      </c>
      <c r="E377" s="119">
        <f>VLOOKUP( Aop!$A377, Aop!$A$2:$N$415, ID_Jezik + 9, 1)</f>
        <v>553</v>
      </c>
      <c r="F377" s="118" t="str">
        <f>REPT( "  ", Aop!$C377) &amp; VLOOKUP( Aop!$A377, Aop!$A$2:$N$415, ID_Jezik + 6, 1)</f>
        <v xml:space="preserve">  g) Troškovi platnog prometa</v>
      </c>
      <c r="G377" s="117" t="s">
        <v>235</v>
      </c>
      <c r="H377" s="117" t="s">
        <v>259</v>
      </c>
      <c r="I377" s="117" t="s">
        <v>246</v>
      </c>
      <c r="J377" s="269">
        <v>553</v>
      </c>
      <c r="K377" s="270">
        <v>553</v>
      </c>
      <c r="L377" s="269">
        <v>553</v>
      </c>
      <c r="M377" s="119"/>
      <c r="N377" s="119"/>
    </row>
    <row r="378" spans="1:14" s="117" customFormat="1" x14ac:dyDescent="0.2">
      <c r="A378">
        <f t="shared" si="5"/>
        <v>377</v>
      </c>
      <c r="B378" s="117" t="s">
        <v>1375</v>
      </c>
      <c r="C378" s="118">
        <v>1</v>
      </c>
      <c r="D378" s="118">
        <v>656</v>
      </c>
      <c r="E378" s="119">
        <f>VLOOKUP( Aop!$A378, Aop!$A$2:$N$415, ID_Jezik + 9, 1)</f>
        <v>554</v>
      </c>
      <c r="F378" s="118" t="str">
        <f>REPT( "  ", Aop!$C378) &amp; VLOOKUP( Aop!$A378, Aop!$A$2:$N$415, ID_Jezik + 6, 1)</f>
        <v xml:space="preserve">  d) Troškovi članarina</v>
      </c>
      <c r="G378" s="117" t="s">
        <v>236</v>
      </c>
      <c r="H378" s="117" t="s">
        <v>260</v>
      </c>
      <c r="I378" s="117" t="s">
        <v>247</v>
      </c>
      <c r="J378" s="269">
        <v>554</v>
      </c>
      <c r="K378" s="269">
        <v>554</v>
      </c>
      <c r="L378" s="269">
        <v>554</v>
      </c>
      <c r="M378" s="119"/>
      <c r="N378" s="119"/>
    </row>
    <row r="379" spans="1:14" s="117" customFormat="1" x14ac:dyDescent="0.2">
      <c r="A379">
        <f t="shared" si="5"/>
        <v>378</v>
      </c>
      <c r="B379" s="117" t="s">
        <v>1375</v>
      </c>
      <c r="C379" s="118">
        <v>1</v>
      </c>
      <c r="D379" s="118">
        <v>657</v>
      </c>
      <c r="E379" s="119" t="str">
        <f>VLOOKUP( Aop!$A379, Aop!$A$2:$N$415, ID_Jezik + 9, 1)</f>
        <v>dio 555</v>
      </c>
      <c r="F379" s="118" t="str">
        <f>REPT( "  ", Aop!$C379) &amp; VLOOKUP( Aop!$A379, Aop!$A$2:$N$415, ID_Jezik + 6, 1)</f>
        <v xml:space="preserve">  đ) Troškovi poreza na proizvode, carine, boravišne takse, porez na igre na sreću i sl.</v>
      </c>
      <c r="G379" s="117" t="s">
        <v>237</v>
      </c>
      <c r="H379" s="117" t="s">
        <v>261</v>
      </c>
      <c r="I379" s="117" t="s">
        <v>248</v>
      </c>
      <c r="J379" s="269" t="s">
        <v>1633</v>
      </c>
      <c r="K379" s="269" t="s">
        <v>79</v>
      </c>
      <c r="L379" s="269" t="s">
        <v>1642</v>
      </c>
      <c r="M379" s="119"/>
      <c r="N379" s="119"/>
    </row>
    <row r="380" spans="1:14" x14ac:dyDescent="0.2">
      <c r="A380">
        <f t="shared" si="5"/>
        <v>379</v>
      </c>
      <c r="B380" t="s">
        <v>1375</v>
      </c>
      <c r="C380" s="118">
        <v>1</v>
      </c>
      <c r="D380">
        <v>658</v>
      </c>
      <c r="E380" s="2" t="str">
        <f>VLOOKUP( Aop!$A380, Aop!$A$2:$N$415, ID_Jezik + 9, 1)</f>
        <v>dio 555</v>
      </c>
      <c r="F380" t="str">
        <f>REPT( "  ", Aop!$C380) &amp; VLOOKUP( Aop!$A380, Aop!$A$2:$N$415, ID_Jezik + 6, 1)</f>
        <v xml:space="preserve">  e) Troškovi poreza na proizvodnju: na imovinu, na zemljište, za korišćenje voda i šuma, za protivpožarnu zaštitu i sl.</v>
      </c>
      <c r="G380" t="s">
        <v>239</v>
      </c>
      <c r="H380" s="117" t="s">
        <v>262</v>
      </c>
      <c r="I380" s="117" t="s">
        <v>249</v>
      </c>
      <c r="J380" s="267" t="s">
        <v>1633</v>
      </c>
      <c r="K380" s="269" t="s">
        <v>79</v>
      </c>
      <c r="L380" s="269" t="s">
        <v>1642</v>
      </c>
      <c r="M380" s="119"/>
      <c r="N380" s="119">
        <v>1</v>
      </c>
    </row>
    <row r="381" spans="1:14" x14ac:dyDescent="0.2">
      <c r="A381">
        <f t="shared" si="5"/>
        <v>380</v>
      </c>
      <c r="B381" t="s">
        <v>1375</v>
      </c>
      <c r="C381" s="118">
        <v>1</v>
      </c>
      <c r="D381" s="3">
        <v>659</v>
      </c>
      <c r="E381" s="10">
        <f>VLOOKUP( Aop!$A381, Aop!$A$2:$N$415, ID_Jezik + 9, 1)</f>
        <v>559</v>
      </c>
      <c r="F381" s="3" t="str">
        <f>REPT( "  ", Aop!$C381) &amp; VLOOKUP( Aop!$A381, Aop!$A$2:$N$415, ID_Jezik + 6, 1)</f>
        <v xml:space="preserve">  ž) Ostali nematerijalni troškovi</v>
      </c>
      <c r="G381" t="s">
        <v>238</v>
      </c>
      <c r="H381" s="117" t="s">
        <v>263</v>
      </c>
      <c r="I381" s="117" t="s">
        <v>250</v>
      </c>
      <c r="J381" s="267">
        <v>559</v>
      </c>
      <c r="K381" s="269">
        <v>559</v>
      </c>
      <c r="L381" s="269">
        <v>559</v>
      </c>
      <c r="M381" s="119"/>
      <c r="N381" s="119"/>
    </row>
    <row r="382" spans="1:14" x14ac:dyDescent="0.2">
      <c r="A382">
        <f t="shared" si="5"/>
        <v>381</v>
      </c>
      <c r="B382" t="s">
        <v>1375</v>
      </c>
      <c r="C382" s="118">
        <v>0</v>
      </c>
      <c r="D382" s="3">
        <v>660</v>
      </c>
      <c r="E382" s="10">
        <f>VLOOKUP( Aop!$A382, Aop!$A$2:$N$415, ID_Jezik + 9, 1)</f>
        <v>0</v>
      </c>
      <c r="F382" s="3" t="str">
        <f>REPT( "  ", Aop!$C382) &amp; VLOOKUP( Aop!$A382, Aop!$A$2:$N$415, ID_Jezik + 6, 1)</f>
        <v>OBAVEZE I POTRAŽIVANJA</v>
      </c>
      <c r="G382" t="s">
        <v>1666</v>
      </c>
      <c r="H382" s="117" t="s">
        <v>1040</v>
      </c>
      <c r="I382" s="117" t="s">
        <v>1667</v>
      </c>
      <c r="J382" s="267"/>
      <c r="K382" s="267"/>
      <c r="L382" s="267"/>
      <c r="M382" s="119">
        <v>1</v>
      </c>
      <c r="N382" s="119"/>
    </row>
    <row r="383" spans="1:14" x14ac:dyDescent="0.2">
      <c r="A383">
        <f t="shared" si="5"/>
        <v>382</v>
      </c>
      <c r="B383" t="s">
        <v>1375</v>
      </c>
      <c r="C383" s="118">
        <v>1</v>
      </c>
      <c r="D383" s="3">
        <v>661</v>
      </c>
      <c r="E383" s="10" t="str">
        <f>VLOOKUP( Aop!$A383, Aop!$A$2:$N$415, ID_Jezik + 9, 1)</f>
        <v>47, osim 479</v>
      </c>
      <c r="F383" s="3" t="str">
        <f>REPT( "  ", Aop!$C383) &amp; VLOOKUP( Aop!$A383, Aop!$A$2:$N$415, ID_Jezik + 6, 1)</f>
        <v xml:space="preserve">  Obračunati (fakturisani) porez na dodatu vrijednost (kumulativan promet konta)</v>
      </c>
      <c r="G383" t="s">
        <v>1668</v>
      </c>
      <c r="H383" s="117" t="s">
        <v>1041</v>
      </c>
      <c r="I383" s="117" t="s">
        <v>1669</v>
      </c>
      <c r="J383" s="267" t="s">
        <v>925</v>
      </c>
      <c r="K383" s="269" t="s">
        <v>80</v>
      </c>
      <c r="L383" s="269" t="s">
        <v>854</v>
      </c>
      <c r="M383" s="119"/>
      <c r="N383" s="119"/>
    </row>
    <row r="384" spans="1:14" x14ac:dyDescent="0.2">
      <c r="A384">
        <f t="shared" si="5"/>
        <v>383</v>
      </c>
      <c r="B384" t="s">
        <v>1375</v>
      </c>
      <c r="C384">
        <v>1</v>
      </c>
      <c r="D384" s="3">
        <v>662</v>
      </c>
      <c r="E384" s="10" t="str">
        <f>VLOOKUP( Aop!$A384, Aop!$A$2:$N$415, ID_Jezik + 9, 1)</f>
        <v>27, osim 279</v>
      </c>
      <c r="F384" s="3" t="str">
        <f>REPT( "  ", Aop!$C384) &amp; VLOOKUP( Aop!$A384, Aop!$A$2:$N$415, ID_Jezik + 6, 1)</f>
        <v xml:space="preserve">  Ulazni porez na dodatu vrijednost (kumulativan promet konta)</v>
      </c>
      <c r="G384" t="s">
        <v>1670</v>
      </c>
      <c r="H384" t="s">
        <v>1042</v>
      </c>
      <c r="I384" t="s">
        <v>1671</v>
      </c>
      <c r="J384" s="267" t="s">
        <v>926</v>
      </c>
      <c r="K384" s="267" t="s">
        <v>81</v>
      </c>
      <c r="L384" s="267" t="s">
        <v>855</v>
      </c>
      <c r="M384" s="10"/>
      <c r="N384" s="10"/>
    </row>
    <row r="385" spans="1:14" x14ac:dyDescent="0.2">
      <c r="A385">
        <f t="shared" si="5"/>
        <v>384</v>
      </c>
      <c r="B385" t="s">
        <v>1375</v>
      </c>
      <c r="C385" s="3">
        <v>1</v>
      </c>
      <c r="D385" s="3">
        <v>663</v>
      </c>
      <c r="E385" s="10">
        <f>VLOOKUP( Aop!$A385, Aop!$A$2:$N$415, ID_Jezik + 9, 1)</f>
        <v>479</v>
      </c>
      <c r="F385" s="3" t="str">
        <f>REPT( "  ", Aop!$C385) &amp; VLOOKUP( Aop!$A385, Aop!$A$2:$N$415, ID_Jezik + 6, 1)</f>
        <v xml:space="preserve">  Obaveze za PDV po osnovu razlike između obračunatog i akontacionog PDV-a (saldo konta)</v>
      </c>
      <c r="G385" t="s">
        <v>1043</v>
      </c>
      <c r="H385" t="s">
        <v>1044</v>
      </c>
      <c r="I385" t="s">
        <v>1672</v>
      </c>
      <c r="J385" s="267">
        <v>479</v>
      </c>
      <c r="K385" s="267">
        <v>479</v>
      </c>
      <c r="L385" s="267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1375</v>
      </c>
      <c r="C386" s="3">
        <v>1</v>
      </c>
      <c r="D386" s="3">
        <v>664</v>
      </c>
      <c r="E386" s="10">
        <f>VLOOKUP( Aop!$A386, Aop!$A$2:$N$415, ID_Jezik + 9, 1)</f>
        <v>279</v>
      </c>
      <c r="F386" s="3" t="str">
        <f>REPT( "  ", Aop!$C386) &amp; VLOOKUP( Aop!$A386, Aop!$A$2:$N$415, ID_Jezik + 6, 1)</f>
        <v xml:space="preserve">  Potraživanja po osnovu razlike između akontacionog i obračunatog PDV-a (saldo konta)</v>
      </c>
      <c r="G386" t="s">
        <v>1045</v>
      </c>
      <c r="H386" t="s">
        <v>1046</v>
      </c>
      <c r="I386" t="s">
        <v>1673</v>
      </c>
      <c r="J386" s="267">
        <v>279</v>
      </c>
      <c r="K386" s="267">
        <v>279</v>
      </c>
      <c r="L386" s="267">
        <v>279</v>
      </c>
      <c r="M386" s="10"/>
      <c r="N386" s="10"/>
    </row>
    <row r="387" spans="1:14" x14ac:dyDescent="0.2">
      <c r="A387">
        <f t="shared" si="6"/>
        <v>386</v>
      </c>
      <c r="B387" t="s">
        <v>1375</v>
      </c>
      <c r="C387" s="3">
        <v>1</v>
      </c>
      <c r="D387" s="3">
        <v>665</v>
      </c>
      <c r="E387" s="10">
        <f>VLOOKUP( Aop!$A387, Aop!$A$2:$N$415, ID_Jezik + 9, 1)</f>
        <v>271</v>
      </c>
      <c r="F387" s="3" t="str">
        <f>REPT( "  ", Aop!$C387) &amp; VLOOKUP( Aop!$A387, Aop!$A$2:$N$415, ID_Jezik + 6, 1)</f>
        <v xml:space="preserve">  PDV plaćen pri uvozu (kumulativan promet konta)</v>
      </c>
      <c r="G387" t="s">
        <v>1047</v>
      </c>
      <c r="H387" t="s">
        <v>1048</v>
      </c>
      <c r="I387" t="s">
        <v>1674</v>
      </c>
      <c r="J387" s="267">
        <v>271</v>
      </c>
      <c r="K387" s="267">
        <v>271</v>
      </c>
      <c r="L387" s="267">
        <v>271</v>
      </c>
      <c r="M387" s="10"/>
      <c r="N387" s="10"/>
    </row>
    <row r="388" spans="1:14" x14ac:dyDescent="0.2">
      <c r="A388">
        <f t="shared" si="6"/>
        <v>387</v>
      </c>
      <c r="B388" t="s">
        <v>1375</v>
      </c>
      <c r="C388" s="3">
        <v>1</v>
      </c>
      <c r="D388" s="3">
        <v>666</v>
      </c>
      <c r="E388" s="10">
        <f>VLOOKUP( Aop!$A388, Aop!$A$2:$N$415, ID_Jezik + 9, 1)</f>
        <v>484</v>
      </c>
      <c r="F388" s="3" t="str">
        <f>REPT( "  ", Aop!$C388) &amp; VLOOKUP( Aop!$A388, Aop!$A$2:$N$415, ID_Jezik + 6, 1)</f>
        <v xml:space="preserve">  Obaveze za PDV plaćen pri uvozu (kumulativan promet konta)</v>
      </c>
      <c r="G388" t="s">
        <v>1675</v>
      </c>
      <c r="H388" t="s">
        <v>1049</v>
      </c>
      <c r="I388" t="s">
        <v>1676</v>
      </c>
      <c r="J388" s="267">
        <v>484</v>
      </c>
      <c r="K388" s="267">
        <v>484</v>
      </c>
      <c r="L388" s="267">
        <v>484</v>
      </c>
      <c r="M388" s="10"/>
      <c r="N388" s="10"/>
    </row>
    <row r="389" spans="1:14" x14ac:dyDescent="0.2">
      <c r="A389">
        <f t="shared" si="6"/>
        <v>388</v>
      </c>
      <c r="B389" t="s">
        <v>1375</v>
      </c>
      <c r="C389" s="3">
        <v>1</v>
      </c>
      <c r="D389" s="3">
        <v>667</v>
      </c>
      <c r="E389" s="10">
        <f>VLOOKUP( Aop!$A389, Aop!$A$2:$N$415, ID_Jezik + 9, 1)</f>
        <v>480</v>
      </c>
      <c r="F389" s="3" t="str">
        <f>REPT( "  ", Aop!$C389) &amp; VLOOKUP( Aop!$A389, Aop!$A$2:$N$415, ID_Jezik + 6, 1)</f>
        <v xml:space="preserve">  Obaveze za akcize (kumulativan promet konta)</v>
      </c>
      <c r="G389" t="s">
        <v>1677</v>
      </c>
      <c r="H389" t="s">
        <v>1050</v>
      </c>
      <c r="I389" t="s">
        <v>1678</v>
      </c>
      <c r="J389" s="267">
        <v>480</v>
      </c>
      <c r="K389" s="267">
        <v>480</v>
      </c>
      <c r="L389" s="267">
        <v>480</v>
      </c>
      <c r="M389" s="10"/>
      <c r="N389" s="10"/>
    </row>
    <row r="390" spans="1:14" x14ac:dyDescent="0.2">
      <c r="A390">
        <f t="shared" si="6"/>
        <v>389</v>
      </c>
      <c r="B390" t="s">
        <v>1375</v>
      </c>
      <c r="C390" s="3">
        <v>1</v>
      </c>
      <c r="D390" s="3">
        <v>668</v>
      </c>
      <c r="E390" s="10" t="str">
        <f>VLOOKUP( Aop!$A390, Aop!$A$2:$N$415, ID_Jezik + 9, 1)</f>
        <v>nema konta</v>
      </c>
      <c r="F390" s="3" t="str">
        <f>REPT( "  ", Aop!$C390) &amp; VLOOKUP( Aop!$A390, Aop!$A$2:$N$415, ID_Jezik + 6, 1)</f>
        <v xml:space="preserve">  Prihodi ostvareni na bazi podugovaranja</v>
      </c>
      <c r="G390" t="s">
        <v>1679</v>
      </c>
      <c r="H390" t="s">
        <v>1051</v>
      </c>
      <c r="I390" t="s">
        <v>1680</v>
      </c>
      <c r="J390" s="267" t="s">
        <v>221</v>
      </c>
      <c r="K390" s="267" t="s">
        <v>251</v>
      </c>
      <c r="L390" s="267"/>
      <c r="M390" s="10"/>
      <c r="N390" s="10"/>
    </row>
    <row r="391" spans="1:14" x14ac:dyDescent="0.2">
      <c r="A391">
        <f t="shared" si="6"/>
        <v>390</v>
      </c>
      <c r="B391" t="s">
        <v>1375</v>
      </c>
      <c r="C391" s="3">
        <v>1</v>
      </c>
      <c r="D391" s="3">
        <v>669</v>
      </c>
      <c r="E391" s="10" t="str">
        <f>VLOOKUP( Aop!$A391, Aop!$A$2:$N$415, ID_Jezik + 9, 1)</f>
        <v>nema konta</v>
      </c>
      <c r="F391" s="3" t="str">
        <f>REPT( "  ", Aop!$C391) &amp; VLOOKUP( Aop!$A391, Aop!$A$2:$N$415, ID_Jezik + 6, 1)</f>
        <v xml:space="preserve">  Plaćanja podugovaračima za rad, isporučene proizvode i usluge</v>
      </c>
      <c r="G391" t="s">
        <v>1625</v>
      </c>
      <c r="H391" t="s">
        <v>1052</v>
      </c>
      <c r="I391" t="s">
        <v>1681</v>
      </c>
      <c r="J391" s="267" t="s">
        <v>221</v>
      </c>
      <c r="K391" s="267" t="s">
        <v>251</v>
      </c>
      <c r="L391" s="267"/>
      <c r="M391" s="10"/>
      <c r="N391" s="10"/>
    </row>
    <row r="392" spans="1:14" x14ac:dyDescent="0.2">
      <c r="A392">
        <f t="shared" si="6"/>
        <v>391</v>
      </c>
      <c r="B392" t="s">
        <v>1375</v>
      </c>
      <c r="C392" s="3">
        <v>1</v>
      </c>
      <c r="D392" s="3">
        <v>670</v>
      </c>
      <c r="E392" s="10" t="str">
        <f>VLOOKUP( Aop!$A392, Aop!$A$2:$N$415, ID_Jezik + 9, 1)</f>
        <v>nema konta</v>
      </c>
      <c r="F392" s="3" t="str">
        <f>REPT( "  ", Aop!$C392) &amp; VLOOKUP( Aop!$A392, Aop!$A$2:$N$415, ID_Jezik + 6, 1)</f>
        <v xml:space="preserve">  Ukupan broj odrađenih časova rada (efektivni časovi rada bez bolovanja, godišnjih odmora, državnih praznika i sl.)</v>
      </c>
      <c r="G392" t="s">
        <v>1626</v>
      </c>
      <c r="H392" t="s">
        <v>1053</v>
      </c>
      <c r="I392" t="s">
        <v>1682</v>
      </c>
      <c r="J392" s="267" t="s">
        <v>221</v>
      </c>
      <c r="K392" s="267" t="s">
        <v>251</v>
      </c>
      <c r="L392" s="267"/>
      <c r="M392" s="10"/>
      <c r="N392" s="10">
        <v>1</v>
      </c>
    </row>
    <row r="393" spans="1:14" x14ac:dyDescent="0.2">
      <c r="A393">
        <f t="shared" si="6"/>
        <v>392</v>
      </c>
      <c r="B393" t="s">
        <v>1376</v>
      </c>
      <c r="C393" s="3">
        <v>0</v>
      </c>
      <c r="D393">
        <v>901</v>
      </c>
      <c r="E393" s="2" t="str">
        <f>VLOOKUP( Aop!$A393, Aop!$A$2:$N$415, ID_Jezik + 9, 1)</f>
        <v>1.</v>
      </c>
      <c r="F393" t="str">
        <f>REPT( "  ", Aop!$C393) &amp; VLOOKUP( Aop!$A393, Aop!$A$2:$N$415, ID_Jezik + 6, 1)</f>
        <v>Stanje na dan 01.01.2020. god.</v>
      </c>
      <c r="G393" s="160" t="str">
        <f>CONCATENATE("Stanje na dan ", Podesavanja!$X$6, " god.")</f>
        <v>Stanje na dan 01.01.2020. god.</v>
      </c>
      <c r="H393" s="160" t="str">
        <f>CONCATENATE("Стaњe нa дaн ",  Podesavanja!$X$6, " гoд.")</f>
        <v>Стaњe нa дaн 01.01.2020. гoд.</v>
      </c>
      <c r="I393" s="160" t="str">
        <f>CONCATENATE("Value on day ", Podesavanja!$Y$6)</f>
        <v>Value on day 01.01.2020</v>
      </c>
      <c r="J393" s="267" t="s">
        <v>99</v>
      </c>
      <c r="K393" s="267" t="s">
        <v>99</v>
      </c>
      <c r="L393" s="267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1376</v>
      </c>
      <c r="C394" s="3">
        <v>2</v>
      </c>
      <c r="D394">
        <v>902</v>
      </c>
      <c r="E394" s="2" t="str">
        <f>VLOOKUP( Aop!$A394, Aop!$A$2:$N$415, ID_Jezik + 9, 1)</f>
        <v>2.</v>
      </c>
      <c r="F394" t="str">
        <f>REPT( "  ", Aop!$C394) &amp; VLOOKUP( Aop!$A394, Aop!$A$2:$N$415, ID_Jezik + 6, 1)</f>
        <v xml:space="preserve">    Efekti promjena u računovodstvenim politikama </v>
      </c>
      <c r="G394" t="s">
        <v>849</v>
      </c>
      <c r="H394" t="s">
        <v>1571</v>
      </c>
      <c r="I394" t="s">
        <v>857</v>
      </c>
      <c r="J394" s="267" t="s">
        <v>100</v>
      </c>
      <c r="K394" s="267" t="s">
        <v>100</v>
      </c>
      <c r="L394" s="267">
        <v>2</v>
      </c>
      <c r="M394" s="10"/>
      <c r="N394" s="10"/>
    </row>
    <row r="395" spans="1:14" x14ac:dyDescent="0.2">
      <c r="A395">
        <f t="shared" si="6"/>
        <v>394</v>
      </c>
      <c r="B395" t="s">
        <v>1376</v>
      </c>
      <c r="C395" s="3">
        <v>2</v>
      </c>
      <c r="D395">
        <v>903</v>
      </c>
      <c r="E395" s="2" t="str">
        <f>VLOOKUP( Aop!$A395, Aop!$A$2:$N$415, ID_Jezik + 9, 1)</f>
        <v>3.</v>
      </c>
      <c r="F395" t="str">
        <f>REPT( "  ", Aop!$C395) &amp; VLOOKUP( Aop!$A395, Aop!$A$2:$N$415, ID_Jezik + 6, 1)</f>
        <v xml:space="preserve">    Efekti ispravke grešaka</v>
      </c>
      <c r="G395" t="s">
        <v>842</v>
      </c>
      <c r="H395" t="s">
        <v>1572</v>
      </c>
      <c r="I395" t="s">
        <v>858</v>
      </c>
      <c r="J395" s="267" t="s">
        <v>101</v>
      </c>
      <c r="K395" s="267" t="s">
        <v>101</v>
      </c>
      <c r="L395" s="267">
        <v>3</v>
      </c>
      <c r="M395" s="10"/>
      <c r="N395" s="10"/>
    </row>
    <row r="396" spans="1:14" x14ac:dyDescent="0.2">
      <c r="A396">
        <f t="shared" si="6"/>
        <v>395</v>
      </c>
      <c r="B396" t="s">
        <v>1376</v>
      </c>
      <c r="C396" s="3">
        <v>0</v>
      </c>
      <c r="D396">
        <v>904</v>
      </c>
      <c r="E396" s="2" t="str">
        <f>VLOOKUP( Aop!$A396, Aop!$A$2:$N$415, ID_Jezik + 9, 1)</f>
        <v>4.</v>
      </c>
      <c r="F396" t="str">
        <f>REPT( "  ", Aop!$C396) &amp; VLOOKUP( Aop!$A396, Aop!$A$2:$N$415, ID_Jezik + 6, 1)</f>
        <v>Ponovo iskazano stanje na dan 01.01.2020. god. (901 ± 902 ± 903)</v>
      </c>
      <c r="G396" s="160" t="str">
        <f>CONCATENATE("Ponovo iskazano stanje na dan ", Podesavanja!$X$6, " god. (901 ± 902 ± 903)")</f>
        <v>Ponovo iskazano stanje na dan 01.01.2020. god. (901 ± 902 ± 903)</v>
      </c>
      <c r="H396" s="160" t="str">
        <f>CONCATENATE("Пoнoвo искaзaнo стaњe нa дaн ",  Podesavanja!$X$6, " гoд. (901 ± 902 ± 903)")</f>
        <v>Пoнoвo искaзaнo стaњe нa дaн 01.01.2020. гoд. (901 ± 902 ± 903)</v>
      </c>
      <c r="I396" s="160" t="str">
        <f>CONCATENATE("New value on day ",  Podesavanja!$Y$6, " (901 ± 902 ± 903)")</f>
        <v>New value on day 01.01.2020 (901 ± 902 ± 903)</v>
      </c>
      <c r="J396" s="267" t="s">
        <v>102</v>
      </c>
      <c r="K396" s="267" t="s">
        <v>102</v>
      </c>
      <c r="L396" s="267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1376</v>
      </c>
      <c r="C397" s="3">
        <v>2</v>
      </c>
      <c r="D397">
        <v>905</v>
      </c>
      <c r="E397" s="2" t="str">
        <f>VLOOKUP( Aop!$A397, Aop!$A$2:$N$415, ID_Jezik + 9, 1)</f>
        <v>5.</v>
      </c>
      <c r="F397" t="str">
        <f>REPT( "  ", Aop!$C397) &amp; VLOOKUP( Aop!$A397, Aop!$A$2:$N$415, ID_Jezik + 6, 1)</f>
        <v xml:space="preserve">    Efekti revalorizacije materijalnih i nematerijalnih sredstava</v>
      </c>
      <c r="G397" t="s">
        <v>1193</v>
      </c>
      <c r="H397" t="s">
        <v>1573</v>
      </c>
      <c r="I397" t="s">
        <v>859</v>
      </c>
      <c r="J397" s="267" t="s">
        <v>103</v>
      </c>
      <c r="K397" s="267" t="s">
        <v>103</v>
      </c>
      <c r="L397" s="267">
        <v>5</v>
      </c>
      <c r="M397" s="10"/>
      <c r="N397" s="10"/>
    </row>
    <row r="398" spans="1:14" x14ac:dyDescent="0.2">
      <c r="A398">
        <f t="shared" si="6"/>
        <v>397</v>
      </c>
      <c r="B398" t="s">
        <v>1376</v>
      </c>
      <c r="C398" s="3">
        <v>2</v>
      </c>
      <c r="D398">
        <v>906</v>
      </c>
      <c r="E398" s="2" t="str">
        <f>VLOOKUP( Aop!$A398, Aop!$A$2:$N$415, ID_Jezik + 9, 1)</f>
        <v>6.</v>
      </c>
      <c r="F398" t="str">
        <f>REPT( "  ", Aop!$C398) &amp; VLOOKUP( Aop!$A398, Aop!$A$2:$N$415, ID_Jezik + 6, 1)</f>
        <v xml:space="preserve">    Nerealizovani dobici/gubici po osnovu finansijskih sredstava raspoloživih za prodaju</v>
      </c>
      <c r="G398" t="s">
        <v>843</v>
      </c>
      <c r="H398" t="s">
        <v>1574</v>
      </c>
      <c r="I398" t="s">
        <v>863</v>
      </c>
      <c r="J398" s="267" t="s">
        <v>104</v>
      </c>
      <c r="K398" s="267" t="s">
        <v>104</v>
      </c>
      <c r="L398" s="267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1376</v>
      </c>
      <c r="C399" s="3">
        <v>2</v>
      </c>
      <c r="D399">
        <v>907</v>
      </c>
      <c r="E399" s="2" t="str">
        <f>VLOOKUP( Aop!$A399, Aop!$A$2:$N$415, ID_Jezik + 9, 1)</f>
        <v>7.</v>
      </c>
      <c r="F399" t="str">
        <f>REPT( "  ", Aop!$C399) &amp; VLOOKUP( Aop!$A399, Aop!$A$2:$N$415, ID_Jezik + 6, 1)</f>
        <v xml:space="preserve">    Kursne razlike nastale po osnovu preračuna finansijskih izvještaja u drugu funkcionalnu valutu</v>
      </c>
      <c r="G399" t="s">
        <v>844</v>
      </c>
      <c r="H399" t="s">
        <v>1575</v>
      </c>
      <c r="I399" t="s">
        <v>867</v>
      </c>
      <c r="J399" s="267" t="s">
        <v>105</v>
      </c>
      <c r="K399" s="267" t="s">
        <v>105</v>
      </c>
      <c r="L399" s="267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1376</v>
      </c>
      <c r="C400" s="3">
        <v>2</v>
      </c>
      <c r="D400">
        <v>908</v>
      </c>
      <c r="E400" s="2" t="str">
        <f>VLOOKUP( Aop!$A400, Aop!$A$2:$N$415, ID_Jezik + 9, 1)</f>
        <v>8.</v>
      </c>
      <c r="F400" t="str">
        <f>REPT( "  ", Aop!$C400) &amp; VLOOKUP( Aop!$A400, Aop!$A$2:$N$415, ID_Jezik + 6, 1)</f>
        <v xml:space="preserve">    Neto dobitak/gubitak perioda iskazan u bilansu uspjeha</v>
      </c>
      <c r="G400" t="s">
        <v>845</v>
      </c>
      <c r="H400" t="s">
        <v>1576</v>
      </c>
      <c r="I400" t="s">
        <v>864</v>
      </c>
      <c r="J400" s="267" t="s">
        <v>106</v>
      </c>
      <c r="K400" s="267" t="s">
        <v>106</v>
      </c>
      <c r="L400" s="267">
        <v>8</v>
      </c>
      <c r="M400" s="10"/>
      <c r="N400" s="10"/>
    </row>
    <row r="401" spans="1:14" x14ac:dyDescent="0.2">
      <c r="A401">
        <f t="shared" si="6"/>
        <v>400</v>
      </c>
      <c r="B401" t="s">
        <v>1376</v>
      </c>
      <c r="C401" s="3">
        <v>2</v>
      </c>
      <c r="D401">
        <v>909</v>
      </c>
      <c r="E401" s="2" t="str">
        <f>VLOOKUP( Aop!$A401, Aop!$A$2:$N$415, ID_Jezik + 9, 1)</f>
        <v>9.</v>
      </c>
      <c r="F401" t="str">
        <f>REPT( "  ", Aop!$C401) &amp; VLOOKUP( Aop!$A401, Aop!$A$2:$N$415, ID_Jezik + 6, 1)</f>
        <v xml:space="preserve">    Neto dobici/gubici perioda priznati direktno u kapitalu</v>
      </c>
      <c r="G401" t="s">
        <v>846</v>
      </c>
      <c r="H401" t="s">
        <v>1577</v>
      </c>
      <c r="I401" t="s">
        <v>865</v>
      </c>
      <c r="J401" s="267" t="s">
        <v>107</v>
      </c>
      <c r="K401" s="267" t="s">
        <v>107</v>
      </c>
      <c r="L401" s="267">
        <v>9</v>
      </c>
      <c r="M401" s="10"/>
      <c r="N401" s="10"/>
    </row>
    <row r="402" spans="1:14" x14ac:dyDescent="0.2">
      <c r="A402">
        <f t="shared" si="6"/>
        <v>401</v>
      </c>
      <c r="B402" t="s">
        <v>1376</v>
      </c>
      <c r="C402" s="3">
        <v>2</v>
      </c>
      <c r="D402">
        <v>910</v>
      </c>
      <c r="E402" s="2" t="str">
        <f>VLOOKUP( Aop!$A402, Aop!$A$2:$N$415, ID_Jezik + 9, 1)</f>
        <v>10.</v>
      </c>
      <c r="F402" t="str">
        <f>REPT( "  ", Aop!$C402) &amp; VLOOKUP( Aop!$A402, Aop!$A$2:$N$415, ID_Jezik + 6, 1)</f>
        <v xml:space="preserve">    Objavljene dividende i drugi vidovi raspodjele dobitka i pokriće gubitka</v>
      </c>
      <c r="G402" t="s">
        <v>847</v>
      </c>
      <c r="H402" t="s">
        <v>1578</v>
      </c>
      <c r="I402" t="s">
        <v>860</v>
      </c>
      <c r="J402" s="267" t="s">
        <v>108</v>
      </c>
      <c r="K402" s="267" t="s">
        <v>108</v>
      </c>
      <c r="L402" s="267">
        <v>10</v>
      </c>
      <c r="M402" s="10"/>
      <c r="N402" s="10"/>
    </row>
    <row r="403" spans="1:14" x14ac:dyDescent="0.2">
      <c r="A403">
        <f t="shared" si="6"/>
        <v>402</v>
      </c>
      <c r="B403" t="s">
        <v>1376</v>
      </c>
      <c r="C403" s="3">
        <v>2</v>
      </c>
      <c r="D403">
        <v>911</v>
      </c>
      <c r="E403" s="2" t="str">
        <f>VLOOKUP( Aop!$A403, Aop!$A$2:$N$415, ID_Jezik + 9, 1)</f>
        <v>11.</v>
      </c>
      <c r="F403" t="str">
        <f>REPT( "  ", Aop!$C403) &amp; VLOOKUP( Aop!$A403, Aop!$A$2:$N$415, ID_Jezik + 6, 1)</f>
        <v xml:space="preserve">    Emisija akcijskog kapitala i drugi vidovi povećanja ili smanjenje osnovnog kapitala</v>
      </c>
      <c r="G403" t="s">
        <v>848</v>
      </c>
      <c r="H403" t="s">
        <v>1579</v>
      </c>
      <c r="I403" t="s">
        <v>861</v>
      </c>
      <c r="J403" s="267" t="s">
        <v>109</v>
      </c>
      <c r="K403" s="267" t="s">
        <v>109</v>
      </c>
      <c r="L403" s="267">
        <v>11</v>
      </c>
      <c r="M403" s="10"/>
      <c r="N403" s="10"/>
    </row>
    <row r="404" spans="1:14" x14ac:dyDescent="0.2">
      <c r="A404">
        <f t="shared" si="6"/>
        <v>403</v>
      </c>
      <c r="B404" t="s">
        <v>1376</v>
      </c>
      <c r="C404" s="3">
        <v>0</v>
      </c>
      <c r="D404">
        <v>912</v>
      </c>
      <c r="E404" s="2" t="str">
        <f>VLOOKUP( Aop!$A404, Aop!$A$2:$N$415, ID_Jezik + 9, 1)</f>
        <v>12.</v>
      </c>
      <c r="F404" t="str">
        <f>REPT( "  ", Aop!$C404) &amp; VLOOKUP( Aop!$A404, Aop!$A$2:$N$415, ID_Jezik + 6, 1)</f>
        <v>Stanje na dan 31.12.2020. god. / 01.01.2021. god. (904 ± 905 ± 906 ± 907 ± 908 ± 909 - 910 + 911)</v>
      </c>
      <c r="G404" s="160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0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0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67" t="s">
        <v>110</v>
      </c>
      <c r="K404" s="267" t="s">
        <v>110</v>
      </c>
      <c r="L404" s="267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1376</v>
      </c>
      <c r="C405" s="3">
        <v>2</v>
      </c>
      <c r="D405">
        <v>913</v>
      </c>
      <c r="E405" s="2" t="str">
        <f>VLOOKUP( Aop!$A405, Aop!$A$2:$N$415, ID_Jezik + 9, 1)</f>
        <v>13.</v>
      </c>
      <c r="F405" t="str">
        <f>REPT( "  ", Aop!$C405) &amp; VLOOKUP( Aop!$A405, Aop!$A$2:$N$415, ID_Jezik + 6, 1)</f>
        <v xml:space="preserve">    Efekti promjena u računovodstvenim politikama</v>
      </c>
      <c r="G405" t="s">
        <v>1194</v>
      </c>
      <c r="H405" t="s">
        <v>1580</v>
      </c>
      <c r="I405" t="s">
        <v>857</v>
      </c>
      <c r="J405" s="267" t="s">
        <v>111</v>
      </c>
      <c r="K405" s="267" t="s">
        <v>111</v>
      </c>
      <c r="L405" s="267">
        <v>13</v>
      </c>
      <c r="M405" s="10"/>
      <c r="N405" s="10"/>
    </row>
    <row r="406" spans="1:14" x14ac:dyDescent="0.2">
      <c r="A406">
        <f t="shared" si="6"/>
        <v>405</v>
      </c>
      <c r="B406" t="s">
        <v>1376</v>
      </c>
      <c r="C406" s="3">
        <v>2</v>
      </c>
      <c r="D406">
        <v>914</v>
      </c>
      <c r="E406" s="2" t="str">
        <f>VLOOKUP( Aop!$A406, Aop!$A$2:$N$415, ID_Jezik + 9, 1)</f>
        <v>14.</v>
      </c>
      <c r="F406" t="str">
        <f>REPT( "  ", Aop!$C406) &amp; VLOOKUP( Aop!$A406, Aop!$A$2:$N$415, ID_Jezik + 6, 1)</f>
        <v xml:space="preserve">    Efekti ispravke grešaka</v>
      </c>
      <c r="G406" t="s">
        <v>842</v>
      </c>
      <c r="H406" t="s">
        <v>1572</v>
      </c>
      <c r="I406" t="s">
        <v>866</v>
      </c>
      <c r="J406" s="267" t="s">
        <v>112</v>
      </c>
      <c r="K406" s="267" t="s">
        <v>112</v>
      </c>
      <c r="L406" s="267">
        <v>14</v>
      </c>
      <c r="M406" s="10"/>
      <c r="N406" s="10"/>
    </row>
    <row r="407" spans="1:14" x14ac:dyDescent="0.2">
      <c r="A407">
        <f t="shared" si="6"/>
        <v>406</v>
      </c>
      <c r="B407" t="s">
        <v>1376</v>
      </c>
      <c r="C407" s="3">
        <v>0</v>
      </c>
      <c r="D407">
        <v>915</v>
      </c>
      <c r="E407" s="2" t="str">
        <f>VLOOKUP( Aop!$A407, Aop!$A$2:$N$415, ID_Jezik + 9, 1)</f>
        <v>15.</v>
      </c>
      <c r="F407" t="str">
        <f>REPT( "  ", Aop!$C407) &amp; VLOOKUP( Aop!$A407, Aop!$A$2:$N$415, ID_Jezik + 6, 1)</f>
        <v>Ponovo iskazano stanje na dan 01.01.2021. god. (912 ± 913 ± 914)</v>
      </c>
      <c r="G407" s="160" t="str">
        <f>CONCATENATE("Ponovo iskazano stanje na dan ", Podesavanja!$X$4, " god. (912 ± 913 ± 914)")</f>
        <v>Ponovo iskazano stanje na dan 01.01.2021. god. (912 ± 913 ± 914)</v>
      </c>
      <c r="H407" s="160" t="str">
        <f>CONCATENATE("Пoнoвo искaзaнo стaњe нa дaн ", Podesavanja!$X$4, " гoд. (912 ± 913 ± 914)")</f>
        <v>Пoнoвo искaзaнo стaњe нa дaн 01.01.2021. гoд. (912 ± 913 ± 914)</v>
      </c>
      <c r="I407" s="160" t="str">
        <f>CONCATENATE("New value on day ",  Podesavanja!$Y$4," (912 ± 913 ± 914)")</f>
        <v>New value on day 01.01.2021 (912 ± 913 ± 914)</v>
      </c>
      <c r="J407" s="267" t="s">
        <v>113</v>
      </c>
      <c r="K407" s="267" t="s">
        <v>113</v>
      </c>
      <c r="L407" s="267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1376</v>
      </c>
      <c r="C408" s="3">
        <v>2</v>
      </c>
      <c r="D408">
        <v>916</v>
      </c>
      <c r="E408" s="2" t="str">
        <f>VLOOKUP( Aop!$A408, Aop!$A$2:$N$415, ID_Jezik + 9, 1)</f>
        <v>16.</v>
      </c>
      <c r="F408" t="str">
        <f>REPT( "  ", Aop!$C408) &amp; VLOOKUP( Aop!$A408, Aop!$A$2:$N$415, ID_Jezik + 6, 1)</f>
        <v xml:space="preserve">    Efekti revalorizacije materijalnih i nematerijalnih sredstava</v>
      </c>
      <c r="G408" t="s">
        <v>1193</v>
      </c>
      <c r="H408" t="s">
        <v>1573</v>
      </c>
      <c r="I408" t="s">
        <v>859</v>
      </c>
      <c r="J408" s="267" t="s">
        <v>114</v>
      </c>
      <c r="K408" s="267" t="s">
        <v>114</v>
      </c>
      <c r="L408" s="267">
        <v>16</v>
      </c>
      <c r="M408" s="10"/>
      <c r="N408" s="10"/>
    </row>
    <row r="409" spans="1:14" x14ac:dyDescent="0.2">
      <c r="A409">
        <f t="shared" si="6"/>
        <v>408</v>
      </c>
      <c r="B409" t="s">
        <v>1376</v>
      </c>
      <c r="C409" s="3">
        <v>2</v>
      </c>
      <c r="D409">
        <v>917</v>
      </c>
      <c r="E409" s="2" t="str">
        <f>VLOOKUP( Aop!$A409, Aop!$A$2:$N$415, ID_Jezik + 9, 1)</f>
        <v>17.</v>
      </c>
      <c r="F409" t="str">
        <f>REPT( "  ", Aop!$C409) &amp; VLOOKUP( Aop!$A409, Aop!$A$2:$N$415, ID_Jezik + 6, 1)</f>
        <v xml:space="preserve">    Nerealizovani dobici/gubici po osnovu finansijskih sredstava raspoloživih za prodaju</v>
      </c>
      <c r="G409" t="s">
        <v>843</v>
      </c>
      <c r="H409" t="s">
        <v>1574</v>
      </c>
      <c r="I409" t="s">
        <v>863</v>
      </c>
      <c r="J409" s="267" t="s">
        <v>115</v>
      </c>
      <c r="K409" s="267" t="s">
        <v>115</v>
      </c>
      <c r="L409" s="267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1376</v>
      </c>
      <c r="C410" s="3">
        <v>2</v>
      </c>
      <c r="D410">
        <v>918</v>
      </c>
      <c r="E410" s="2" t="str">
        <f>VLOOKUP( Aop!$A410, Aop!$A$2:$N$415, ID_Jezik + 9, 1)</f>
        <v>18.</v>
      </c>
      <c r="F410" t="str">
        <f>REPT( "  ", Aop!$C410) &amp; VLOOKUP( Aop!$A410, Aop!$A$2:$N$415, ID_Jezik + 6, 1)</f>
        <v xml:space="preserve">    Kursne razlike nastale po osnovu preračuna finansijskih izvještaja u drugu funkcionalnu valutu</v>
      </c>
      <c r="G410" t="s">
        <v>844</v>
      </c>
      <c r="H410" t="s">
        <v>1575</v>
      </c>
      <c r="I410" t="s">
        <v>867</v>
      </c>
      <c r="J410" s="267" t="s">
        <v>116</v>
      </c>
      <c r="K410" s="267" t="s">
        <v>116</v>
      </c>
      <c r="L410" s="267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1376</v>
      </c>
      <c r="C411" s="3">
        <v>2</v>
      </c>
      <c r="D411">
        <v>919</v>
      </c>
      <c r="E411" s="2" t="str">
        <f>VLOOKUP( Aop!$A411, Aop!$A$2:$N$415, ID_Jezik + 9, 1)</f>
        <v>19.</v>
      </c>
      <c r="F411" t="str">
        <f>REPT( "  ", Aop!$C411) &amp; VLOOKUP( Aop!$A411, Aop!$A$2:$N$415, ID_Jezik + 6, 1)</f>
        <v xml:space="preserve">    Neto dobitak/gubitak perioda iskazan u bilansu uspjeha</v>
      </c>
      <c r="G411" t="s">
        <v>845</v>
      </c>
      <c r="H411" t="s">
        <v>1576</v>
      </c>
      <c r="I411" t="s">
        <v>864</v>
      </c>
      <c r="J411" s="267" t="s">
        <v>117</v>
      </c>
      <c r="K411" s="267" t="s">
        <v>117</v>
      </c>
      <c r="L411" s="267">
        <v>19</v>
      </c>
      <c r="M411" s="10"/>
      <c r="N411" s="10"/>
    </row>
    <row r="412" spans="1:14" x14ac:dyDescent="0.2">
      <c r="A412">
        <f t="shared" si="6"/>
        <v>411</v>
      </c>
      <c r="B412" t="s">
        <v>1376</v>
      </c>
      <c r="C412" s="3">
        <v>2</v>
      </c>
      <c r="D412">
        <v>920</v>
      </c>
      <c r="E412" s="2" t="str">
        <f>VLOOKUP( Aop!$A412, Aop!$A$2:$N$415, ID_Jezik + 9, 1)</f>
        <v>20.</v>
      </c>
      <c r="F412" t="str">
        <f>REPT( "  ", Aop!$C412) &amp; VLOOKUP( Aop!$A412, Aop!$A$2:$N$415, ID_Jezik + 6, 1)</f>
        <v xml:space="preserve">    Neto dobici/gubici perioda priznati direktno u kapitalu</v>
      </c>
      <c r="G412" t="s">
        <v>846</v>
      </c>
      <c r="H412" t="s">
        <v>1577</v>
      </c>
      <c r="I412" t="s">
        <v>865</v>
      </c>
      <c r="J412" s="267" t="s">
        <v>118</v>
      </c>
      <c r="K412" s="267" t="s">
        <v>118</v>
      </c>
      <c r="L412" s="267">
        <v>20</v>
      </c>
      <c r="M412" s="10"/>
      <c r="N412" s="10"/>
    </row>
    <row r="413" spans="1:14" x14ac:dyDescent="0.2">
      <c r="A413">
        <f t="shared" si="6"/>
        <v>412</v>
      </c>
      <c r="B413" t="s">
        <v>1376</v>
      </c>
      <c r="C413" s="3">
        <v>2</v>
      </c>
      <c r="D413">
        <v>921</v>
      </c>
      <c r="E413" s="2" t="str">
        <f>VLOOKUP( Aop!$A413, Aop!$A$2:$N$415, ID_Jezik + 9, 1)</f>
        <v>21.</v>
      </c>
      <c r="F413" t="str">
        <f>REPT( "  ", Aop!$C413) &amp; VLOOKUP( Aop!$A413, Aop!$A$2:$N$415, ID_Jezik + 6, 1)</f>
        <v xml:space="preserve">    Objavljene dividende i drugi vidovi raspodjele dobitka i pokriće gubitka</v>
      </c>
      <c r="G413" t="s">
        <v>847</v>
      </c>
      <c r="H413" t="s">
        <v>1578</v>
      </c>
      <c r="I413" t="s">
        <v>860</v>
      </c>
      <c r="J413" s="267" t="s">
        <v>119</v>
      </c>
      <c r="K413" s="267" t="s">
        <v>119</v>
      </c>
      <c r="L413" s="267">
        <v>21</v>
      </c>
      <c r="M413" s="10"/>
      <c r="N413" s="10"/>
    </row>
    <row r="414" spans="1:14" x14ac:dyDescent="0.2">
      <c r="A414">
        <f t="shared" si="6"/>
        <v>413</v>
      </c>
      <c r="B414" t="s">
        <v>1376</v>
      </c>
      <c r="C414" s="3">
        <v>2</v>
      </c>
      <c r="D414">
        <v>922</v>
      </c>
      <c r="E414" s="2" t="str">
        <f>VLOOKUP( Aop!$A414, Aop!$A$2:$N$415, ID_Jezik + 9, 1)</f>
        <v>22.</v>
      </c>
      <c r="F414" t="str">
        <f>REPT( "  ", Aop!$C414) &amp; VLOOKUP( Aop!$A414, Aop!$A$2:$N$415, ID_Jezik + 6, 1)</f>
        <v xml:space="preserve">    Emisija akcijskog kapitala i drugi vidovi povećanja ili smanjenje osnovnog kapitala</v>
      </c>
      <c r="G414" t="s">
        <v>848</v>
      </c>
      <c r="H414" t="s">
        <v>1579</v>
      </c>
      <c r="I414" t="s">
        <v>862</v>
      </c>
      <c r="J414" s="267" t="s">
        <v>120</v>
      </c>
      <c r="K414" s="267" t="s">
        <v>120</v>
      </c>
      <c r="L414" s="267">
        <v>22</v>
      </c>
      <c r="M414" s="10"/>
      <c r="N414" s="10"/>
    </row>
    <row r="415" spans="1:14" x14ac:dyDescent="0.2">
      <c r="A415">
        <f t="shared" si="6"/>
        <v>414</v>
      </c>
      <c r="B415" t="s">
        <v>1376</v>
      </c>
      <c r="C415" s="3">
        <v>0</v>
      </c>
      <c r="D415">
        <v>923</v>
      </c>
      <c r="E415" s="2" t="str">
        <f>VLOOKUP( Aop!$A415, Aop!$A$2:$N$415, ID_Jezik + 9, 1)</f>
        <v>23.</v>
      </c>
      <c r="F415" t="str">
        <f>REPT( "  ", Aop!$C415) &amp; VLOOKUP( Aop!$A415, Aop!$A$2:$N$415, ID_Jezik + 6, 1)</f>
        <v>Stanje na dan 31.12.2021. god. (915 ± 916 ± 917 ± 918 ± 919 ± 920 - 921 + 922)</v>
      </c>
      <c r="G415" s="160" t="str">
        <f>CONCATENATE("Stanje na dan ",Datum_Format," god. (915 ± 916 ± 917 ± 918 ± 919 ± 920 - 921 + 922)")</f>
        <v>Stanje na dan 31.12.2021. god. (915 ± 916 ± 917 ± 918 ± 919 ± 920 - 921 + 922)</v>
      </c>
      <c r="H415" s="160" t="str">
        <f>CONCATENATE("Стaњe нa дaн ",Datum_Format," гoд. (915 ± 916 ± 917 ± 918 ± 919 ± 920 - 921 + 922)")</f>
        <v>Стaњe нa дaн 31.12.2021. гoд. (915 ± 916 ± 917 ± 918 ± 919 ± 920 - 921 + 922)</v>
      </c>
      <c r="I415" s="160" t="str">
        <f>CONCATENATE("Value on day ",  Podesavanja!$Y$3," (915 ± 916 ± 917 ± 918 ± 919 ± 920 - 921 + 922)")</f>
        <v>Value on day 31.12.2021 (915 ± 916 ± 917 ± 918 ± 919 ± 920 - 921 + 922)</v>
      </c>
      <c r="J415" s="267" t="s">
        <v>121</v>
      </c>
      <c r="K415" s="267" t="s">
        <v>121</v>
      </c>
      <c r="L415" s="267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phoneticPr fontId="23" type="noConversion"/>
  <conditionalFormatting sqref="A2:N2 B333:G373 I333:N357 H371 I359:N373 J358:N358 B374:N415 C341:C392 B3:N332 A3:A415">
    <cfRule type="expression" dxfId="75" priority="1" stopIfTrue="1">
      <formula>$B2&lt;&gt;$B3</formula>
    </cfRule>
  </conditionalFormatting>
  <conditionalFormatting sqref="H335:H357">
    <cfRule type="expression" dxfId="74" priority="67" stopIfTrue="1">
      <formula>$B333&lt;&gt;$B334</formula>
    </cfRule>
  </conditionalFormatting>
  <conditionalFormatting sqref="H372">
    <cfRule type="expression" dxfId="73" priority="69" stopIfTrue="1">
      <formula>$B372&lt;&gt;$B373</formula>
    </cfRule>
  </conditionalFormatting>
  <conditionalFormatting sqref="H359:H370">
    <cfRule type="expression" dxfId="72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198">
        <v>1</v>
      </c>
      <c r="F1" t="str">
        <f>VLOOKUP(E1, $E$3:$F$6, 2, 1)</f>
        <v/>
      </c>
      <c r="H1" s="5">
        <f>DATE( Godina, Period_Kraj_Mjesec, Period_Kraj_Dan)</f>
        <v>44561</v>
      </c>
      <c r="I1" s="161">
        <f>VLOOKUP(Datum_Broj, $H$3:$L$6, 2, 0)</f>
        <v>4</v>
      </c>
      <c r="J1">
        <f>VLOOKUP(ID_Izvjestaj,$I$3:$L$6,3,1)</f>
        <v>12</v>
      </c>
      <c r="U1">
        <f>Period_Kraj_Godina</f>
        <v>2021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31.12.2021.</v>
      </c>
      <c r="Y1" s="6" t="str">
        <f>TEXT( DATE( Godina, Period_Kraj_Mjesec, Period_Kraj_Dan), "dd.mm.yyyy")</f>
        <v>31.12.2021</v>
      </c>
    </row>
    <row r="2" spans="2:30" ht="15" x14ac:dyDescent="0.25">
      <c r="B2" t="s">
        <v>1425</v>
      </c>
      <c r="C2" t="s">
        <v>1361</v>
      </c>
      <c r="E2" s="9" t="s">
        <v>1756</v>
      </c>
      <c r="F2" s="117" t="s">
        <v>1757</v>
      </c>
      <c r="H2" t="s">
        <v>1417</v>
      </c>
      <c r="I2" t="s">
        <v>1424</v>
      </c>
      <c r="J2" t="s">
        <v>1415</v>
      </c>
      <c r="K2" t="s">
        <v>1422</v>
      </c>
      <c r="L2" t="s">
        <v>1423</v>
      </c>
      <c r="N2" t="s">
        <v>1491</v>
      </c>
      <c r="O2" t="s">
        <v>1500</v>
      </c>
      <c r="P2" t="s">
        <v>1501</v>
      </c>
      <c r="Q2" t="s">
        <v>298</v>
      </c>
      <c r="S2" t="s">
        <v>1761</v>
      </c>
      <c r="T2" t="s">
        <v>1418</v>
      </c>
      <c r="U2" t="s">
        <v>1422</v>
      </c>
      <c r="V2" t="s">
        <v>1423</v>
      </c>
      <c r="W2" t="s">
        <v>1600</v>
      </c>
      <c r="X2" t="s">
        <v>1772</v>
      </c>
      <c r="Y2" t="s">
        <v>1773</v>
      </c>
      <c r="AA2" t="s">
        <v>301</v>
      </c>
      <c r="AB2" s="362" t="s">
        <v>1491</v>
      </c>
      <c r="AC2" s="362" t="s">
        <v>299</v>
      </c>
      <c r="AD2" s="362" t="s">
        <v>300</v>
      </c>
    </row>
    <row r="3" spans="2:30" x14ac:dyDescent="0.2">
      <c r="B3">
        <v>1</v>
      </c>
      <c r="C3" t="s">
        <v>1362</v>
      </c>
      <c r="E3" s="9">
        <v>1</v>
      </c>
      <c r="F3" s="154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297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1758</v>
      </c>
      <c r="T3">
        <v>0</v>
      </c>
      <c r="U3">
        <f>Period_Kraj_Mjesec</f>
        <v>12</v>
      </c>
      <c r="V3">
        <f>Period_Kraj_Dan</f>
        <v>31</v>
      </c>
      <c r="W3" s="153">
        <f>DATE( Godina + T3, U3, V3)</f>
        <v>44561</v>
      </c>
      <c r="X3" t="str">
        <f>TEXT(W3, "dd.mm.yyyy.")</f>
        <v>31.12.2021.</v>
      </c>
      <c r="Y3" t="str">
        <f>TEXT(W3, "dd.mm.yyyy")</f>
        <v>31.12.2021</v>
      </c>
      <c r="AA3" t="str">
        <f>CONCATENATE(Podesavanja!$AB3,Podesavanja!$AC3)</f>
        <v>BSaKolona1</v>
      </c>
      <c r="AB3" t="s">
        <v>297</v>
      </c>
      <c r="AC3" t="s">
        <v>288</v>
      </c>
      <c r="AD3">
        <v>2</v>
      </c>
    </row>
    <row r="4" spans="2:30" x14ac:dyDescent="0.2">
      <c r="B4">
        <v>2</v>
      </c>
      <c r="C4" t="s">
        <v>1363</v>
      </c>
      <c r="E4" s="9">
        <v>2</v>
      </c>
      <c r="F4" s="154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296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1560</v>
      </c>
      <c r="T4">
        <v>0</v>
      </c>
      <c r="U4">
        <v>1</v>
      </c>
      <c r="V4">
        <v>1</v>
      </c>
      <c r="W4" s="153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CONCATENATE(Podesavanja!$AB4,Podesavanja!$AC4)</f>
        <v>BSaKolona2</v>
      </c>
      <c r="AB4" t="s">
        <v>297</v>
      </c>
      <c r="AC4" t="s">
        <v>289</v>
      </c>
      <c r="AD4">
        <v>3</v>
      </c>
    </row>
    <row r="5" spans="2:30" x14ac:dyDescent="0.2">
      <c r="B5">
        <v>3</v>
      </c>
      <c r="C5" t="s">
        <v>1343</v>
      </c>
      <c r="E5" s="9">
        <v>3</v>
      </c>
      <c r="F5" s="154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1497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1759</v>
      </c>
      <c r="T5">
        <v>-1</v>
      </c>
      <c r="U5">
        <v>12</v>
      </c>
      <c r="V5">
        <v>31</v>
      </c>
      <c r="W5" s="153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CONCATENATE(Podesavanja!$AB5,Podesavanja!$AC5)</f>
        <v>BSaKolona3</v>
      </c>
      <c r="AB5" t="s">
        <v>297</v>
      </c>
      <c r="AC5" t="s">
        <v>290</v>
      </c>
      <c r="AD5">
        <v>4</v>
      </c>
    </row>
    <row r="6" spans="2:30" x14ac:dyDescent="0.2">
      <c r="E6" s="9">
        <v>4</v>
      </c>
      <c r="F6" s="154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1508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1760</v>
      </c>
      <c r="T6">
        <v>-1</v>
      </c>
      <c r="U6">
        <v>1</v>
      </c>
      <c r="V6">
        <v>1</v>
      </c>
      <c r="W6" s="153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7" t="str">
        <f>CONCATENATE(Podesavanja!$AB6,Podesavanja!$AC6)</f>
        <v>BSaKolona4</v>
      </c>
      <c r="AB6" s="358" t="s">
        <v>297</v>
      </c>
      <c r="AC6" s="358" t="s">
        <v>291</v>
      </c>
      <c r="AD6" s="358">
        <v>5</v>
      </c>
    </row>
    <row r="7" spans="2:30" x14ac:dyDescent="0.2">
      <c r="N7" t="s">
        <v>1374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CONCATENATE(Podesavanja!$AB7,Podesavanja!$AC7)</f>
        <v>BSpKolona1</v>
      </c>
      <c r="AB7" t="s">
        <v>296</v>
      </c>
      <c r="AC7" t="s">
        <v>288</v>
      </c>
      <c r="AD7" s="144">
        <v>4</v>
      </c>
    </row>
    <row r="8" spans="2:30" x14ac:dyDescent="0.2">
      <c r="N8" t="s">
        <v>1375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7" t="str">
        <f>CONCATENATE(Podesavanja!$AB8,Podesavanja!$AC8)</f>
        <v>BSpKolona2</v>
      </c>
      <c r="AB8" s="358" t="s">
        <v>296</v>
      </c>
      <c r="AC8" s="358" t="s">
        <v>289</v>
      </c>
      <c r="AD8" s="361">
        <v>5</v>
      </c>
    </row>
    <row r="9" spans="2:30" x14ac:dyDescent="0.2">
      <c r="N9" t="s">
        <v>1376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CONCATENATE(Podesavanja!$AB9,Podesavanja!$AC9)</f>
        <v>BUaKolona1</v>
      </c>
      <c r="AB9" t="s">
        <v>1497</v>
      </c>
      <c r="AC9" t="s">
        <v>288</v>
      </c>
      <c r="AD9" s="144">
        <v>2</v>
      </c>
    </row>
    <row r="10" spans="2:30" x14ac:dyDescent="0.2">
      <c r="AA10" s="117" t="str">
        <f>CONCATENATE(Podesavanja!$AB10,Podesavanja!$AC10)</f>
        <v>BUaKolona2</v>
      </c>
      <c r="AB10" s="358" t="s">
        <v>1497</v>
      </c>
      <c r="AC10" s="358" t="s">
        <v>289</v>
      </c>
      <c r="AD10" s="361">
        <v>3</v>
      </c>
    </row>
    <row r="11" spans="2:30" x14ac:dyDescent="0.2">
      <c r="AA11" t="str">
        <f>CONCATENATE(Podesavanja!$AB11,Podesavanja!$AC11)</f>
        <v>BUbKolona1</v>
      </c>
      <c r="AB11" t="s">
        <v>1508</v>
      </c>
      <c r="AC11" t="s">
        <v>288</v>
      </c>
      <c r="AD11">
        <v>2</v>
      </c>
    </row>
    <row r="12" spans="2:30" x14ac:dyDescent="0.2">
      <c r="B12" t="s">
        <v>1683</v>
      </c>
      <c r="C12" t="b">
        <f>Osnovni_podaci!$Y$76</f>
        <v>0</v>
      </c>
      <c r="AA12" s="117" t="str">
        <f>CONCATENATE(Podesavanja!$AB12,Podesavanja!$AC12)</f>
        <v>BUbKolona2</v>
      </c>
      <c r="AB12" s="358" t="s">
        <v>1508</v>
      </c>
      <c r="AC12" s="358" t="s">
        <v>289</v>
      </c>
      <c r="AD12" s="358">
        <v>3</v>
      </c>
    </row>
    <row r="13" spans="2:30" x14ac:dyDescent="0.2">
      <c r="AA13" t="str">
        <f>CONCATENATE(Podesavanja!$AB13,Podesavanja!$AC13)</f>
        <v>BTGKolona1</v>
      </c>
      <c r="AB13" t="s">
        <v>1374</v>
      </c>
      <c r="AC13" t="s">
        <v>288</v>
      </c>
      <c r="AD13">
        <v>2</v>
      </c>
    </row>
    <row r="14" spans="2:30" x14ac:dyDescent="0.2">
      <c r="AA14" s="117" t="str">
        <f>CONCATENATE(Podesavanja!$AB14,Podesavanja!$AC14)</f>
        <v>BTGKolona2</v>
      </c>
      <c r="AB14" s="358" t="s">
        <v>1374</v>
      </c>
      <c r="AC14" s="358" t="s">
        <v>289</v>
      </c>
      <c r="AD14" s="358">
        <v>3</v>
      </c>
    </row>
    <row r="15" spans="2:30" x14ac:dyDescent="0.2">
      <c r="AA15" t="str">
        <f>CONCATENATE(Podesavanja!$AB15,Podesavanja!$AC15)</f>
        <v>AneksKolona1</v>
      </c>
      <c r="AB15" t="s">
        <v>1375</v>
      </c>
      <c r="AC15" t="s">
        <v>288</v>
      </c>
      <c r="AD15">
        <v>2</v>
      </c>
    </row>
    <row r="16" spans="2:30" x14ac:dyDescent="0.2">
      <c r="AA16" s="117" t="str">
        <f>CONCATENATE(Podesavanja!$AB16,Podesavanja!$AC16)</f>
        <v>AneksKolona2</v>
      </c>
      <c r="AB16" s="358" t="s">
        <v>1375</v>
      </c>
      <c r="AC16" s="358" t="s">
        <v>289</v>
      </c>
      <c r="AD16" s="358">
        <v>3</v>
      </c>
    </row>
    <row r="17" spans="24:30" x14ac:dyDescent="0.2">
      <c r="X17" s="152"/>
      <c r="AA17" t="str">
        <f>CONCATENATE(Podesavanja!$AB17,Podesavanja!$AC17)</f>
        <v>BPKKolona1</v>
      </c>
      <c r="AB17" t="s">
        <v>1376</v>
      </c>
      <c r="AC17" t="s">
        <v>288</v>
      </c>
      <c r="AD17">
        <v>2</v>
      </c>
    </row>
    <row r="18" spans="24:30" x14ac:dyDescent="0.2">
      <c r="X18" s="152"/>
      <c r="AA18" t="str">
        <f>CONCATENATE(Podesavanja!$AB18,Podesavanja!$AC18)</f>
        <v>BPKKolona2</v>
      </c>
      <c r="AB18" t="s">
        <v>1376</v>
      </c>
      <c r="AC18" t="s">
        <v>289</v>
      </c>
      <c r="AD18">
        <v>3</v>
      </c>
    </row>
    <row r="19" spans="24:30" x14ac:dyDescent="0.2">
      <c r="X19" s="152"/>
      <c r="AA19" t="str">
        <f>CONCATENATE(Podesavanja!$AB19,Podesavanja!$AC19)</f>
        <v>BPKKolona3</v>
      </c>
      <c r="AB19" t="s">
        <v>1376</v>
      </c>
      <c r="AC19" t="s">
        <v>290</v>
      </c>
      <c r="AD19">
        <v>4</v>
      </c>
    </row>
    <row r="20" spans="24:30" x14ac:dyDescent="0.2">
      <c r="X20" s="152"/>
      <c r="AA20" t="str">
        <f>CONCATENATE(Podesavanja!$AB20,Podesavanja!$AC20)</f>
        <v>BPKKolona4</v>
      </c>
      <c r="AB20" t="s">
        <v>1376</v>
      </c>
      <c r="AC20" t="s">
        <v>291</v>
      </c>
      <c r="AD20">
        <v>5</v>
      </c>
    </row>
    <row r="21" spans="24:30" x14ac:dyDescent="0.2">
      <c r="AA21" t="str">
        <f>CONCATENATE(Podesavanja!$AB21,Podesavanja!$AC21)</f>
        <v>BPKKolona5</v>
      </c>
      <c r="AB21" t="s">
        <v>1376</v>
      </c>
      <c r="AC21" t="s">
        <v>292</v>
      </c>
      <c r="AD21">
        <v>6</v>
      </c>
    </row>
    <row r="22" spans="24:30" x14ac:dyDescent="0.2">
      <c r="AA22" t="str">
        <f>CONCATENATE(Podesavanja!$AB22,Podesavanja!$AC22)</f>
        <v>BPKKolona6</v>
      </c>
      <c r="AB22" t="s">
        <v>1376</v>
      </c>
      <c r="AC22" t="s">
        <v>293</v>
      </c>
      <c r="AD22">
        <v>7</v>
      </c>
    </row>
    <row r="23" spans="24:30" x14ac:dyDescent="0.2">
      <c r="AA23" t="str">
        <f>CONCATENATE(Podesavanja!$AB23,Podesavanja!$AC23)</f>
        <v>BPKKolona7</v>
      </c>
      <c r="AB23" t="s">
        <v>1376</v>
      </c>
      <c r="AC23" t="s">
        <v>294</v>
      </c>
      <c r="AD23">
        <v>8</v>
      </c>
    </row>
    <row r="24" spans="24:30" x14ac:dyDescent="0.2">
      <c r="AA24" t="str">
        <f>CONCATENATE(Podesavanja!$AB24,Podesavanja!$AC24)</f>
        <v>BPKKolona8</v>
      </c>
      <c r="AB24" t="s">
        <v>1376</v>
      </c>
      <c r="AC24" t="s">
        <v>295</v>
      </c>
      <c r="AD24">
        <v>9</v>
      </c>
    </row>
  </sheetData>
  <sheetProtection password="832E" sheet="1" objects="1" scenarios="1"/>
  <phoneticPr fontId="23" type="noConversion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56" t="s">
        <v>1364</v>
      </c>
      <c r="B1" s="257" t="s">
        <v>1491</v>
      </c>
      <c r="C1" s="258" t="s">
        <v>1561</v>
      </c>
      <c r="D1" s="144" t="s">
        <v>1366</v>
      </c>
      <c r="E1" s="144" t="s">
        <v>1191</v>
      </c>
      <c r="F1" s="144" t="s">
        <v>1684</v>
      </c>
      <c r="G1" s="258" t="s">
        <v>1600</v>
      </c>
      <c r="H1" t="s">
        <v>1241</v>
      </c>
      <c r="I1" s="258" t="s">
        <v>1418</v>
      </c>
      <c r="J1" s="258" t="s">
        <v>1225</v>
      </c>
      <c r="K1" s="258" t="s">
        <v>1563</v>
      </c>
      <c r="L1" s="258" t="s">
        <v>1564</v>
      </c>
      <c r="M1" s="258" t="s">
        <v>1565</v>
      </c>
      <c r="O1" s="2"/>
      <c r="P1" s="2"/>
      <c r="Q1" s="2"/>
      <c r="R1" s="2">
        <v>2</v>
      </c>
      <c r="S1" s="2">
        <v>3</v>
      </c>
    </row>
    <row r="2" spans="1:19" x14ac:dyDescent="0.2">
      <c r="A2" s="144">
        <v>2</v>
      </c>
      <c r="B2" s="144" t="str">
        <f>VLOOKUP( $A2, Aop!$A$2:$N$415, 2, 0)</f>
        <v>BSa</v>
      </c>
      <c r="C2" s="144">
        <f t="shared" ref="C2:C65" si="0">ID_Izvjestaj</f>
        <v>4</v>
      </c>
      <c r="D2" s="144" t="str">
        <f t="shared" ref="D2:D65" si="1">Podatak_MB</f>
        <v>01940155</v>
      </c>
      <c r="E2" s="144" t="str">
        <f>Podatak_JIB</f>
        <v>4400929510006</v>
      </c>
      <c r="F2" s="144" t="b">
        <f t="shared" ref="F2:F65" si="2">Konsolidovan_izvjestaj</f>
        <v>0</v>
      </c>
      <c r="G2" s="188">
        <f t="shared" ref="G2:G65" si="3">Datum_Broj</f>
        <v>44561</v>
      </c>
      <c r="H2" s="144">
        <f>VLOOKUP( $A2, Aop!$A$2:$N$415, 4, 0)</f>
        <v>1</v>
      </c>
      <c r="I2" s="144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6598841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2958196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3640645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3637659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4">
        <v>3</v>
      </c>
      <c r="B3" s="144" t="str">
        <f>VLOOKUP( $A3, Aop!$A$2:$N$415, 2, 0)</f>
        <v>BSa</v>
      </c>
      <c r="C3" s="144">
        <f t="shared" si="0"/>
        <v>4</v>
      </c>
      <c r="D3" s="144" t="str">
        <f t="shared" si="1"/>
        <v>01940155</v>
      </c>
      <c r="E3" s="144" t="str">
        <f t="shared" ref="E3:E65" si="8">Podatak_JIB</f>
        <v>4400929510006</v>
      </c>
      <c r="F3" s="144" t="b">
        <f t="shared" si="2"/>
        <v>0</v>
      </c>
      <c r="G3" s="188">
        <f t="shared" si="3"/>
        <v>44561</v>
      </c>
      <c r="H3" s="144">
        <f>VLOOKUP( $A3, Aop!$A$2:$N$415, 4, 0)</f>
        <v>2</v>
      </c>
      <c r="I3" s="144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4">
        <v>4</v>
      </c>
      <c r="B4" s="144" t="str">
        <f>VLOOKUP( $A4, Aop!$A$2:$N$415, 2, 0)</f>
        <v>BSa</v>
      </c>
      <c r="C4" s="144">
        <f t="shared" si="0"/>
        <v>4</v>
      </c>
      <c r="D4" s="144" t="str">
        <f t="shared" si="1"/>
        <v>01940155</v>
      </c>
      <c r="E4" s="144" t="str">
        <f t="shared" si="8"/>
        <v>4400929510006</v>
      </c>
      <c r="F4" s="144" t="b">
        <f t="shared" si="2"/>
        <v>0</v>
      </c>
      <c r="G4" s="188">
        <f t="shared" si="3"/>
        <v>44561</v>
      </c>
      <c r="H4" s="144">
        <f>VLOOKUP( $A4, Aop!$A$2:$N$415, 4, 0)</f>
        <v>3</v>
      </c>
      <c r="I4" s="144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4">
        <v>5</v>
      </c>
      <c r="B5" s="144" t="str">
        <f>VLOOKUP( $A5, Aop!$A$2:$N$415, 2, 0)</f>
        <v>BSa</v>
      </c>
      <c r="C5" s="144">
        <f t="shared" si="0"/>
        <v>4</v>
      </c>
      <c r="D5" s="144" t="str">
        <f t="shared" si="1"/>
        <v>01940155</v>
      </c>
      <c r="E5" s="144" t="str">
        <f t="shared" si="8"/>
        <v>4400929510006</v>
      </c>
      <c r="F5" s="144" t="b">
        <f t="shared" si="2"/>
        <v>0</v>
      </c>
      <c r="G5" s="188">
        <f t="shared" si="3"/>
        <v>44561</v>
      </c>
      <c r="H5" s="144">
        <f>VLOOKUP( $A5, Aop!$A$2:$N$415, 4, 0)</f>
        <v>4</v>
      </c>
      <c r="I5" s="144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4">
        <v>6</v>
      </c>
      <c r="B6" s="144" t="str">
        <f>VLOOKUP( $A6, Aop!$A$2:$N$415, 2, 0)</f>
        <v>BSa</v>
      </c>
      <c r="C6" s="144">
        <f t="shared" si="0"/>
        <v>4</v>
      </c>
      <c r="D6" s="144" t="str">
        <f t="shared" si="1"/>
        <v>01940155</v>
      </c>
      <c r="E6" s="144" t="str">
        <f t="shared" si="8"/>
        <v>4400929510006</v>
      </c>
      <c r="F6" s="144" t="b">
        <f t="shared" si="2"/>
        <v>0</v>
      </c>
      <c r="G6" s="188">
        <f t="shared" si="3"/>
        <v>44561</v>
      </c>
      <c r="H6" s="144">
        <f>VLOOKUP( $A6, Aop!$A$2:$N$415, 4, 0)</f>
        <v>5</v>
      </c>
      <c r="I6" s="144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4">
        <v>7</v>
      </c>
      <c r="B7" s="144" t="str">
        <f>VLOOKUP( $A7, Aop!$A$2:$N$415, 2, 0)</f>
        <v>BSa</v>
      </c>
      <c r="C7" s="144">
        <f t="shared" si="0"/>
        <v>4</v>
      </c>
      <c r="D7" s="144" t="str">
        <f t="shared" si="1"/>
        <v>01940155</v>
      </c>
      <c r="E7" s="144" t="str">
        <f t="shared" si="8"/>
        <v>4400929510006</v>
      </c>
      <c r="F7" s="144" t="b">
        <f t="shared" si="2"/>
        <v>0</v>
      </c>
      <c r="G7" s="188">
        <f t="shared" si="3"/>
        <v>44561</v>
      </c>
      <c r="H7" s="144">
        <f>VLOOKUP( $A7, Aop!$A$2:$N$415, 4, 0)</f>
        <v>6</v>
      </c>
      <c r="I7" s="144">
        <f t="shared" si="4"/>
        <v>2021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4">
        <v>8</v>
      </c>
      <c r="B8" s="144" t="str">
        <f>VLOOKUP( $A8, Aop!$A$2:$N$415, 2, 0)</f>
        <v>BSa</v>
      </c>
      <c r="C8" s="144">
        <f t="shared" si="0"/>
        <v>4</v>
      </c>
      <c r="D8" s="144" t="str">
        <f t="shared" si="1"/>
        <v>01940155</v>
      </c>
      <c r="E8" s="144" t="str">
        <f t="shared" si="8"/>
        <v>4400929510006</v>
      </c>
      <c r="F8" s="144" t="b">
        <f t="shared" si="2"/>
        <v>0</v>
      </c>
      <c r="G8" s="188">
        <f t="shared" si="3"/>
        <v>44561</v>
      </c>
      <c r="H8" s="144">
        <f>VLOOKUP( $A8, Aop!$A$2:$N$415, 4, 0)</f>
        <v>7</v>
      </c>
      <c r="I8" s="144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4">
        <v>9</v>
      </c>
      <c r="B9" s="144" t="str">
        <f>VLOOKUP( $A9, Aop!$A$2:$N$415, 2, 0)</f>
        <v>BSa</v>
      </c>
      <c r="C9" s="144">
        <f t="shared" si="0"/>
        <v>4</v>
      </c>
      <c r="D9" s="144" t="str">
        <f t="shared" si="1"/>
        <v>01940155</v>
      </c>
      <c r="E9" s="144" t="str">
        <f t="shared" si="8"/>
        <v>4400929510006</v>
      </c>
      <c r="F9" s="144" t="b">
        <f t="shared" si="2"/>
        <v>0</v>
      </c>
      <c r="G9" s="188">
        <f t="shared" si="3"/>
        <v>44561</v>
      </c>
      <c r="H9" s="144">
        <f>VLOOKUP( $A9, Aop!$A$2:$N$415, 4, 0)</f>
        <v>8</v>
      </c>
      <c r="I9" s="144">
        <f t="shared" si="4"/>
        <v>2021</v>
      </c>
      <c r="J9" s="79">
        <f t="shared" ca="1" si="9"/>
        <v>6568408</v>
      </c>
      <c r="K9" s="79">
        <f t="shared" ca="1" si="5"/>
        <v>2958196</v>
      </c>
      <c r="L9" s="79">
        <f t="shared" ca="1" si="6"/>
        <v>3610212</v>
      </c>
      <c r="M9" s="79">
        <f t="shared" ca="1" si="7"/>
        <v>3607226</v>
      </c>
    </row>
    <row r="10" spans="1:19" x14ac:dyDescent="0.2">
      <c r="A10" s="144">
        <v>10</v>
      </c>
      <c r="B10" s="144" t="str">
        <f>VLOOKUP( $A10, Aop!$A$2:$N$415, 2, 0)</f>
        <v>BSa</v>
      </c>
      <c r="C10" s="144">
        <f t="shared" si="0"/>
        <v>4</v>
      </c>
      <c r="D10" s="144" t="str">
        <f t="shared" si="1"/>
        <v>01940155</v>
      </c>
      <c r="E10" s="144" t="str">
        <f t="shared" si="8"/>
        <v>4400929510006</v>
      </c>
      <c r="F10" s="144" t="b">
        <f t="shared" si="2"/>
        <v>0</v>
      </c>
      <c r="G10" s="188">
        <f t="shared" si="3"/>
        <v>44561</v>
      </c>
      <c r="H10" s="144">
        <f>VLOOKUP( $A10, Aop!$A$2:$N$415, 4, 0)</f>
        <v>9</v>
      </c>
      <c r="I10" s="144">
        <f t="shared" si="4"/>
        <v>2021</v>
      </c>
      <c r="J10" s="79">
        <f t="shared" ca="1" si="9"/>
        <v>264621</v>
      </c>
      <c r="K10" s="79" t="str">
        <f t="shared" ca="1" si="5"/>
        <v/>
      </c>
      <c r="L10" s="79">
        <f t="shared" ca="1" si="6"/>
        <v>264621</v>
      </c>
      <c r="M10" s="79">
        <f t="shared" ca="1" si="7"/>
        <v>264621</v>
      </c>
    </row>
    <row r="11" spans="1:19" x14ac:dyDescent="0.2">
      <c r="A11" s="144">
        <v>11</v>
      </c>
      <c r="B11" s="144" t="str">
        <f>VLOOKUP( $A11, Aop!$A$2:$N$415, 2, 0)</f>
        <v>BSa</v>
      </c>
      <c r="C11" s="144">
        <f t="shared" si="0"/>
        <v>4</v>
      </c>
      <c r="D11" s="144" t="str">
        <f t="shared" si="1"/>
        <v>01940155</v>
      </c>
      <c r="E11" s="144" t="str">
        <f t="shared" si="8"/>
        <v>4400929510006</v>
      </c>
      <c r="F11" s="144" t="b">
        <f t="shared" si="2"/>
        <v>0</v>
      </c>
      <c r="G11" s="188">
        <f t="shared" si="3"/>
        <v>44561</v>
      </c>
      <c r="H11" s="144">
        <f>VLOOKUP( $A11, Aop!$A$2:$N$415, 4, 0)</f>
        <v>10</v>
      </c>
      <c r="I11" s="144">
        <f t="shared" si="4"/>
        <v>2021</v>
      </c>
      <c r="J11" s="79">
        <f t="shared" ca="1" si="9"/>
        <v>2728676</v>
      </c>
      <c r="K11" s="79">
        <f t="shared" ca="1" si="5"/>
        <v>677759</v>
      </c>
      <c r="L11" s="79">
        <f t="shared" ca="1" si="6"/>
        <v>2050917</v>
      </c>
      <c r="M11" s="79">
        <f t="shared" ca="1" si="7"/>
        <v>2104560</v>
      </c>
    </row>
    <row r="12" spans="1:19" x14ac:dyDescent="0.2">
      <c r="A12" s="144">
        <v>12</v>
      </c>
      <c r="B12" s="144" t="str">
        <f>VLOOKUP( $A12, Aop!$A$2:$N$415, 2, 0)</f>
        <v>BSa</v>
      </c>
      <c r="C12" s="144">
        <f t="shared" si="0"/>
        <v>4</v>
      </c>
      <c r="D12" s="144" t="str">
        <f t="shared" si="1"/>
        <v>01940155</v>
      </c>
      <c r="E12" s="144" t="str">
        <f t="shared" si="8"/>
        <v>4400929510006</v>
      </c>
      <c r="F12" s="144" t="b">
        <f t="shared" si="2"/>
        <v>0</v>
      </c>
      <c r="G12" s="188">
        <f t="shared" si="3"/>
        <v>44561</v>
      </c>
      <c r="H12" s="144">
        <f>VLOOKUP( $A12, Aop!$A$2:$N$415, 4, 0)</f>
        <v>11</v>
      </c>
      <c r="I12" s="144">
        <f t="shared" si="4"/>
        <v>2021</v>
      </c>
      <c r="J12" s="79">
        <f t="shared" ca="1" si="9"/>
        <v>3575111</v>
      </c>
      <c r="K12" s="79">
        <f t="shared" ca="1" si="5"/>
        <v>2280437</v>
      </c>
      <c r="L12" s="79">
        <f t="shared" ca="1" si="6"/>
        <v>1294674</v>
      </c>
      <c r="M12" s="79">
        <f t="shared" ca="1" si="7"/>
        <v>1238045</v>
      </c>
    </row>
    <row r="13" spans="1:19" x14ac:dyDescent="0.2">
      <c r="A13" s="144">
        <v>13</v>
      </c>
      <c r="B13" s="144" t="str">
        <f>VLOOKUP( $A13, Aop!$A$2:$N$415, 2, 0)</f>
        <v>BSa</v>
      </c>
      <c r="C13" s="144">
        <f t="shared" si="0"/>
        <v>4</v>
      </c>
      <c r="D13" s="144" t="str">
        <f t="shared" si="1"/>
        <v>01940155</v>
      </c>
      <c r="E13" s="144" t="str">
        <f t="shared" si="8"/>
        <v>4400929510006</v>
      </c>
      <c r="F13" s="144" t="b">
        <f t="shared" si="2"/>
        <v>0</v>
      </c>
      <c r="G13" s="188">
        <f t="shared" si="3"/>
        <v>44561</v>
      </c>
      <c r="H13" s="144">
        <f>VLOOKUP( $A13, Aop!$A$2:$N$415, 4, 0)</f>
        <v>12</v>
      </c>
      <c r="I13" s="144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4">
        <v>14</v>
      </c>
      <c r="B14" s="144" t="str">
        <f>VLOOKUP( $A14, Aop!$A$2:$N$415, 2, 0)</f>
        <v>BSa</v>
      </c>
      <c r="C14" s="144">
        <f t="shared" si="0"/>
        <v>4</v>
      </c>
      <c r="D14" s="144" t="str">
        <f t="shared" si="1"/>
        <v>01940155</v>
      </c>
      <c r="E14" s="144" t="str">
        <f t="shared" si="8"/>
        <v>4400929510006</v>
      </c>
      <c r="F14" s="144" t="b">
        <f t="shared" si="2"/>
        <v>0</v>
      </c>
      <c r="G14" s="188">
        <f t="shared" si="3"/>
        <v>44561</v>
      </c>
      <c r="H14" s="144">
        <f>VLOOKUP( $A14, Aop!$A$2:$N$415, 4, 0)</f>
        <v>13</v>
      </c>
      <c r="I14" s="144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4">
        <v>15</v>
      </c>
      <c r="B15" s="144" t="str">
        <f>VLOOKUP( $A15, Aop!$A$2:$N$415, 2, 0)</f>
        <v>BSa</v>
      </c>
      <c r="C15" s="144">
        <f t="shared" si="0"/>
        <v>4</v>
      </c>
      <c r="D15" s="144" t="str">
        <f t="shared" si="1"/>
        <v>01940155</v>
      </c>
      <c r="E15" s="144" t="str">
        <f t="shared" si="8"/>
        <v>4400929510006</v>
      </c>
      <c r="F15" s="144" t="b">
        <f t="shared" si="2"/>
        <v>0</v>
      </c>
      <c r="G15" s="188">
        <f t="shared" si="3"/>
        <v>44561</v>
      </c>
      <c r="H15" s="144">
        <f>VLOOKUP( $A15, Aop!$A$2:$N$415, 4, 0)</f>
        <v>14</v>
      </c>
      <c r="I15" s="144">
        <f t="shared" si="4"/>
        <v>2021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4">
        <v>16</v>
      </c>
      <c r="B16" s="144" t="str">
        <f>VLOOKUP( $A16, Aop!$A$2:$N$415, 2, 0)</f>
        <v>BSa</v>
      </c>
      <c r="C16" s="144">
        <f t="shared" si="0"/>
        <v>4</v>
      </c>
      <c r="D16" s="144" t="str">
        <f t="shared" si="1"/>
        <v>01940155</v>
      </c>
      <c r="E16" s="144" t="str">
        <f t="shared" si="8"/>
        <v>4400929510006</v>
      </c>
      <c r="F16" s="144" t="b">
        <f t="shared" si="2"/>
        <v>0</v>
      </c>
      <c r="G16" s="188">
        <f t="shared" si="3"/>
        <v>44561</v>
      </c>
      <c r="H16" s="144">
        <f>VLOOKUP( $A16, Aop!$A$2:$N$415, 4, 0)</f>
        <v>15</v>
      </c>
      <c r="I16" s="144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4">
        <v>17</v>
      </c>
      <c r="B17" s="144" t="str">
        <f>VLOOKUP( $A17, Aop!$A$2:$N$415, 2, 0)</f>
        <v>BSa</v>
      </c>
      <c r="C17" s="144">
        <f t="shared" si="0"/>
        <v>4</v>
      </c>
      <c r="D17" s="144" t="str">
        <f t="shared" si="1"/>
        <v>01940155</v>
      </c>
      <c r="E17" s="144" t="str">
        <f t="shared" si="8"/>
        <v>4400929510006</v>
      </c>
      <c r="F17" s="144" t="b">
        <f t="shared" si="2"/>
        <v>0</v>
      </c>
      <c r="G17" s="188">
        <f t="shared" si="3"/>
        <v>44561</v>
      </c>
      <c r="H17" s="144">
        <f>VLOOKUP( $A17, Aop!$A$2:$N$415, 4, 0)</f>
        <v>16</v>
      </c>
      <c r="I17" s="144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4">
        <v>18</v>
      </c>
      <c r="B18" s="144" t="str">
        <f>VLOOKUP( $A18, Aop!$A$2:$N$415, 2, 0)</f>
        <v>BSa</v>
      </c>
      <c r="C18" s="144">
        <f t="shared" si="0"/>
        <v>4</v>
      </c>
      <c r="D18" s="144" t="str">
        <f t="shared" si="1"/>
        <v>01940155</v>
      </c>
      <c r="E18" s="144" t="str">
        <f t="shared" si="8"/>
        <v>4400929510006</v>
      </c>
      <c r="F18" s="144" t="b">
        <f t="shared" si="2"/>
        <v>0</v>
      </c>
      <c r="G18" s="188">
        <f t="shared" si="3"/>
        <v>44561</v>
      </c>
      <c r="H18" s="144">
        <f>VLOOKUP( $A18, Aop!$A$2:$N$415, 4, 0)</f>
        <v>17</v>
      </c>
      <c r="I18" s="144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4">
        <v>19</v>
      </c>
      <c r="B19" s="144" t="str">
        <f>VLOOKUP( $A19, Aop!$A$2:$N$415, 2, 0)</f>
        <v>BSa</v>
      </c>
      <c r="C19" s="144">
        <f t="shared" si="0"/>
        <v>4</v>
      </c>
      <c r="D19" s="144" t="str">
        <f t="shared" si="1"/>
        <v>01940155</v>
      </c>
      <c r="E19" s="144" t="str">
        <f t="shared" si="8"/>
        <v>4400929510006</v>
      </c>
      <c r="F19" s="144" t="b">
        <f t="shared" si="2"/>
        <v>0</v>
      </c>
      <c r="G19" s="188">
        <f t="shared" si="3"/>
        <v>44561</v>
      </c>
      <c r="H19" s="144">
        <f>VLOOKUP( $A19, Aop!$A$2:$N$415, 4, 0)</f>
        <v>18</v>
      </c>
      <c r="I19" s="144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4">
        <v>20</v>
      </c>
      <c r="B20" s="144" t="str">
        <f>VLOOKUP( $A20, Aop!$A$2:$N$415, 2, 0)</f>
        <v>BSa</v>
      </c>
      <c r="C20" s="144">
        <f t="shared" si="0"/>
        <v>4</v>
      </c>
      <c r="D20" s="144" t="str">
        <f t="shared" si="1"/>
        <v>01940155</v>
      </c>
      <c r="E20" s="144" t="str">
        <f t="shared" si="8"/>
        <v>4400929510006</v>
      </c>
      <c r="F20" s="144" t="b">
        <f t="shared" si="2"/>
        <v>0</v>
      </c>
      <c r="G20" s="188">
        <f t="shared" si="3"/>
        <v>44561</v>
      </c>
      <c r="H20" s="144">
        <f>VLOOKUP( $A20, Aop!$A$2:$N$415, 4, 0)</f>
        <v>19</v>
      </c>
      <c r="I20" s="144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4">
        <v>21</v>
      </c>
      <c r="B21" s="144" t="str">
        <f>VLOOKUP( $A21, Aop!$A$2:$N$415, 2, 0)</f>
        <v>BSa</v>
      </c>
      <c r="C21" s="144">
        <f t="shared" si="0"/>
        <v>4</v>
      </c>
      <c r="D21" s="144" t="str">
        <f t="shared" si="1"/>
        <v>01940155</v>
      </c>
      <c r="E21" s="144" t="str">
        <f t="shared" si="8"/>
        <v>4400929510006</v>
      </c>
      <c r="F21" s="144" t="b">
        <f t="shared" si="2"/>
        <v>0</v>
      </c>
      <c r="G21" s="188">
        <f t="shared" si="3"/>
        <v>44561</v>
      </c>
      <c r="H21" s="144">
        <f>VLOOKUP( $A21, Aop!$A$2:$N$415, 4, 0)</f>
        <v>20</v>
      </c>
      <c r="I21" s="144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4">
        <v>22</v>
      </c>
      <c r="B22" s="144" t="str">
        <f>VLOOKUP( $A22, Aop!$A$2:$N$415, 2, 0)</f>
        <v>BSa</v>
      </c>
      <c r="C22" s="144">
        <f t="shared" si="0"/>
        <v>4</v>
      </c>
      <c r="D22" s="144" t="str">
        <f t="shared" si="1"/>
        <v>01940155</v>
      </c>
      <c r="E22" s="144" t="str">
        <f t="shared" si="8"/>
        <v>4400929510006</v>
      </c>
      <c r="F22" s="144" t="b">
        <f t="shared" si="2"/>
        <v>0</v>
      </c>
      <c r="G22" s="188">
        <f t="shared" si="3"/>
        <v>44561</v>
      </c>
      <c r="H22" s="144">
        <f>VLOOKUP( $A22, Aop!$A$2:$N$415, 4, 0)</f>
        <v>21</v>
      </c>
      <c r="I22" s="144">
        <f t="shared" si="4"/>
        <v>2021</v>
      </c>
      <c r="J22" s="79">
        <f t="shared" ca="1" si="9"/>
        <v>30433</v>
      </c>
      <c r="K22" s="79">
        <f t="shared" ca="1" si="5"/>
        <v>0</v>
      </c>
      <c r="L22" s="79">
        <f t="shared" ca="1" si="6"/>
        <v>30433</v>
      </c>
      <c r="M22" s="79">
        <f t="shared" ca="1" si="7"/>
        <v>30433</v>
      </c>
    </row>
    <row r="23" spans="1:13" x14ac:dyDescent="0.2">
      <c r="A23" s="144">
        <v>23</v>
      </c>
      <c r="B23" s="144" t="str">
        <f>VLOOKUP( $A23, Aop!$A$2:$N$415, 2, 0)</f>
        <v>BSa</v>
      </c>
      <c r="C23" s="144">
        <f t="shared" si="0"/>
        <v>4</v>
      </c>
      <c r="D23" s="144" t="str">
        <f t="shared" si="1"/>
        <v>01940155</v>
      </c>
      <c r="E23" s="144" t="str">
        <f t="shared" si="8"/>
        <v>4400929510006</v>
      </c>
      <c r="F23" s="144" t="b">
        <f t="shared" si="2"/>
        <v>0</v>
      </c>
      <c r="G23" s="188">
        <f t="shared" si="3"/>
        <v>44561</v>
      </c>
      <c r="H23" s="144">
        <f>VLOOKUP( $A23, Aop!$A$2:$N$415, 4, 0)</f>
        <v>22</v>
      </c>
      <c r="I23" s="144">
        <f t="shared" si="4"/>
        <v>2021</v>
      </c>
      <c r="J23" s="79">
        <f t="shared" ca="1" si="9"/>
        <v>30433</v>
      </c>
      <c r="K23" s="79" t="str">
        <f t="shared" ca="1" si="5"/>
        <v/>
      </c>
      <c r="L23" s="79">
        <f t="shared" ca="1" si="6"/>
        <v>30433</v>
      </c>
      <c r="M23" s="79">
        <f t="shared" ca="1" si="7"/>
        <v>30433</v>
      </c>
    </row>
    <row r="24" spans="1:13" x14ac:dyDescent="0.2">
      <c r="A24" s="144">
        <v>24</v>
      </c>
      <c r="B24" s="144" t="str">
        <f>VLOOKUP( $A24, Aop!$A$2:$N$415, 2, 0)</f>
        <v>BSa</v>
      </c>
      <c r="C24" s="144">
        <f t="shared" si="0"/>
        <v>4</v>
      </c>
      <c r="D24" s="144" t="str">
        <f t="shared" si="1"/>
        <v>01940155</v>
      </c>
      <c r="E24" s="144" t="str">
        <f t="shared" si="8"/>
        <v>4400929510006</v>
      </c>
      <c r="F24" s="144" t="b">
        <f t="shared" si="2"/>
        <v>0</v>
      </c>
      <c r="G24" s="188">
        <f t="shared" si="3"/>
        <v>44561</v>
      </c>
      <c r="H24" s="144">
        <f>VLOOKUP( $A24, Aop!$A$2:$N$415, 4, 0)</f>
        <v>23</v>
      </c>
      <c r="I24" s="144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4">
        <v>25</v>
      </c>
      <c r="B25" s="144" t="str">
        <f>VLOOKUP( $A25, Aop!$A$2:$N$415, 2, 0)</f>
        <v>BSa</v>
      </c>
      <c r="C25" s="144">
        <f t="shared" si="0"/>
        <v>4</v>
      </c>
      <c r="D25" s="144" t="str">
        <f t="shared" si="1"/>
        <v>01940155</v>
      </c>
      <c r="E25" s="144" t="str">
        <f t="shared" si="8"/>
        <v>4400929510006</v>
      </c>
      <c r="F25" s="144" t="b">
        <f t="shared" si="2"/>
        <v>0</v>
      </c>
      <c r="G25" s="188">
        <f t="shared" si="3"/>
        <v>44561</v>
      </c>
      <c r="H25" s="144">
        <f>VLOOKUP( $A25, Aop!$A$2:$N$415, 4, 0)</f>
        <v>24</v>
      </c>
      <c r="I25" s="144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4">
        <v>26</v>
      </c>
      <c r="B26" s="144" t="str">
        <f>VLOOKUP( $A26, Aop!$A$2:$N$415, 2, 0)</f>
        <v>BSa</v>
      </c>
      <c r="C26" s="144">
        <f t="shared" si="0"/>
        <v>4</v>
      </c>
      <c r="D26" s="144" t="str">
        <f t="shared" si="1"/>
        <v>01940155</v>
      </c>
      <c r="E26" s="144" t="str">
        <f t="shared" si="8"/>
        <v>4400929510006</v>
      </c>
      <c r="F26" s="144" t="b">
        <f t="shared" si="2"/>
        <v>0</v>
      </c>
      <c r="G26" s="188">
        <f t="shared" si="3"/>
        <v>44561</v>
      </c>
      <c r="H26" s="144">
        <f>VLOOKUP( $A26, Aop!$A$2:$N$415, 4, 0)</f>
        <v>25</v>
      </c>
      <c r="I26" s="144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4">
        <v>27</v>
      </c>
      <c r="B27" s="144" t="str">
        <f>VLOOKUP( $A27, Aop!$A$2:$N$415, 2, 0)</f>
        <v>BSa</v>
      </c>
      <c r="C27" s="144">
        <f t="shared" si="0"/>
        <v>4</v>
      </c>
      <c r="D27" s="144" t="str">
        <f t="shared" si="1"/>
        <v>01940155</v>
      </c>
      <c r="E27" s="144" t="str">
        <f t="shared" si="8"/>
        <v>4400929510006</v>
      </c>
      <c r="F27" s="144" t="b">
        <f t="shared" si="2"/>
        <v>0</v>
      </c>
      <c r="G27" s="188">
        <f t="shared" si="3"/>
        <v>44561</v>
      </c>
      <c r="H27" s="144">
        <f>VLOOKUP( $A27, Aop!$A$2:$N$415, 4, 0)</f>
        <v>26</v>
      </c>
      <c r="I27" s="144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4">
        <v>28</v>
      </c>
      <c r="B28" s="144" t="str">
        <f>VLOOKUP( $A28, Aop!$A$2:$N$415, 2, 0)</f>
        <v>BSa</v>
      </c>
      <c r="C28" s="144">
        <f t="shared" si="0"/>
        <v>4</v>
      </c>
      <c r="D28" s="144" t="str">
        <f t="shared" si="1"/>
        <v>01940155</v>
      </c>
      <c r="E28" s="144" t="str">
        <f t="shared" si="8"/>
        <v>4400929510006</v>
      </c>
      <c r="F28" s="144" t="b">
        <f t="shared" si="2"/>
        <v>0</v>
      </c>
      <c r="G28" s="188">
        <f t="shared" si="3"/>
        <v>44561</v>
      </c>
      <c r="H28" s="144">
        <f>VLOOKUP( $A28, Aop!$A$2:$N$415, 4, 0)</f>
        <v>27</v>
      </c>
      <c r="I28" s="144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4">
        <v>29</v>
      </c>
      <c r="B29" s="144" t="str">
        <f>VLOOKUP( $A29, Aop!$A$2:$N$415, 2, 0)</f>
        <v>BSa</v>
      </c>
      <c r="C29" s="144">
        <f t="shared" si="0"/>
        <v>4</v>
      </c>
      <c r="D29" s="144" t="str">
        <f t="shared" si="1"/>
        <v>01940155</v>
      </c>
      <c r="E29" s="144" t="str">
        <f t="shared" si="8"/>
        <v>4400929510006</v>
      </c>
      <c r="F29" s="144" t="b">
        <f t="shared" si="2"/>
        <v>0</v>
      </c>
      <c r="G29" s="188">
        <f t="shared" si="3"/>
        <v>44561</v>
      </c>
      <c r="H29" s="144">
        <f>VLOOKUP( $A29, Aop!$A$2:$N$415, 4, 0)</f>
        <v>28</v>
      </c>
      <c r="I29" s="144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4">
        <v>30</v>
      </c>
      <c r="B30" s="144" t="str">
        <f>VLOOKUP( $A30, Aop!$A$2:$N$415, 2, 0)</f>
        <v>BSa</v>
      </c>
      <c r="C30" s="144">
        <f t="shared" si="0"/>
        <v>4</v>
      </c>
      <c r="D30" s="144" t="str">
        <f t="shared" si="1"/>
        <v>01940155</v>
      </c>
      <c r="E30" s="144" t="str">
        <f t="shared" si="8"/>
        <v>4400929510006</v>
      </c>
      <c r="F30" s="144" t="b">
        <f t="shared" si="2"/>
        <v>0</v>
      </c>
      <c r="G30" s="188">
        <f t="shared" si="3"/>
        <v>44561</v>
      </c>
      <c r="H30" s="144">
        <f>VLOOKUP( $A30, Aop!$A$2:$N$415, 4, 0)</f>
        <v>29</v>
      </c>
      <c r="I30" s="144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4">
        <v>31</v>
      </c>
      <c r="B31" s="144" t="str">
        <f>VLOOKUP( $A31, Aop!$A$2:$N$415, 2, 0)</f>
        <v>BSa</v>
      </c>
      <c r="C31" s="144">
        <f t="shared" si="0"/>
        <v>4</v>
      </c>
      <c r="D31" s="144" t="str">
        <f t="shared" si="1"/>
        <v>01940155</v>
      </c>
      <c r="E31" s="144" t="str">
        <f t="shared" si="8"/>
        <v>4400929510006</v>
      </c>
      <c r="F31" s="144" t="b">
        <f t="shared" si="2"/>
        <v>0</v>
      </c>
      <c r="G31" s="188">
        <f t="shared" si="3"/>
        <v>44561</v>
      </c>
      <c r="H31" s="144">
        <f>VLOOKUP( $A31, Aop!$A$2:$N$415, 4, 0)</f>
        <v>30</v>
      </c>
      <c r="I31" s="144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4">
        <v>32</v>
      </c>
      <c r="B32" s="144" t="str">
        <f>VLOOKUP( $A32, Aop!$A$2:$N$415, 2, 0)</f>
        <v>BSa</v>
      </c>
      <c r="C32" s="144">
        <f t="shared" si="0"/>
        <v>4</v>
      </c>
      <c r="D32" s="144" t="str">
        <f t="shared" si="1"/>
        <v>01940155</v>
      </c>
      <c r="E32" s="144" t="str">
        <f t="shared" si="8"/>
        <v>4400929510006</v>
      </c>
      <c r="F32" s="144" t="b">
        <f t="shared" si="2"/>
        <v>0</v>
      </c>
      <c r="G32" s="188">
        <f t="shared" si="3"/>
        <v>44561</v>
      </c>
      <c r="H32" s="144">
        <f>VLOOKUP( $A32, Aop!$A$2:$N$415, 4, 0)</f>
        <v>31</v>
      </c>
      <c r="I32" s="144">
        <f t="shared" si="4"/>
        <v>2021</v>
      </c>
      <c r="J32" s="79">
        <f t="shared" ca="1" si="9"/>
        <v>6503567</v>
      </c>
      <c r="K32" s="79">
        <f t="shared" ca="1" si="5"/>
        <v>256330</v>
      </c>
      <c r="L32" s="79">
        <f t="shared" ca="1" si="6"/>
        <v>6247237</v>
      </c>
      <c r="M32" s="79">
        <f t="shared" ca="1" si="7"/>
        <v>5437052</v>
      </c>
    </row>
    <row r="33" spans="1:13" x14ac:dyDescent="0.2">
      <c r="A33" s="144">
        <v>33</v>
      </c>
      <c r="B33" s="144" t="str">
        <f>VLOOKUP( $A33, Aop!$A$2:$N$415, 2, 0)</f>
        <v>BSa</v>
      </c>
      <c r="C33" s="144">
        <f t="shared" si="0"/>
        <v>4</v>
      </c>
      <c r="D33" s="144" t="str">
        <f t="shared" si="1"/>
        <v>01940155</v>
      </c>
      <c r="E33" s="144" t="str">
        <f t="shared" si="8"/>
        <v>4400929510006</v>
      </c>
      <c r="F33" s="144" t="b">
        <f t="shared" si="2"/>
        <v>0</v>
      </c>
      <c r="G33" s="188">
        <f t="shared" si="3"/>
        <v>44561</v>
      </c>
      <c r="H33" s="144">
        <f>VLOOKUP( $A33, Aop!$A$2:$N$415, 4, 0)</f>
        <v>32</v>
      </c>
      <c r="I33" s="144">
        <f t="shared" si="4"/>
        <v>2021</v>
      </c>
      <c r="J33" s="79">
        <f t="shared" ca="1" si="9"/>
        <v>2849514</v>
      </c>
      <c r="K33" s="79">
        <f t="shared" ca="1" si="5"/>
        <v>256330</v>
      </c>
      <c r="L33" s="79">
        <f t="shared" ca="1" si="6"/>
        <v>2593184</v>
      </c>
      <c r="M33" s="79">
        <f t="shared" ca="1" si="7"/>
        <v>2624742</v>
      </c>
    </row>
    <row r="34" spans="1:13" x14ac:dyDescent="0.2">
      <c r="A34" s="144">
        <v>34</v>
      </c>
      <c r="B34" s="144" t="str">
        <f>VLOOKUP( $A34, Aop!$A$2:$N$415, 2, 0)</f>
        <v>BSa</v>
      </c>
      <c r="C34" s="144">
        <f t="shared" si="0"/>
        <v>4</v>
      </c>
      <c r="D34" s="144" t="str">
        <f t="shared" si="1"/>
        <v>01940155</v>
      </c>
      <c r="E34" s="144" t="str">
        <f t="shared" si="8"/>
        <v>4400929510006</v>
      </c>
      <c r="F34" s="144" t="b">
        <f t="shared" si="2"/>
        <v>0</v>
      </c>
      <c r="G34" s="188">
        <f t="shared" si="3"/>
        <v>44561</v>
      </c>
      <c r="H34" s="144">
        <f>VLOOKUP( $A34, Aop!$A$2:$N$415, 4, 0)</f>
        <v>33</v>
      </c>
      <c r="I34" s="144">
        <f t="shared" si="4"/>
        <v>2021</v>
      </c>
      <c r="J34" s="79">
        <f t="shared" ca="1" si="9"/>
        <v>58280</v>
      </c>
      <c r="K34" s="79" t="str">
        <f t="shared" ca="1" si="5"/>
        <v/>
      </c>
      <c r="L34" s="79">
        <f t="shared" ca="1" si="6"/>
        <v>58280</v>
      </c>
      <c r="M34" s="79">
        <f t="shared" ca="1" si="7"/>
        <v>31585</v>
      </c>
    </row>
    <row r="35" spans="1:13" x14ac:dyDescent="0.2">
      <c r="A35" s="144">
        <v>35</v>
      </c>
      <c r="B35" s="144" t="str">
        <f>VLOOKUP( $A35, Aop!$A$2:$N$415, 2, 0)</f>
        <v>BSa</v>
      </c>
      <c r="C35" s="144">
        <f t="shared" si="0"/>
        <v>4</v>
      </c>
      <c r="D35" s="144" t="str">
        <f t="shared" si="1"/>
        <v>01940155</v>
      </c>
      <c r="E35" s="144" t="str">
        <f t="shared" si="8"/>
        <v>4400929510006</v>
      </c>
      <c r="F35" s="144" t="b">
        <f t="shared" si="2"/>
        <v>0</v>
      </c>
      <c r="G35" s="188">
        <f t="shared" si="3"/>
        <v>44561</v>
      </c>
      <c r="H35" s="144">
        <f>VLOOKUP( $A35, Aop!$A$2:$N$415, 4, 0)</f>
        <v>34</v>
      </c>
      <c r="I35" s="144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4">
        <v>36</v>
      </c>
      <c r="B36" s="144" t="str">
        <f>VLOOKUP( $A36, Aop!$A$2:$N$415, 2, 0)</f>
        <v>BSa</v>
      </c>
      <c r="C36" s="144">
        <f t="shared" si="0"/>
        <v>4</v>
      </c>
      <c r="D36" s="144" t="str">
        <f t="shared" si="1"/>
        <v>01940155</v>
      </c>
      <c r="E36" s="144" t="str">
        <f t="shared" si="8"/>
        <v>4400929510006</v>
      </c>
      <c r="F36" s="144" t="b">
        <f t="shared" si="2"/>
        <v>0</v>
      </c>
      <c r="G36" s="188">
        <f t="shared" si="3"/>
        <v>44561</v>
      </c>
      <c r="H36" s="144">
        <f>VLOOKUP( $A36, Aop!$A$2:$N$415, 4, 0)</f>
        <v>35</v>
      </c>
      <c r="I36" s="144">
        <f t="shared" si="4"/>
        <v>2021</v>
      </c>
      <c r="J36" s="79">
        <f t="shared" ca="1" si="9"/>
        <v>9755</v>
      </c>
      <c r="K36" s="79" t="str">
        <f t="shared" ca="1" si="5"/>
        <v/>
      </c>
      <c r="L36" s="79">
        <f t="shared" ca="1" si="6"/>
        <v>9755</v>
      </c>
      <c r="M36" s="79">
        <f t="shared" ca="1" si="7"/>
        <v>37342</v>
      </c>
    </row>
    <row r="37" spans="1:13" x14ac:dyDescent="0.2">
      <c r="A37" s="144">
        <v>37</v>
      </c>
      <c r="B37" s="144" t="str">
        <f>VLOOKUP( $A37, Aop!$A$2:$N$415, 2, 0)</f>
        <v>BSa</v>
      </c>
      <c r="C37" s="144">
        <f t="shared" si="0"/>
        <v>4</v>
      </c>
      <c r="D37" s="144" t="str">
        <f t="shared" si="1"/>
        <v>01940155</v>
      </c>
      <c r="E37" s="144" t="str">
        <f t="shared" si="8"/>
        <v>4400929510006</v>
      </c>
      <c r="F37" s="144" t="b">
        <f t="shared" si="2"/>
        <v>0</v>
      </c>
      <c r="G37" s="188">
        <f t="shared" si="3"/>
        <v>44561</v>
      </c>
      <c r="H37" s="144">
        <f>VLOOKUP( $A37, Aop!$A$2:$N$415, 4, 0)</f>
        <v>36</v>
      </c>
      <c r="I37" s="144">
        <f t="shared" si="4"/>
        <v>2021</v>
      </c>
      <c r="J37" s="79">
        <f t="shared" ca="1" si="9"/>
        <v>2740284</v>
      </c>
      <c r="K37" s="79">
        <f t="shared" ca="1" si="5"/>
        <v>256330</v>
      </c>
      <c r="L37" s="79">
        <f t="shared" ca="1" si="6"/>
        <v>2483954</v>
      </c>
      <c r="M37" s="79">
        <f t="shared" ca="1" si="7"/>
        <v>2555815</v>
      </c>
    </row>
    <row r="38" spans="1:13" x14ac:dyDescent="0.2">
      <c r="A38" s="144">
        <v>38</v>
      </c>
      <c r="B38" s="144" t="str">
        <f>VLOOKUP( $A38, Aop!$A$2:$N$415, 2, 0)</f>
        <v>BSa</v>
      </c>
      <c r="C38" s="144">
        <f t="shared" si="0"/>
        <v>4</v>
      </c>
      <c r="D38" s="144" t="str">
        <f t="shared" si="1"/>
        <v>01940155</v>
      </c>
      <c r="E38" s="144" t="str">
        <f t="shared" si="8"/>
        <v>4400929510006</v>
      </c>
      <c r="F38" s="144" t="b">
        <f t="shared" si="2"/>
        <v>0</v>
      </c>
      <c r="G38" s="188">
        <f t="shared" si="3"/>
        <v>44561</v>
      </c>
      <c r="H38" s="144">
        <f>VLOOKUP( $A38, Aop!$A$2:$N$415, 4, 0)</f>
        <v>37</v>
      </c>
      <c r="I38" s="144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4">
        <v>39</v>
      </c>
      <c r="B39" s="144" t="str">
        <f>VLOOKUP( $A39, Aop!$A$2:$N$415, 2, 0)</f>
        <v>BSa</v>
      </c>
      <c r="C39" s="144">
        <f t="shared" si="0"/>
        <v>4</v>
      </c>
      <c r="D39" s="144" t="str">
        <f t="shared" si="1"/>
        <v>01940155</v>
      </c>
      <c r="E39" s="144" t="str">
        <f t="shared" si="8"/>
        <v>4400929510006</v>
      </c>
      <c r="F39" s="144" t="b">
        <f t="shared" si="2"/>
        <v>0</v>
      </c>
      <c r="G39" s="188">
        <f t="shared" si="3"/>
        <v>44561</v>
      </c>
      <c r="H39" s="144">
        <f>VLOOKUP( $A39, Aop!$A$2:$N$415, 4, 0)</f>
        <v>38</v>
      </c>
      <c r="I39" s="144">
        <f t="shared" si="4"/>
        <v>2021</v>
      </c>
      <c r="J39" s="79">
        <f t="shared" ca="1" si="9"/>
        <v>41195</v>
      </c>
      <c r="K39" s="79" t="str">
        <f t="shared" ca="1" si="5"/>
        <v/>
      </c>
      <c r="L39" s="79">
        <f t="shared" ca="1" si="6"/>
        <v>41195</v>
      </c>
      <c r="M39" s="79" t="str">
        <f t="shared" ca="1" si="7"/>
        <v/>
      </c>
    </row>
    <row r="40" spans="1:13" x14ac:dyDescent="0.2">
      <c r="A40" s="144">
        <v>40</v>
      </c>
      <c r="B40" s="144" t="str">
        <f>VLOOKUP( $A40, Aop!$A$2:$N$415, 2, 0)</f>
        <v>BSa</v>
      </c>
      <c r="C40" s="144">
        <f t="shared" si="0"/>
        <v>4</v>
      </c>
      <c r="D40" s="144" t="str">
        <f t="shared" si="1"/>
        <v>01940155</v>
      </c>
      <c r="E40" s="144" t="str">
        <f t="shared" si="8"/>
        <v>4400929510006</v>
      </c>
      <c r="F40" s="144" t="b">
        <f t="shared" si="2"/>
        <v>0</v>
      </c>
      <c r="G40" s="188">
        <f t="shared" si="3"/>
        <v>44561</v>
      </c>
      <c r="H40" s="144">
        <f>VLOOKUP( $A40, Aop!$A$2:$N$415, 4, 0)</f>
        <v>39</v>
      </c>
      <c r="I40" s="144">
        <f t="shared" si="4"/>
        <v>2021</v>
      </c>
      <c r="J40" s="79">
        <f t="shared" ca="1" si="9"/>
        <v>3654053</v>
      </c>
      <c r="K40" s="79">
        <f t="shared" ca="1" si="5"/>
        <v>0</v>
      </c>
      <c r="L40" s="79">
        <f t="shared" ca="1" si="6"/>
        <v>3654053</v>
      </c>
      <c r="M40" s="79">
        <f t="shared" ca="1" si="7"/>
        <v>2812310</v>
      </c>
    </row>
    <row r="41" spans="1:13" x14ac:dyDescent="0.2">
      <c r="A41" s="144">
        <v>41</v>
      </c>
      <c r="B41" s="144" t="str">
        <f>VLOOKUP( $A41, Aop!$A$2:$N$415, 2, 0)</f>
        <v>BSa</v>
      </c>
      <c r="C41" s="144">
        <f t="shared" si="0"/>
        <v>4</v>
      </c>
      <c r="D41" s="144" t="str">
        <f t="shared" si="1"/>
        <v>01940155</v>
      </c>
      <c r="E41" s="144" t="str">
        <f t="shared" si="8"/>
        <v>4400929510006</v>
      </c>
      <c r="F41" s="144" t="b">
        <f t="shared" si="2"/>
        <v>0</v>
      </c>
      <c r="G41" s="188">
        <f t="shared" si="3"/>
        <v>44561</v>
      </c>
      <c r="H41" s="144">
        <f>VLOOKUP( $A41, Aop!$A$2:$N$415, 4, 0)</f>
        <v>40</v>
      </c>
      <c r="I41" s="144">
        <f t="shared" si="4"/>
        <v>2021</v>
      </c>
      <c r="J41" s="79">
        <f t="shared" ca="1" si="9"/>
        <v>3418403</v>
      </c>
      <c r="K41" s="79">
        <f t="shared" ca="1" si="5"/>
        <v>0</v>
      </c>
      <c r="L41" s="79">
        <f t="shared" ca="1" si="6"/>
        <v>3418403</v>
      </c>
      <c r="M41" s="79">
        <f t="shared" ca="1" si="7"/>
        <v>2768461</v>
      </c>
    </row>
    <row r="42" spans="1:13" x14ac:dyDescent="0.2">
      <c r="A42" s="144">
        <v>42</v>
      </c>
      <c r="B42" s="144" t="str">
        <f>VLOOKUP( $A42, Aop!$A$2:$N$415, 2, 0)</f>
        <v>BSa</v>
      </c>
      <c r="C42" s="144">
        <f t="shared" si="0"/>
        <v>4</v>
      </c>
      <c r="D42" s="144" t="str">
        <f t="shared" si="1"/>
        <v>01940155</v>
      </c>
      <c r="E42" s="144" t="str">
        <f t="shared" si="8"/>
        <v>4400929510006</v>
      </c>
      <c r="F42" s="144" t="b">
        <f t="shared" si="2"/>
        <v>0</v>
      </c>
      <c r="G42" s="188">
        <f t="shared" si="3"/>
        <v>44561</v>
      </c>
      <c r="H42" s="144">
        <f>VLOOKUP( $A42, Aop!$A$2:$N$415, 4, 0)</f>
        <v>41</v>
      </c>
      <c r="I42" s="144">
        <f t="shared" si="4"/>
        <v>2021</v>
      </c>
      <c r="J42" s="79">
        <f t="shared" ca="1" si="9"/>
        <v>455319</v>
      </c>
      <c r="K42" s="79" t="str">
        <f t="shared" ca="1" si="5"/>
        <v/>
      </c>
      <c r="L42" s="79">
        <f t="shared" ca="1" si="6"/>
        <v>455319</v>
      </c>
      <c r="M42" s="79">
        <f t="shared" ca="1" si="7"/>
        <v>582040</v>
      </c>
    </row>
    <row r="43" spans="1:13" x14ac:dyDescent="0.2">
      <c r="A43" s="144">
        <v>43</v>
      </c>
      <c r="B43" s="144" t="str">
        <f>VLOOKUP( $A43, Aop!$A$2:$N$415, 2, 0)</f>
        <v>BSa</v>
      </c>
      <c r="C43" s="144">
        <f t="shared" si="0"/>
        <v>4</v>
      </c>
      <c r="D43" s="144" t="str">
        <f t="shared" si="1"/>
        <v>01940155</v>
      </c>
      <c r="E43" s="144" t="str">
        <f t="shared" si="8"/>
        <v>4400929510006</v>
      </c>
      <c r="F43" s="144" t="b">
        <f t="shared" si="2"/>
        <v>0</v>
      </c>
      <c r="G43" s="188">
        <f t="shared" si="3"/>
        <v>44561</v>
      </c>
      <c r="H43" s="144">
        <f>VLOOKUP( $A43, Aop!$A$2:$N$415, 4, 0)</f>
        <v>42</v>
      </c>
      <c r="I43" s="144">
        <f t="shared" si="4"/>
        <v>2021</v>
      </c>
      <c r="J43" s="79">
        <f t="shared" ca="1" si="9"/>
        <v>1603853</v>
      </c>
      <c r="K43" s="79" t="str">
        <f t="shared" ca="1" si="5"/>
        <v/>
      </c>
      <c r="L43" s="79">
        <f t="shared" ca="1" si="6"/>
        <v>1603853</v>
      </c>
      <c r="M43" s="79">
        <f t="shared" ca="1" si="7"/>
        <v>1384319</v>
      </c>
    </row>
    <row r="44" spans="1:13" x14ac:dyDescent="0.2">
      <c r="A44" s="144">
        <v>44</v>
      </c>
      <c r="B44" s="144" t="str">
        <f>VLOOKUP( $A44, Aop!$A$2:$N$415, 2, 0)</f>
        <v>BSa</v>
      </c>
      <c r="C44" s="144">
        <f t="shared" si="0"/>
        <v>4</v>
      </c>
      <c r="D44" s="144" t="str">
        <f t="shared" si="1"/>
        <v>01940155</v>
      </c>
      <c r="E44" s="144" t="str">
        <f t="shared" si="8"/>
        <v>4400929510006</v>
      </c>
      <c r="F44" s="144" t="b">
        <f t="shared" si="2"/>
        <v>0</v>
      </c>
      <c r="G44" s="188">
        <f t="shared" si="3"/>
        <v>44561</v>
      </c>
      <c r="H44" s="144">
        <f>VLOOKUP( $A44, Aop!$A$2:$N$415, 4, 0)</f>
        <v>43</v>
      </c>
      <c r="I44" s="144">
        <f t="shared" si="4"/>
        <v>2021</v>
      </c>
      <c r="J44" s="79">
        <f t="shared" ca="1" si="9"/>
        <v>1310047</v>
      </c>
      <c r="K44" s="79" t="str">
        <f t="shared" ca="1" si="5"/>
        <v/>
      </c>
      <c r="L44" s="79">
        <f t="shared" ca="1" si="6"/>
        <v>1310047</v>
      </c>
      <c r="M44" s="79">
        <f t="shared" ca="1" si="7"/>
        <v>796732</v>
      </c>
    </row>
    <row r="45" spans="1:13" x14ac:dyDescent="0.2">
      <c r="A45" s="144">
        <v>45</v>
      </c>
      <c r="B45" s="144" t="str">
        <f>VLOOKUP( $A45, Aop!$A$2:$N$415, 2, 0)</f>
        <v>BSa</v>
      </c>
      <c r="C45" s="144">
        <f t="shared" si="0"/>
        <v>4</v>
      </c>
      <c r="D45" s="144" t="str">
        <f t="shared" si="1"/>
        <v>01940155</v>
      </c>
      <c r="E45" s="144" t="str">
        <f t="shared" si="8"/>
        <v>4400929510006</v>
      </c>
      <c r="F45" s="144" t="b">
        <f t="shared" si="2"/>
        <v>0</v>
      </c>
      <c r="G45" s="188">
        <f t="shared" si="3"/>
        <v>44561</v>
      </c>
      <c r="H45" s="144">
        <f>VLOOKUP( $A45, Aop!$A$2:$N$415, 4, 0)</f>
        <v>44</v>
      </c>
      <c r="I45" s="144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4">
        <v>46</v>
      </c>
      <c r="B46" s="144" t="str">
        <f>VLOOKUP( $A46, Aop!$A$2:$N$415, 2, 0)</f>
        <v>BSa</v>
      </c>
      <c r="C46" s="144">
        <f t="shared" si="0"/>
        <v>4</v>
      </c>
      <c r="D46" s="144" t="str">
        <f t="shared" si="1"/>
        <v>01940155</v>
      </c>
      <c r="E46" s="144" t="str">
        <f t="shared" si="8"/>
        <v>4400929510006</v>
      </c>
      <c r="F46" s="144" t="b">
        <f t="shared" si="2"/>
        <v>0</v>
      </c>
      <c r="G46" s="188">
        <f t="shared" si="3"/>
        <v>44561</v>
      </c>
      <c r="H46" s="144">
        <f>VLOOKUP( $A46, Aop!$A$2:$N$415, 4, 0)</f>
        <v>45</v>
      </c>
      <c r="I46" s="144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4">
        <v>47</v>
      </c>
      <c r="B47" s="144" t="str">
        <f>VLOOKUP( $A47, Aop!$A$2:$N$415, 2, 0)</f>
        <v>BSa</v>
      </c>
      <c r="C47" s="144">
        <f t="shared" si="0"/>
        <v>4</v>
      </c>
      <c r="D47" s="144" t="str">
        <f t="shared" si="1"/>
        <v>01940155</v>
      </c>
      <c r="E47" s="144" t="str">
        <f t="shared" si="8"/>
        <v>4400929510006</v>
      </c>
      <c r="F47" s="144" t="b">
        <f t="shared" si="2"/>
        <v>0</v>
      </c>
      <c r="G47" s="188">
        <f t="shared" si="3"/>
        <v>44561</v>
      </c>
      <c r="H47" s="144">
        <f>VLOOKUP( $A47, Aop!$A$2:$N$415, 4, 0)</f>
        <v>46</v>
      </c>
      <c r="I47" s="144">
        <f t="shared" si="4"/>
        <v>2021</v>
      </c>
      <c r="J47" s="79">
        <f t="shared" ca="1" si="9"/>
        <v>49184</v>
      </c>
      <c r="K47" s="79" t="str">
        <f t="shared" ca="1" si="5"/>
        <v/>
      </c>
      <c r="L47" s="79">
        <f t="shared" ca="1" si="6"/>
        <v>49184</v>
      </c>
      <c r="M47" s="79">
        <f t="shared" ca="1" si="7"/>
        <v>5370</v>
      </c>
    </row>
    <row r="48" spans="1:13" x14ac:dyDescent="0.2">
      <c r="A48" s="144">
        <v>48</v>
      </c>
      <c r="B48" s="144" t="str">
        <f>VLOOKUP( $A48, Aop!$A$2:$N$415, 2, 0)</f>
        <v>BSa</v>
      </c>
      <c r="C48" s="144">
        <f t="shared" si="0"/>
        <v>4</v>
      </c>
      <c r="D48" s="144" t="str">
        <f t="shared" si="1"/>
        <v>01940155</v>
      </c>
      <c r="E48" s="144" t="str">
        <f t="shared" si="8"/>
        <v>4400929510006</v>
      </c>
      <c r="F48" s="144" t="b">
        <f t="shared" si="2"/>
        <v>0</v>
      </c>
      <c r="G48" s="188">
        <f t="shared" si="3"/>
        <v>44561</v>
      </c>
      <c r="H48" s="144">
        <f>VLOOKUP( $A48, Aop!$A$2:$N$415, 4, 0)</f>
        <v>47</v>
      </c>
      <c r="I48" s="144">
        <f t="shared" si="4"/>
        <v>2021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4">
        <v>49</v>
      </c>
      <c r="B49" s="144" t="str">
        <f>VLOOKUP( $A49, Aop!$A$2:$N$415, 2, 0)</f>
        <v>BSa</v>
      </c>
      <c r="C49" s="144">
        <f t="shared" si="0"/>
        <v>4</v>
      </c>
      <c r="D49" s="144" t="str">
        <f t="shared" si="1"/>
        <v>01940155</v>
      </c>
      <c r="E49" s="144" t="str">
        <f t="shared" si="8"/>
        <v>4400929510006</v>
      </c>
      <c r="F49" s="144" t="b">
        <f t="shared" si="2"/>
        <v>0</v>
      </c>
      <c r="G49" s="188">
        <f t="shared" si="3"/>
        <v>44561</v>
      </c>
      <c r="H49" s="144">
        <f>VLOOKUP( $A49, Aop!$A$2:$N$415, 4, 0)</f>
        <v>48</v>
      </c>
      <c r="I49" s="144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4">
        <v>50</v>
      </c>
      <c r="B50" s="144" t="str">
        <f>VLOOKUP( $A50, Aop!$A$2:$N$415, 2, 0)</f>
        <v>BSa</v>
      </c>
      <c r="C50" s="144">
        <f t="shared" si="0"/>
        <v>4</v>
      </c>
      <c r="D50" s="144" t="str">
        <f t="shared" si="1"/>
        <v>01940155</v>
      </c>
      <c r="E50" s="144" t="str">
        <f t="shared" si="8"/>
        <v>4400929510006</v>
      </c>
      <c r="F50" s="144" t="b">
        <f t="shared" si="2"/>
        <v>0</v>
      </c>
      <c r="G50" s="188">
        <f t="shared" si="3"/>
        <v>44561</v>
      </c>
      <c r="H50" s="144">
        <f>VLOOKUP( $A50, Aop!$A$2:$N$415, 4, 0)</f>
        <v>49</v>
      </c>
      <c r="I50" s="144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4">
        <v>51</v>
      </c>
      <c r="B51" s="144" t="str">
        <f>VLOOKUP( $A51, Aop!$A$2:$N$415, 2, 0)</f>
        <v>BSa</v>
      </c>
      <c r="C51" s="144">
        <f t="shared" si="0"/>
        <v>4</v>
      </c>
      <c r="D51" s="144" t="str">
        <f t="shared" si="1"/>
        <v>01940155</v>
      </c>
      <c r="E51" s="144" t="str">
        <f t="shared" si="8"/>
        <v>4400929510006</v>
      </c>
      <c r="F51" s="144" t="b">
        <f t="shared" si="2"/>
        <v>0</v>
      </c>
      <c r="G51" s="188">
        <f t="shared" si="3"/>
        <v>44561</v>
      </c>
      <c r="H51" s="144">
        <f>VLOOKUP( $A51, Aop!$A$2:$N$415, 4, 0)</f>
        <v>50</v>
      </c>
      <c r="I51" s="144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4">
        <v>52</v>
      </c>
      <c r="B52" s="144" t="str">
        <f>VLOOKUP( $A52, Aop!$A$2:$N$415, 2, 0)</f>
        <v>BSa</v>
      </c>
      <c r="C52" s="144">
        <f t="shared" si="0"/>
        <v>4</v>
      </c>
      <c r="D52" s="144" t="str">
        <f t="shared" si="1"/>
        <v>01940155</v>
      </c>
      <c r="E52" s="144" t="str">
        <f t="shared" si="8"/>
        <v>4400929510006</v>
      </c>
      <c r="F52" s="144" t="b">
        <f t="shared" si="2"/>
        <v>0</v>
      </c>
      <c r="G52" s="188">
        <f t="shared" si="3"/>
        <v>44561</v>
      </c>
      <c r="H52" s="144">
        <f>VLOOKUP( $A52, Aop!$A$2:$N$415, 4, 0)</f>
        <v>51</v>
      </c>
      <c r="I52" s="144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4">
        <v>53</v>
      </c>
      <c r="B53" s="144" t="str">
        <f>VLOOKUP( $A53, Aop!$A$2:$N$415, 2, 0)</f>
        <v>BSa</v>
      </c>
      <c r="C53" s="144">
        <f t="shared" si="0"/>
        <v>4</v>
      </c>
      <c r="D53" s="144" t="str">
        <f t="shared" si="1"/>
        <v>01940155</v>
      </c>
      <c r="E53" s="144" t="str">
        <f t="shared" si="8"/>
        <v>4400929510006</v>
      </c>
      <c r="F53" s="144" t="b">
        <f t="shared" si="2"/>
        <v>0</v>
      </c>
      <c r="G53" s="188">
        <f t="shared" si="3"/>
        <v>44561</v>
      </c>
      <c r="H53" s="144">
        <f>VLOOKUP( $A53, Aop!$A$2:$N$415, 4, 0)</f>
        <v>52</v>
      </c>
      <c r="I53" s="144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4">
        <v>54</v>
      </c>
      <c r="B54" s="144" t="str">
        <f>VLOOKUP( $A54, Aop!$A$2:$N$415, 2, 0)</f>
        <v>BSa</v>
      </c>
      <c r="C54" s="144">
        <f t="shared" si="0"/>
        <v>4</v>
      </c>
      <c r="D54" s="144" t="str">
        <f t="shared" si="1"/>
        <v>01940155</v>
      </c>
      <c r="E54" s="144" t="str">
        <f t="shared" si="8"/>
        <v>4400929510006</v>
      </c>
      <c r="F54" s="144" t="b">
        <f t="shared" si="2"/>
        <v>0</v>
      </c>
      <c r="G54" s="188">
        <f t="shared" si="3"/>
        <v>44561</v>
      </c>
      <c r="H54" s="144">
        <f>VLOOKUP( $A54, Aop!$A$2:$N$415, 4, 0)</f>
        <v>53</v>
      </c>
      <c r="I54" s="144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4">
        <v>55</v>
      </c>
      <c r="B55" s="144" t="str">
        <f>VLOOKUP( $A55, Aop!$A$2:$N$415, 2, 0)</f>
        <v>BSa</v>
      </c>
      <c r="C55" s="144">
        <f t="shared" si="0"/>
        <v>4</v>
      </c>
      <c r="D55" s="144" t="str">
        <f t="shared" si="1"/>
        <v>01940155</v>
      </c>
      <c r="E55" s="144" t="str">
        <f t="shared" si="8"/>
        <v>4400929510006</v>
      </c>
      <c r="F55" s="144" t="b">
        <f t="shared" si="2"/>
        <v>0</v>
      </c>
      <c r="G55" s="188">
        <f t="shared" si="3"/>
        <v>44561</v>
      </c>
      <c r="H55" s="144">
        <f>VLOOKUP( $A55, Aop!$A$2:$N$415, 4, 0)</f>
        <v>54</v>
      </c>
      <c r="I55" s="144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4">
        <v>56</v>
      </c>
      <c r="B56" s="144" t="str">
        <f>VLOOKUP( $A56, Aop!$A$2:$N$415, 2, 0)</f>
        <v>BSa</v>
      </c>
      <c r="C56" s="144">
        <f t="shared" si="0"/>
        <v>4</v>
      </c>
      <c r="D56" s="144" t="str">
        <f t="shared" si="1"/>
        <v>01940155</v>
      </c>
      <c r="E56" s="144" t="str">
        <f t="shared" si="8"/>
        <v>4400929510006</v>
      </c>
      <c r="F56" s="144" t="b">
        <f t="shared" si="2"/>
        <v>0</v>
      </c>
      <c r="G56" s="188">
        <f t="shared" si="3"/>
        <v>44561</v>
      </c>
      <c r="H56" s="144">
        <f>VLOOKUP( $A56, Aop!$A$2:$N$415, 4, 0)</f>
        <v>55</v>
      </c>
      <c r="I56" s="144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4">
        <v>57</v>
      </c>
      <c r="B57" s="144" t="str">
        <f>VLOOKUP( $A57, Aop!$A$2:$N$415, 2, 0)</f>
        <v>BSa</v>
      </c>
      <c r="C57" s="144">
        <f t="shared" si="0"/>
        <v>4</v>
      </c>
      <c r="D57" s="144" t="str">
        <f t="shared" si="1"/>
        <v>01940155</v>
      </c>
      <c r="E57" s="144" t="str">
        <f t="shared" si="8"/>
        <v>4400929510006</v>
      </c>
      <c r="F57" s="144" t="b">
        <f t="shared" si="2"/>
        <v>0</v>
      </c>
      <c r="G57" s="188">
        <f t="shared" si="3"/>
        <v>44561</v>
      </c>
      <c r="H57" s="144">
        <f>VLOOKUP( $A57, Aop!$A$2:$N$415, 4, 0)</f>
        <v>56</v>
      </c>
      <c r="I57" s="144">
        <f t="shared" si="4"/>
        <v>2021</v>
      </c>
      <c r="J57" s="79">
        <f t="shared" ca="1" si="9"/>
        <v>228552</v>
      </c>
      <c r="K57" s="79">
        <f t="shared" ca="1" si="5"/>
        <v>0</v>
      </c>
      <c r="L57" s="79">
        <f t="shared" ca="1" si="6"/>
        <v>228552</v>
      </c>
      <c r="M57" s="79">
        <f t="shared" ca="1" si="7"/>
        <v>26133</v>
      </c>
    </row>
    <row r="58" spans="1:13" x14ac:dyDescent="0.2">
      <c r="A58" s="144">
        <v>58</v>
      </c>
      <c r="B58" s="144" t="str">
        <f>VLOOKUP( $A58, Aop!$A$2:$N$415, 2, 0)</f>
        <v>BSa</v>
      </c>
      <c r="C58" s="144">
        <f t="shared" si="0"/>
        <v>4</v>
      </c>
      <c r="D58" s="144" t="str">
        <f t="shared" si="1"/>
        <v>01940155</v>
      </c>
      <c r="E58" s="144" t="str">
        <f t="shared" si="8"/>
        <v>4400929510006</v>
      </c>
      <c r="F58" s="144" t="b">
        <f t="shared" si="2"/>
        <v>0</v>
      </c>
      <c r="G58" s="188">
        <f t="shared" si="3"/>
        <v>44561</v>
      </c>
      <c r="H58" s="144">
        <f>VLOOKUP( $A58, Aop!$A$2:$N$415, 4, 0)</f>
        <v>57</v>
      </c>
      <c r="I58" s="144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4">
        <v>59</v>
      </c>
      <c r="B59" s="144" t="str">
        <f>VLOOKUP( $A59, Aop!$A$2:$N$415, 2, 0)</f>
        <v>BSa</v>
      </c>
      <c r="C59" s="144">
        <f t="shared" si="0"/>
        <v>4</v>
      </c>
      <c r="D59" s="144" t="str">
        <f t="shared" si="1"/>
        <v>01940155</v>
      </c>
      <c r="E59" s="144" t="str">
        <f t="shared" si="8"/>
        <v>4400929510006</v>
      </c>
      <c r="F59" s="144" t="b">
        <f t="shared" si="2"/>
        <v>0</v>
      </c>
      <c r="G59" s="188">
        <f t="shared" si="3"/>
        <v>44561</v>
      </c>
      <c r="H59" s="144">
        <f>VLOOKUP( $A59, Aop!$A$2:$N$415, 4, 0)</f>
        <v>58</v>
      </c>
      <c r="I59" s="144">
        <f t="shared" si="4"/>
        <v>2021</v>
      </c>
      <c r="J59" s="79">
        <f t="shared" ca="1" si="9"/>
        <v>228552</v>
      </c>
      <c r="K59" s="79" t="str">
        <f t="shared" ca="1" si="5"/>
        <v/>
      </c>
      <c r="L59" s="79">
        <f t="shared" ca="1" si="6"/>
        <v>228552</v>
      </c>
      <c r="M59" s="79">
        <f t="shared" ca="1" si="7"/>
        <v>26133</v>
      </c>
    </row>
    <row r="60" spans="1:13" x14ac:dyDescent="0.2">
      <c r="A60" s="144">
        <v>60</v>
      </c>
      <c r="B60" s="144" t="str">
        <f>VLOOKUP( $A60, Aop!$A$2:$N$415, 2, 0)</f>
        <v>BSa</v>
      </c>
      <c r="C60" s="144">
        <f t="shared" si="0"/>
        <v>4</v>
      </c>
      <c r="D60" s="144" t="str">
        <f t="shared" si="1"/>
        <v>01940155</v>
      </c>
      <c r="E60" s="144" t="str">
        <f t="shared" si="8"/>
        <v>4400929510006</v>
      </c>
      <c r="F60" s="144" t="b">
        <f t="shared" si="2"/>
        <v>0</v>
      </c>
      <c r="G60" s="188">
        <f t="shared" si="3"/>
        <v>44561</v>
      </c>
      <c r="H60" s="144">
        <f>VLOOKUP( $A60, Aop!$A$2:$N$415, 4, 0)</f>
        <v>59</v>
      </c>
      <c r="I60" s="144">
        <f t="shared" si="4"/>
        <v>2021</v>
      </c>
      <c r="J60" s="79">
        <f t="shared" ca="1" si="9"/>
        <v>281</v>
      </c>
      <c r="K60" s="79" t="str">
        <f t="shared" ca="1" si="5"/>
        <v/>
      </c>
      <c r="L60" s="79">
        <f t="shared" ca="1" si="6"/>
        <v>281</v>
      </c>
      <c r="M60" s="79">
        <f t="shared" ca="1" si="7"/>
        <v>153</v>
      </c>
    </row>
    <row r="61" spans="1:13" x14ac:dyDescent="0.2">
      <c r="A61" s="144">
        <v>61</v>
      </c>
      <c r="B61" s="144" t="str">
        <f>VLOOKUP( $A61, Aop!$A$2:$N$415, 2, 0)</f>
        <v>BSa</v>
      </c>
      <c r="C61" s="144">
        <f t="shared" si="0"/>
        <v>4</v>
      </c>
      <c r="D61" s="144" t="str">
        <f t="shared" si="1"/>
        <v>01940155</v>
      </c>
      <c r="E61" s="144" t="str">
        <f t="shared" si="8"/>
        <v>4400929510006</v>
      </c>
      <c r="F61" s="144" t="b">
        <f t="shared" si="2"/>
        <v>0</v>
      </c>
      <c r="G61" s="188">
        <f t="shared" si="3"/>
        <v>44561</v>
      </c>
      <c r="H61" s="144">
        <f>VLOOKUP( $A61, Aop!$A$2:$N$415, 4, 0)</f>
        <v>60</v>
      </c>
      <c r="I61" s="144">
        <f t="shared" si="4"/>
        <v>2021</v>
      </c>
      <c r="J61" s="79">
        <f t="shared" ca="1" si="9"/>
        <v>6817</v>
      </c>
      <c r="K61" s="79" t="str">
        <f t="shared" ca="1" si="5"/>
        <v/>
      </c>
      <c r="L61" s="79">
        <f t="shared" ca="1" si="6"/>
        <v>6817</v>
      </c>
      <c r="M61" s="79">
        <f t="shared" ca="1" si="7"/>
        <v>17563</v>
      </c>
    </row>
    <row r="62" spans="1:13" x14ac:dyDescent="0.2">
      <c r="A62" s="144">
        <v>62</v>
      </c>
      <c r="B62" s="144" t="str">
        <f>VLOOKUP( $A62, Aop!$A$2:$N$415, 2, 0)</f>
        <v>BSa</v>
      </c>
      <c r="C62" s="144">
        <f t="shared" si="0"/>
        <v>4</v>
      </c>
      <c r="D62" s="144" t="str">
        <f t="shared" si="1"/>
        <v>01940155</v>
      </c>
      <c r="E62" s="144" t="str">
        <f t="shared" si="8"/>
        <v>4400929510006</v>
      </c>
      <c r="F62" s="144" t="b">
        <f t="shared" si="2"/>
        <v>0</v>
      </c>
      <c r="G62" s="188">
        <f t="shared" si="3"/>
        <v>44561</v>
      </c>
      <c r="H62" s="144">
        <f>VLOOKUP( $A62, Aop!$A$2:$N$415, 4, 0)</f>
        <v>61</v>
      </c>
      <c r="I62" s="144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4">
        <v>63</v>
      </c>
      <c r="B63" s="144" t="str">
        <f>VLOOKUP( $A63, Aop!$A$2:$N$415, 2, 0)</f>
        <v>BSa</v>
      </c>
      <c r="C63" s="144">
        <f t="shared" si="0"/>
        <v>4</v>
      </c>
      <c r="D63" s="144" t="str">
        <f t="shared" si="1"/>
        <v>01940155</v>
      </c>
      <c r="E63" s="144" t="str">
        <f t="shared" si="8"/>
        <v>4400929510006</v>
      </c>
      <c r="F63" s="144" t="b">
        <f t="shared" si="2"/>
        <v>0</v>
      </c>
      <c r="G63" s="188">
        <f t="shared" si="3"/>
        <v>44561</v>
      </c>
      <c r="H63" s="144">
        <f>VLOOKUP( $A63, Aop!$A$2:$N$415, 4, 0)</f>
        <v>62</v>
      </c>
      <c r="I63" s="144">
        <f t="shared" si="4"/>
        <v>2021</v>
      </c>
      <c r="J63" s="79">
        <f t="shared" ca="1" si="9"/>
        <v>13102408</v>
      </c>
      <c r="K63" s="79">
        <f t="shared" ca="1" si="5"/>
        <v>3214526</v>
      </c>
      <c r="L63" s="79">
        <f t="shared" ca="1" si="6"/>
        <v>9887882</v>
      </c>
      <c r="M63" s="79">
        <f t="shared" ca="1" si="7"/>
        <v>9074711</v>
      </c>
    </row>
    <row r="64" spans="1:13" x14ac:dyDescent="0.2">
      <c r="A64" s="144">
        <v>64</v>
      </c>
      <c r="B64" s="144" t="str">
        <f>VLOOKUP( $A64, Aop!$A$2:$N$415, 2, 0)</f>
        <v>BSa</v>
      </c>
      <c r="C64" s="144">
        <f t="shared" si="0"/>
        <v>4</v>
      </c>
      <c r="D64" s="144" t="str">
        <f t="shared" si="1"/>
        <v>01940155</v>
      </c>
      <c r="E64" s="144" t="str">
        <f t="shared" si="8"/>
        <v>4400929510006</v>
      </c>
      <c r="F64" s="144" t="b">
        <f t="shared" si="2"/>
        <v>0</v>
      </c>
      <c r="G64" s="188">
        <f t="shared" si="3"/>
        <v>44561</v>
      </c>
      <c r="H64" s="144">
        <f>VLOOKUP( $A64, Aop!$A$2:$N$415, 4, 0)</f>
        <v>63</v>
      </c>
      <c r="I64" s="144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4">
        <v>65</v>
      </c>
      <c r="B65" s="144" t="str">
        <f>VLOOKUP( $A65, Aop!$A$2:$N$415, 2, 0)</f>
        <v>BSa</v>
      </c>
      <c r="C65" s="144">
        <f t="shared" si="0"/>
        <v>4</v>
      </c>
      <c r="D65" s="144" t="str">
        <f t="shared" si="1"/>
        <v>01940155</v>
      </c>
      <c r="E65" s="144" t="str">
        <f t="shared" si="8"/>
        <v>4400929510006</v>
      </c>
      <c r="F65" s="144" t="b">
        <f t="shared" si="2"/>
        <v>0</v>
      </c>
      <c r="G65" s="188">
        <f t="shared" si="3"/>
        <v>44561</v>
      </c>
      <c r="H65" s="144">
        <f>VLOOKUP( $A65, Aop!$A$2:$N$415, 4, 0)</f>
        <v>64</v>
      </c>
      <c r="I65" s="144">
        <f t="shared" si="4"/>
        <v>2021</v>
      </c>
      <c r="J65" s="79">
        <f t="shared" ca="1" si="9"/>
        <v>13102408</v>
      </c>
      <c r="K65" s="79">
        <f t="shared" ca="1" si="5"/>
        <v>3214526</v>
      </c>
      <c r="L65" s="79">
        <f t="shared" ca="1" si="6"/>
        <v>9887882</v>
      </c>
      <c r="M65" s="79">
        <f t="shared" ca="1" si="7"/>
        <v>9074711</v>
      </c>
    </row>
    <row r="66" spans="1:13" x14ac:dyDescent="0.2">
      <c r="A66" s="144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01940155</v>
      </c>
      <c r="E66" s="79" t="str">
        <f>Podatak_JIB</f>
        <v>4400929510006</v>
      </c>
      <c r="F66" s="79" t="b">
        <f>Konsolidovan_izvjestaj</f>
        <v>0</v>
      </c>
      <c r="G66" s="188">
        <f>Datum_Broj</f>
        <v>44561</v>
      </c>
      <c r="H66" s="79">
        <f>VLOOKUP( $A66, Aop!$A$2:$N$415, 4, 0)</f>
        <v>65</v>
      </c>
      <c r="I66" s="79">
        <f>Godina</f>
        <v>2021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4">
        <v>67</v>
      </c>
      <c r="B67" s="144" t="str">
        <f>VLOOKUP( $A67, Aop!$A$2:$N$415, 2, 0)</f>
        <v>BSa</v>
      </c>
      <c r="C67" s="144">
        <f t="shared" ref="C67:C129" si="13">ID_Izvjestaj</f>
        <v>4</v>
      </c>
      <c r="D67" s="144" t="str">
        <f t="shared" ref="D67:D127" si="14">Podatak_MB</f>
        <v>01940155</v>
      </c>
      <c r="E67" s="144" t="str">
        <f t="shared" ref="E67:E127" si="15">Podatak_JIB</f>
        <v>4400929510006</v>
      </c>
      <c r="F67" s="144" t="b">
        <f t="shared" ref="F67:F129" si="16">Konsolidovan_izvjestaj</f>
        <v>0</v>
      </c>
      <c r="G67" s="188">
        <f t="shared" ref="G67:G129" si="17">Datum_Broj</f>
        <v>44561</v>
      </c>
      <c r="H67" s="144">
        <f>VLOOKUP( $A67, Aop!$A$2:$N$415, 4, 0)</f>
        <v>66</v>
      </c>
      <c r="I67" s="144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13102408</v>
      </c>
      <c r="K67" s="79">
        <f t="shared" ca="1" si="10"/>
        <v>3214526</v>
      </c>
      <c r="L67" s="79">
        <f t="shared" ca="1" si="11"/>
        <v>9887882</v>
      </c>
      <c r="M67" s="79">
        <f t="shared" ca="1" si="12"/>
        <v>9074711</v>
      </c>
    </row>
    <row r="68" spans="1:13" x14ac:dyDescent="0.2">
      <c r="A68" s="144">
        <v>69</v>
      </c>
      <c r="B68" s="144" t="str">
        <f>VLOOKUP( $A68, Aop!$A$2:$N$415, 2, 0)</f>
        <v>BSp</v>
      </c>
      <c r="C68" s="144">
        <f t="shared" si="13"/>
        <v>4</v>
      </c>
      <c r="D68" s="144" t="str">
        <f t="shared" si="14"/>
        <v>01940155</v>
      </c>
      <c r="E68" s="144" t="str">
        <f t="shared" si="15"/>
        <v>4400929510006</v>
      </c>
      <c r="F68" s="144" t="b">
        <f t="shared" si="16"/>
        <v>0</v>
      </c>
      <c r="G68" s="188">
        <f t="shared" si="17"/>
        <v>44561</v>
      </c>
      <c r="H68" s="144">
        <f>VLOOKUP( $A68, Aop!$A$2:$N$415, 4, 0)</f>
        <v>101</v>
      </c>
      <c r="I68" s="144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3727884</v>
      </c>
      <c r="M68" s="79">
        <f t="shared" ca="1" si="12"/>
        <v>3288914</v>
      </c>
    </row>
    <row r="69" spans="1:13" x14ac:dyDescent="0.2">
      <c r="A69" s="144">
        <v>70</v>
      </c>
      <c r="B69" s="144" t="str">
        <f>VLOOKUP( $A69, Aop!$A$2:$N$415, 2, 0)</f>
        <v>BSp</v>
      </c>
      <c r="C69" s="144">
        <f t="shared" si="13"/>
        <v>4</v>
      </c>
      <c r="D69" s="144" t="str">
        <f t="shared" si="14"/>
        <v>01940155</v>
      </c>
      <c r="E69" s="144" t="str">
        <f t="shared" si="15"/>
        <v>4400929510006</v>
      </c>
      <c r="F69" s="144" t="b">
        <f t="shared" si="16"/>
        <v>0</v>
      </c>
      <c r="G69" s="188">
        <f t="shared" si="17"/>
        <v>44561</v>
      </c>
      <c r="H69" s="144">
        <f>VLOOKUP( $A69, Aop!$A$2:$N$415, 4, 0)</f>
        <v>102</v>
      </c>
      <c r="I69" s="144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2833016</v>
      </c>
      <c r="M69" s="79">
        <f t="shared" ca="1" si="12"/>
        <v>2833016</v>
      </c>
    </row>
    <row r="70" spans="1:13" x14ac:dyDescent="0.2">
      <c r="A70" s="144">
        <v>71</v>
      </c>
      <c r="B70" s="144" t="str">
        <f>VLOOKUP( $A70, Aop!$A$2:$N$415, 2, 0)</f>
        <v>BSp</v>
      </c>
      <c r="C70" s="144">
        <f t="shared" si="13"/>
        <v>4</v>
      </c>
      <c r="D70" s="144" t="str">
        <f t="shared" si="14"/>
        <v>01940155</v>
      </c>
      <c r="E70" s="144" t="str">
        <f t="shared" si="15"/>
        <v>4400929510006</v>
      </c>
      <c r="F70" s="144" t="b">
        <f t="shared" si="16"/>
        <v>0</v>
      </c>
      <c r="G70" s="188">
        <f t="shared" si="17"/>
        <v>44561</v>
      </c>
      <c r="H70" s="144">
        <f>VLOOKUP( $A70, Aop!$A$2:$N$415, 4, 0)</f>
        <v>103</v>
      </c>
      <c r="I70" s="144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2833016</v>
      </c>
      <c r="M70" s="79">
        <f t="shared" ca="1" si="12"/>
        <v>2833016</v>
      </c>
    </row>
    <row r="71" spans="1:13" x14ac:dyDescent="0.2">
      <c r="A71" s="144">
        <v>72</v>
      </c>
      <c r="B71" s="144" t="str">
        <f>VLOOKUP( $A71, Aop!$A$2:$N$415, 2, 0)</f>
        <v>BSp</v>
      </c>
      <c r="C71" s="144">
        <f t="shared" si="13"/>
        <v>4</v>
      </c>
      <c r="D71" s="144" t="str">
        <f t="shared" si="14"/>
        <v>01940155</v>
      </c>
      <c r="E71" s="144" t="str">
        <f t="shared" si="15"/>
        <v>4400929510006</v>
      </c>
      <c r="F71" s="144" t="b">
        <f t="shared" si="16"/>
        <v>0</v>
      </c>
      <c r="G71" s="188">
        <f t="shared" si="17"/>
        <v>44561</v>
      </c>
      <c r="H71" s="144">
        <f>VLOOKUP( $A71, Aop!$A$2:$N$415, 4, 0)</f>
        <v>104</v>
      </c>
      <c r="I71" s="144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4">
        <v>73</v>
      </c>
      <c r="B72" s="144" t="str">
        <f>VLOOKUP( $A72, Aop!$A$2:$N$415, 2, 0)</f>
        <v>BSp</v>
      </c>
      <c r="C72" s="144">
        <f t="shared" si="13"/>
        <v>4</v>
      </c>
      <c r="D72" s="144" t="str">
        <f t="shared" si="14"/>
        <v>01940155</v>
      </c>
      <c r="E72" s="144" t="str">
        <f t="shared" si="15"/>
        <v>4400929510006</v>
      </c>
      <c r="F72" s="144" t="b">
        <f t="shared" si="16"/>
        <v>0</v>
      </c>
      <c r="G72" s="188">
        <f t="shared" si="17"/>
        <v>44561</v>
      </c>
      <c r="H72" s="144">
        <f>VLOOKUP( $A72, Aop!$A$2:$N$415, 4, 0)</f>
        <v>105</v>
      </c>
      <c r="I72" s="144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4">
        <v>74</v>
      </c>
      <c r="B73" s="144" t="str">
        <f>VLOOKUP( $A73, Aop!$A$2:$N$415, 2, 0)</f>
        <v>BSp</v>
      </c>
      <c r="C73" s="144">
        <f t="shared" si="13"/>
        <v>4</v>
      </c>
      <c r="D73" s="144" t="str">
        <f t="shared" si="14"/>
        <v>01940155</v>
      </c>
      <c r="E73" s="144" t="str">
        <f t="shared" si="15"/>
        <v>4400929510006</v>
      </c>
      <c r="F73" s="144" t="b">
        <f t="shared" si="16"/>
        <v>0</v>
      </c>
      <c r="G73" s="188">
        <f t="shared" si="17"/>
        <v>44561</v>
      </c>
      <c r="H73" s="144">
        <f>VLOOKUP( $A73, Aop!$A$2:$N$415, 4, 0)</f>
        <v>106</v>
      </c>
      <c r="I73" s="144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4">
        <v>75</v>
      </c>
      <c r="B74" s="144" t="str">
        <f>VLOOKUP( $A74, Aop!$A$2:$N$415, 2, 0)</f>
        <v>BSp</v>
      </c>
      <c r="C74" s="144">
        <f t="shared" si="13"/>
        <v>4</v>
      </c>
      <c r="D74" s="144" t="str">
        <f t="shared" si="14"/>
        <v>01940155</v>
      </c>
      <c r="E74" s="144" t="str">
        <f t="shared" si="15"/>
        <v>4400929510006</v>
      </c>
      <c r="F74" s="144" t="b">
        <f t="shared" si="16"/>
        <v>0</v>
      </c>
      <c r="G74" s="188">
        <f t="shared" si="17"/>
        <v>44561</v>
      </c>
      <c r="H74" s="144">
        <f>VLOOKUP( $A74, Aop!$A$2:$N$415, 4, 0)</f>
        <v>107</v>
      </c>
      <c r="I74" s="144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4">
        <v>76</v>
      </c>
      <c r="B75" s="144" t="str">
        <f>VLOOKUP( $A75, Aop!$A$2:$N$415, 2, 0)</f>
        <v>BSp</v>
      </c>
      <c r="C75" s="144">
        <f t="shared" si="13"/>
        <v>4</v>
      </c>
      <c r="D75" s="144" t="str">
        <f t="shared" si="14"/>
        <v>01940155</v>
      </c>
      <c r="E75" s="144" t="str">
        <f t="shared" si="15"/>
        <v>4400929510006</v>
      </c>
      <c r="F75" s="144" t="b">
        <f t="shared" si="16"/>
        <v>0</v>
      </c>
      <c r="G75" s="188">
        <f t="shared" si="17"/>
        <v>44561</v>
      </c>
      <c r="H75" s="144">
        <f>VLOOKUP( $A75, Aop!$A$2:$N$415, 4, 0)</f>
        <v>108</v>
      </c>
      <c r="I75" s="144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4">
        <v>77</v>
      </c>
      <c r="B76" s="144" t="str">
        <f>VLOOKUP( $A76, Aop!$A$2:$N$415, 2, 0)</f>
        <v>BSp</v>
      </c>
      <c r="C76" s="144">
        <f t="shared" si="13"/>
        <v>4</v>
      </c>
      <c r="D76" s="144" t="str">
        <f t="shared" si="14"/>
        <v>01940155</v>
      </c>
      <c r="E76" s="144" t="str">
        <f t="shared" si="15"/>
        <v>4400929510006</v>
      </c>
      <c r="F76" s="144" t="b">
        <f t="shared" si="16"/>
        <v>0</v>
      </c>
      <c r="G76" s="188">
        <f t="shared" si="17"/>
        <v>44561</v>
      </c>
      <c r="H76" s="144">
        <f>VLOOKUP( $A76, Aop!$A$2:$N$415, 4, 0)</f>
        <v>109</v>
      </c>
      <c r="I76" s="144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4">
        <v>78</v>
      </c>
      <c r="B77" s="144" t="str">
        <f>VLOOKUP( $A77, Aop!$A$2:$N$415, 2, 0)</f>
        <v>BSp</v>
      </c>
      <c r="C77" s="144">
        <f t="shared" si="13"/>
        <v>4</v>
      </c>
      <c r="D77" s="144" t="str">
        <f t="shared" si="14"/>
        <v>01940155</v>
      </c>
      <c r="E77" s="144" t="str">
        <f t="shared" si="15"/>
        <v>4400929510006</v>
      </c>
      <c r="F77" s="144" t="b">
        <f t="shared" si="16"/>
        <v>0</v>
      </c>
      <c r="G77" s="188">
        <f t="shared" si="17"/>
        <v>44561</v>
      </c>
      <c r="H77" s="144">
        <f>VLOOKUP( $A77, Aop!$A$2:$N$415, 4, 0)</f>
        <v>110</v>
      </c>
      <c r="I77" s="144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4">
        <v>79</v>
      </c>
      <c r="B78" s="144" t="str">
        <f>VLOOKUP( $A78, Aop!$A$2:$N$415, 2, 0)</f>
        <v>BSp</v>
      </c>
      <c r="C78" s="144">
        <f t="shared" si="13"/>
        <v>4</v>
      </c>
      <c r="D78" s="144" t="str">
        <f t="shared" si="14"/>
        <v>01940155</v>
      </c>
      <c r="E78" s="144" t="str">
        <f t="shared" si="15"/>
        <v>4400929510006</v>
      </c>
      <c r="F78" s="144" t="b">
        <f t="shared" si="16"/>
        <v>0</v>
      </c>
      <c r="G78" s="188">
        <f t="shared" si="17"/>
        <v>44561</v>
      </c>
      <c r="H78" s="144">
        <f>VLOOKUP( $A78, Aop!$A$2:$N$415, 4, 0)</f>
        <v>111</v>
      </c>
      <c r="I78" s="144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4">
        <v>80</v>
      </c>
      <c r="B79" s="144" t="str">
        <f>VLOOKUP( $A79, Aop!$A$2:$N$415, 2, 0)</f>
        <v>BSp</v>
      </c>
      <c r="C79" s="144">
        <f t="shared" si="13"/>
        <v>4</v>
      </c>
      <c r="D79" s="144" t="str">
        <f t="shared" si="14"/>
        <v>01940155</v>
      </c>
      <c r="E79" s="144" t="str">
        <f t="shared" si="15"/>
        <v>4400929510006</v>
      </c>
      <c r="F79" s="144" t="b">
        <f t="shared" si="16"/>
        <v>0</v>
      </c>
      <c r="G79" s="188">
        <f t="shared" si="17"/>
        <v>44561</v>
      </c>
      <c r="H79" s="144">
        <f>VLOOKUP( $A79, Aop!$A$2:$N$415, 4, 0)</f>
        <v>112</v>
      </c>
      <c r="I79" s="144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283302</v>
      </c>
      <c r="M79" s="79">
        <f t="shared" ca="1" si="12"/>
        <v>283302</v>
      </c>
    </row>
    <row r="80" spans="1:13" x14ac:dyDescent="0.2">
      <c r="A80" s="144">
        <v>81</v>
      </c>
      <c r="B80" s="144" t="str">
        <f>VLOOKUP( $A80, Aop!$A$2:$N$415, 2, 0)</f>
        <v>BSp</v>
      </c>
      <c r="C80" s="144">
        <f t="shared" si="13"/>
        <v>4</v>
      </c>
      <c r="D80" s="144" t="str">
        <f t="shared" si="14"/>
        <v>01940155</v>
      </c>
      <c r="E80" s="144" t="str">
        <f t="shared" si="15"/>
        <v>4400929510006</v>
      </c>
      <c r="F80" s="144" t="b">
        <f t="shared" si="16"/>
        <v>0</v>
      </c>
      <c r="G80" s="188">
        <f t="shared" si="17"/>
        <v>44561</v>
      </c>
      <c r="H80" s="144">
        <f>VLOOKUP( $A80, Aop!$A$2:$N$415, 4, 0)</f>
        <v>113</v>
      </c>
      <c r="I80" s="144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283302</v>
      </c>
      <c r="M80" s="79">
        <f t="shared" ca="1" si="12"/>
        <v>283302</v>
      </c>
    </row>
    <row r="81" spans="1:13" x14ac:dyDescent="0.2">
      <c r="A81" s="144">
        <v>82</v>
      </c>
      <c r="B81" s="144" t="str">
        <f>VLOOKUP( $A81, Aop!$A$2:$N$415, 2, 0)</f>
        <v>BSp</v>
      </c>
      <c r="C81" s="144">
        <f t="shared" si="13"/>
        <v>4</v>
      </c>
      <c r="D81" s="144" t="str">
        <f t="shared" si="14"/>
        <v>01940155</v>
      </c>
      <c r="E81" s="144" t="str">
        <f t="shared" si="15"/>
        <v>4400929510006</v>
      </c>
      <c r="F81" s="144" t="b">
        <f t="shared" si="16"/>
        <v>0</v>
      </c>
      <c r="G81" s="188">
        <f t="shared" si="17"/>
        <v>44561</v>
      </c>
      <c r="H81" s="144">
        <f>VLOOKUP( $A81, Aop!$A$2:$N$415, 4, 0)</f>
        <v>114</v>
      </c>
      <c r="I81" s="144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4">
        <v>83</v>
      </c>
      <c r="B82" s="144" t="str">
        <f>VLOOKUP( $A82, Aop!$A$2:$N$415, 2, 0)</f>
        <v>BSp</v>
      </c>
      <c r="C82" s="144">
        <f t="shared" si="13"/>
        <v>4</v>
      </c>
      <c r="D82" s="144" t="str">
        <f t="shared" si="14"/>
        <v>01940155</v>
      </c>
      <c r="E82" s="144" t="str">
        <f t="shared" si="15"/>
        <v>4400929510006</v>
      </c>
      <c r="F82" s="144" t="b">
        <f t="shared" si="16"/>
        <v>0</v>
      </c>
      <c r="G82" s="188">
        <f t="shared" si="17"/>
        <v>44561</v>
      </c>
      <c r="H82" s="144">
        <f>VLOOKUP( $A82, Aop!$A$2:$N$415, 4, 0)</f>
        <v>115</v>
      </c>
      <c r="I82" s="144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4">
        <v>84</v>
      </c>
      <c r="B83" s="144" t="str">
        <f>VLOOKUP( $A83, Aop!$A$2:$N$415, 2, 0)</f>
        <v>BSp</v>
      </c>
      <c r="C83" s="144">
        <f t="shared" si="13"/>
        <v>4</v>
      </c>
      <c r="D83" s="144" t="str">
        <f t="shared" si="14"/>
        <v>01940155</v>
      </c>
      <c r="E83" s="144" t="str">
        <f t="shared" si="15"/>
        <v>4400929510006</v>
      </c>
      <c r="F83" s="144" t="b">
        <f t="shared" si="16"/>
        <v>0</v>
      </c>
      <c r="G83" s="188">
        <f t="shared" si="17"/>
        <v>44561</v>
      </c>
      <c r="H83" s="144">
        <f>VLOOKUP( $A83, Aop!$A$2:$N$415, 4, 0)</f>
        <v>116</v>
      </c>
      <c r="I83" s="144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4">
        <v>85</v>
      </c>
      <c r="B84" s="144" t="str">
        <f>VLOOKUP( $A84, Aop!$A$2:$N$415, 2, 0)</f>
        <v>BSp</v>
      </c>
      <c r="C84" s="144">
        <f t="shared" si="13"/>
        <v>4</v>
      </c>
      <c r="D84" s="144" t="str">
        <f t="shared" si="14"/>
        <v>01940155</v>
      </c>
      <c r="E84" s="144" t="str">
        <f t="shared" si="15"/>
        <v>4400929510006</v>
      </c>
      <c r="F84" s="144" t="b">
        <f t="shared" si="16"/>
        <v>0</v>
      </c>
      <c r="G84" s="188">
        <f t="shared" si="17"/>
        <v>44561</v>
      </c>
      <c r="H84" s="144">
        <f>VLOOKUP( $A84, Aop!$A$2:$N$415, 4, 0)</f>
        <v>117</v>
      </c>
      <c r="I84" s="144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4">
        <v>86</v>
      </c>
      <c r="B85" s="144" t="str">
        <f>VLOOKUP( $A85, Aop!$A$2:$N$415, 2, 0)</f>
        <v>BSp</v>
      </c>
      <c r="C85" s="144">
        <f t="shared" si="13"/>
        <v>4</v>
      </c>
      <c r="D85" s="144" t="str">
        <f t="shared" si="14"/>
        <v>01940155</v>
      </c>
      <c r="E85" s="144" t="str">
        <f t="shared" si="15"/>
        <v>4400929510006</v>
      </c>
      <c r="F85" s="144" t="b">
        <f t="shared" si="16"/>
        <v>0</v>
      </c>
      <c r="G85" s="188">
        <f t="shared" si="17"/>
        <v>44561</v>
      </c>
      <c r="H85" s="144">
        <f>VLOOKUP( $A85, Aop!$A$2:$N$415, 4, 0)</f>
        <v>118</v>
      </c>
      <c r="I85" s="144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4">
        <v>87</v>
      </c>
      <c r="B86" s="144" t="str">
        <f>VLOOKUP( $A86, Aop!$A$2:$N$415, 2, 0)</f>
        <v>BSp</v>
      </c>
      <c r="C86" s="144">
        <f t="shared" si="13"/>
        <v>4</v>
      </c>
      <c r="D86" s="144" t="str">
        <f t="shared" si="14"/>
        <v>01940155</v>
      </c>
      <c r="E86" s="144" t="str">
        <f t="shared" si="15"/>
        <v>4400929510006</v>
      </c>
      <c r="F86" s="144" t="b">
        <f t="shared" si="16"/>
        <v>0</v>
      </c>
      <c r="G86" s="188">
        <f t="shared" si="17"/>
        <v>44561</v>
      </c>
      <c r="H86" s="144">
        <f>VLOOKUP( $A86, Aop!$A$2:$N$415, 4, 0)</f>
        <v>119</v>
      </c>
      <c r="I86" s="144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611566</v>
      </c>
      <c r="M86" s="79">
        <f t="shared" ca="1" si="12"/>
        <v>172596</v>
      </c>
    </row>
    <row r="87" spans="1:13" x14ac:dyDescent="0.2">
      <c r="A87" s="144">
        <v>88</v>
      </c>
      <c r="B87" s="144" t="str">
        <f>VLOOKUP( $A87, Aop!$A$2:$N$415, 2, 0)</f>
        <v>BSp</v>
      </c>
      <c r="C87" s="144">
        <f t="shared" si="13"/>
        <v>4</v>
      </c>
      <c r="D87" s="144" t="str">
        <f t="shared" si="14"/>
        <v>01940155</v>
      </c>
      <c r="E87" s="144" t="str">
        <f t="shared" si="15"/>
        <v>4400929510006</v>
      </c>
      <c r="F87" s="144" t="b">
        <f t="shared" si="16"/>
        <v>0</v>
      </c>
      <c r="G87" s="188">
        <f t="shared" si="17"/>
        <v>44561</v>
      </c>
      <c r="H87" s="144">
        <f>VLOOKUP( $A87, Aop!$A$2:$N$415, 4, 0)</f>
        <v>120</v>
      </c>
      <c r="I87" s="144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130101</v>
      </c>
      <c r="M87" s="79">
        <f t="shared" ca="1" si="12"/>
        <v>165306</v>
      </c>
    </row>
    <row r="88" spans="1:13" x14ac:dyDescent="0.2">
      <c r="A88" s="144">
        <v>89</v>
      </c>
      <c r="B88" s="144" t="str">
        <f>VLOOKUP( $A88, Aop!$A$2:$N$415, 2, 0)</f>
        <v>BSp</v>
      </c>
      <c r="C88" s="144">
        <f t="shared" si="13"/>
        <v>4</v>
      </c>
      <c r="D88" s="144" t="str">
        <f t="shared" si="14"/>
        <v>01940155</v>
      </c>
      <c r="E88" s="144" t="str">
        <f t="shared" si="15"/>
        <v>4400929510006</v>
      </c>
      <c r="F88" s="144" t="b">
        <f t="shared" si="16"/>
        <v>0</v>
      </c>
      <c r="G88" s="188">
        <f t="shared" si="17"/>
        <v>44561</v>
      </c>
      <c r="H88" s="144">
        <f>VLOOKUP( $A88, Aop!$A$2:$N$415, 4, 0)</f>
        <v>121</v>
      </c>
      <c r="I88" s="144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481465</v>
      </c>
      <c r="M88" s="79">
        <f t="shared" ca="1" si="12"/>
        <v>7290</v>
      </c>
    </row>
    <row r="89" spans="1:13" x14ac:dyDescent="0.2">
      <c r="A89" s="144">
        <v>90</v>
      </c>
      <c r="B89" s="144" t="str">
        <f>VLOOKUP( $A89, Aop!$A$2:$N$415, 2, 0)</f>
        <v>BSp</v>
      </c>
      <c r="C89" s="144">
        <f t="shared" si="13"/>
        <v>4</v>
      </c>
      <c r="D89" s="144" t="str">
        <f t="shared" si="14"/>
        <v>01940155</v>
      </c>
      <c r="E89" s="144" t="str">
        <f t="shared" si="15"/>
        <v>4400929510006</v>
      </c>
      <c r="F89" s="144" t="b">
        <f t="shared" si="16"/>
        <v>0</v>
      </c>
      <c r="G89" s="188">
        <f t="shared" si="17"/>
        <v>44561</v>
      </c>
      <c r="H89" s="144">
        <f>VLOOKUP( $A89, Aop!$A$2:$N$415, 4, 0)</f>
        <v>122</v>
      </c>
      <c r="I89" s="144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4">
        <v>91</v>
      </c>
      <c r="B90" s="144" t="str">
        <f>VLOOKUP( $A90, Aop!$A$2:$N$415, 2, 0)</f>
        <v>BSp</v>
      </c>
      <c r="C90" s="144">
        <f t="shared" si="13"/>
        <v>4</v>
      </c>
      <c r="D90" s="144" t="str">
        <f t="shared" si="14"/>
        <v>01940155</v>
      </c>
      <c r="E90" s="144" t="str">
        <f t="shared" si="15"/>
        <v>4400929510006</v>
      </c>
      <c r="F90" s="144" t="b">
        <f t="shared" si="16"/>
        <v>0</v>
      </c>
      <c r="G90" s="188">
        <f t="shared" si="17"/>
        <v>44561</v>
      </c>
      <c r="H90" s="144">
        <f>VLOOKUP( $A90, Aop!$A$2:$N$415, 4, 0)</f>
        <v>123</v>
      </c>
      <c r="I90" s="144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4">
        <v>92</v>
      </c>
      <c r="B91" s="144" t="str">
        <f>VLOOKUP( $A91, Aop!$A$2:$N$415, 2, 0)</f>
        <v>BSp</v>
      </c>
      <c r="C91" s="144">
        <f t="shared" si="13"/>
        <v>4</v>
      </c>
      <c r="D91" s="144" t="str">
        <f t="shared" si="14"/>
        <v>01940155</v>
      </c>
      <c r="E91" s="144" t="str">
        <f t="shared" si="15"/>
        <v>4400929510006</v>
      </c>
      <c r="F91" s="144" t="b">
        <f t="shared" si="16"/>
        <v>0</v>
      </c>
      <c r="G91" s="188">
        <f t="shared" si="17"/>
        <v>44561</v>
      </c>
      <c r="H91" s="144">
        <f>VLOOKUP( $A91, Aop!$A$2:$N$415, 4, 0)</f>
        <v>124</v>
      </c>
      <c r="I91" s="144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4">
        <v>93</v>
      </c>
      <c r="B92" s="144" t="str">
        <f>VLOOKUP( $A92, Aop!$A$2:$N$415, 2, 0)</f>
        <v>BSp</v>
      </c>
      <c r="C92" s="144">
        <f t="shared" si="13"/>
        <v>4</v>
      </c>
      <c r="D92" s="144" t="str">
        <f t="shared" si="14"/>
        <v>01940155</v>
      </c>
      <c r="E92" s="144" t="str">
        <f t="shared" si="15"/>
        <v>4400929510006</v>
      </c>
      <c r="F92" s="144" t="b">
        <f t="shared" si="16"/>
        <v>0</v>
      </c>
      <c r="G92" s="188">
        <f t="shared" si="17"/>
        <v>44561</v>
      </c>
      <c r="H92" s="144">
        <f>VLOOKUP( $A92, Aop!$A$2:$N$415, 4, 0)</f>
        <v>125</v>
      </c>
      <c r="I92" s="144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4">
        <v>94</v>
      </c>
      <c r="B93" s="144" t="str">
        <f>VLOOKUP( $A93, Aop!$A$2:$N$415, 2, 0)</f>
        <v>BSp</v>
      </c>
      <c r="C93" s="144">
        <f t="shared" si="13"/>
        <v>4</v>
      </c>
      <c r="D93" s="144" t="str">
        <f t="shared" si="14"/>
        <v>01940155</v>
      </c>
      <c r="E93" s="144" t="str">
        <f t="shared" si="15"/>
        <v>4400929510006</v>
      </c>
      <c r="F93" s="144" t="b">
        <f t="shared" si="16"/>
        <v>0</v>
      </c>
      <c r="G93" s="188">
        <f t="shared" si="17"/>
        <v>44561</v>
      </c>
      <c r="H93" s="144">
        <f>VLOOKUP( $A93, Aop!$A$2:$N$415, 4, 0)</f>
        <v>126</v>
      </c>
      <c r="I93" s="144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4">
        <v>95</v>
      </c>
      <c r="B94" s="144" t="str">
        <f>VLOOKUP( $A94, Aop!$A$2:$N$415, 2, 0)</f>
        <v>BSp</v>
      </c>
      <c r="C94" s="144">
        <f t="shared" si="13"/>
        <v>4</v>
      </c>
      <c r="D94" s="144" t="str">
        <f t="shared" si="14"/>
        <v>01940155</v>
      </c>
      <c r="E94" s="144" t="str">
        <f t="shared" si="15"/>
        <v>4400929510006</v>
      </c>
      <c r="F94" s="144" t="b">
        <f t="shared" si="16"/>
        <v>0</v>
      </c>
      <c r="G94" s="188">
        <f t="shared" si="17"/>
        <v>44561</v>
      </c>
      <c r="H94" s="144">
        <f>VLOOKUP( $A94, Aop!$A$2:$N$415, 4, 0)</f>
        <v>127</v>
      </c>
      <c r="I94" s="144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4">
        <v>96</v>
      </c>
      <c r="B95" s="144" t="str">
        <f>VLOOKUP( $A95, Aop!$A$2:$N$415, 2, 0)</f>
        <v>BSp</v>
      </c>
      <c r="C95" s="144">
        <f t="shared" si="13"/>
        <v>4</v>
      </c>
      <c r="D95" s="144" t="str">
        <f t="shared" si="14"/>
        <v>01940155</v>
      </c>
      <c r="E95" s="144" t="str">
        <f t="shared" si="15"/>
        <v>4400929510006</v>
      </c>
      <c r="F95" s="144" t="b">
        <f t="shared" si="16"/>
        <v>0</v>
      </c>
      <c r="G95" s="188">
        <f t="shared" si="17"/>
        <v>44561</v>
      </c>
      <c r="H95" s="144">
        <f>VLOOKUP( $A95, Aop!$A$2:$N$415, 4, 0)</f>
        <v>128</v>
      </c>
      <c r="I95" s="144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4">
        <v>97</v>
      </c>
      <c r="B96" s="144" t="str">
        <f>VLOOKUP( $A96, Aop!$A$2:$N$415, 2, 0)</f>
        <v>BSp</v>
      </c>
      <c r="C96" s="144">
        <f t="shared" si="13"/>
        <v>4</v>
      </c>
      <c r="D96" s="144" t="str">
        <f t="shared" si="14"/>
        <v>01940155</v>
      </c>
      <c r="E96" s="144" t="str">
        <f t="shared" si="15"/>
        <v>4400929510006</v>
      </c>
      <c r="F96" s="144" t="b">
        <f t="shared" si="16"/>
        <v>0</v>
      </c>
      <c r="G96" s="188">
        <f t="shared" si="17"/>
        <v>44561</v>
      </c>
      <c r="H96" s="144">
        <f>VLOOKUP( $A96, Aop!$A$2:$N$415, 4, 0)</f>
        <v>129</v>
      </c>
      <c r="I96" s="144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4">
        <v>98</v>
      </c>
      <c r="B97" s="144" t="str">
        <f>VLOOKUP( $A97, Aop!$A$2:$N$415, 2, 0)</f>
        <v>BSp</v>
      </c>
      <c r="C97" s="144">
        <f t="shared" si="13"/>
        <v>4</v>
      </c>
      <c r="D97" s="144" t="str">
        <f t="shared" si="14"/>
        <v>01940155</v>
      </c>
      <c r="E97" s="144" t="str">
        <f t="shared" si="15"/>
        <v>4400929510006</v>
      </c>
      <c r="F97" s="144" t="b">
        <f t="shared" si="16"/>
        <v>0</v>
      </c>
      <c r="G97" s="188">
        <f t="shared" si="17"/>
        <v>44561</v>
      </c>
      <c r="H97" s="144">
        <f>VLOOKUP( $A97, Aop!$A$2:$N$415, 4, 0)</f>
        <v>130</v>
      </c>
      <c r="I97" s="144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4">
        <v>99</v>
      </c>
      <c r="B98" s="144" t="str">
        <f>VLOOKUP( $A98, Aop!$A$2:$N$415, 2, 0)</f>
        <v>BSp</v>
      </c>
      <c r="C98" s="144">
        <f t="shared" si="13"/>
        <v>4</v>
      </c>
      <c r="D98" s="144" t="str">
        <f t="shared" si="14"/>
        <v>01940155</v>
      </c>
      <c r="E98" s="144" t="str">
        <f t="shared" si="15"/>
        <v>4400929510006</v>
      </c>
      <c r="F98" s="144" t="b">
        <f t="shared" si="16"/>
        <v>0</v>
      </c>
      <c r="G98" s="188">
        <f t="shared" si="17"/>
        <v>44561</v>
      </c>
      <c r="H98" s="144">
        <f>VLOOKUP( $A98, Aop!$A$2:$N$415, 4, 0)</f>
        <v>131</v>
      </c>
      <c r="I98" s="144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4">
        <v>100</v>
      </c>
      <c r="B99" s="144" t="str">
        <f>VLOOKUP( $A99, Aop!$A$2:$N$415, 2, 0)</f>
        <v>BSp</v>
      </c>
      <c r="C99" s="144">
        <f t="shared" si="13"/>
        <v>4</v>
      </c>
      <c r="D99" s="144" t="str">
        <f t="shared" si="14"/>
        <v>01940155</v>
      </c>
      <c r="E99" s="144" t="str">
        <f t="shared" si="15"/>
        <v>4400929510006</v>
      </c>
      <c r="F99" s="144" t="b">
        <f t="shared" si="16"/>
        <v>0</v>
      </c>
      <c r="G99" s="188">
        <f t="shared" si="17"/>
        <v>44561</v>
      </c>
      <c r="H99" s="144">
        <f>VLOOKUP( $A99, Aop!$A$2:$N$415, 4, 0)</f>
        <v>132</v>
      </c>
      <c r="I99" s="144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4">
        <v>101</v>
      </c>
      <c r="B100" s="144" t="str">
        <f>VLOOKUP( $A100, Aop!$A$2:$N$415, 2, 0)</f>
        <v>BSp</v>
      </c>
      <c r="C100" s="144">
        <f t="shared" si="13"/>
        <v>4</v>
      </c>
      <c r="D100" s="144" t="str">
        <f t="shared" si="14"/>
        <v>01940155</v>
      </c>
      <c r="E100" s="144" t="str">
        <f t="shared" si="15"/>
        <v>4400929510006</v>
      </c>
      <c r="F100" s="144" t="b">
        <f t="shared" si="16"/>
        <v>0</v>
      </c>
      <c r="G100" s="188">
        <f t="shared" si="17"/>
        <v>44561</v>
      </c>
      <c r="H100" s="144">
        <f>VLOOKUP( $A100, Aop!$A$2:$N$415, 4, 0)</f>
        <v>133</v>
      </c>
      <c r="I100" s="144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4">
        <v>102</v>
      </c>
      <c r="B101" s="144" t="str">
        <f>VLOOKUP( $A101, Aop!$A$2:$N$415, 2, 0)</f>
        <v>BSp</v>
      </c>
      <c r="C101" s="144">
        <f t="shared" si="13"/>
        <v>4</v>
      </c>
      <c r="D101" s="144" t="str">
        <f t="shared" si="14"/>
        <v>01940155</v>
      </c>
      <c r="E101" s="144" t="str">
        <f t="shared" si="15"/>
        <v>4400929510006</v>
      </c>
      <c r="F101" s="144" t="b">
        <f t="shared" si="16"/>
        <v>0</v>
      </c>
      <c r="G101" s="188">
        <f t="shared" si="17"/>
        <v>44561</v>
      </c>
      <c r="H101" s="144">
        <f>VLOOKUP( $A101, Aop!$A$2:$N$415, 4, 0)</f>
        <v>134</v>
      </c>
      <c r="I101" s="144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4">
        <v>103</v>
      </c>
      <c r="B102" s="144" t="str">
        <f>VLOOKUP( $A102, Aop!$A$2:$N$415, 2, 0)</f>
        <v>BSp</v>
      </c>
      <c r="C102" s="144">
        <f t="shared" si="13"/>
        <v>4</v>
      </c>
      <c r="D102" s="144" t="str">
        <f t="shared" si="14"/>
        <v>01940155</v>
      </c>
      <c r="E102" s="144" t="str">
        <f t="shared" si="15"/>
        <v>4400929510006</v>
      </c>
      <c r="F102" s="144" t="b">
        <f t="shared" si="16"/>
        <v>0</v>
      </c>
      <c r="G102" s="188">
        <f t="shared" si="17"/>
        <v>44561</v>
      </c>
      <c r="H102" s="144">
        <f>VLOOKUP( $A102, Aop!$A$2:$N$415, 4, 0)</f>
        <v>135</v>
      </c>
      <c r="I102" s="144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6159998</v>
      </c>
      <c r="M102" s="79">
        <f t="shared" ca="1" si="12"/>
        <v>5785797</v>
      </c>
    </row>
    <row r="103" spans="1:13" x14ac:dyDescent="0.2">
      <c r="A103" s="144">
        <v>104</v>
      </c>
      <c r="B103" s="144" t="str">
        <f>VLOOKUP( $A103, Aop!$A$2:$N$415, 2, 0)</f>
        <v>BSp</v>
      </c>
      <c r="C103" s="144">
        <f t="shared" si="13"/>
        <v>4</v>
      </c>
      <c r="D103" s="144" t="str">
        <f t="shared" si="14"/>
        <v>01940155</v>
      </c>
      <c r="E103" s="144" t="str">
        <f t="shared" si="15"/>
        <v>4400929510006</v>
      </c>
      <c r="F103" s="144" t="b">
        <f t="shared" si="16"/>
        <v>0</v>
      </c>
      <c r="G103" s="188">
        <f t="shared" si="17"/>
        <v>44561</v>
      </c>
      <c r="H103" s="144">
        <f>VLOOKUP( $A103, Aop!$A$2:$N$415, 4, 0)</f>
        <v>136</v>
      </c>
      <c r="I103" s="144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581070</v>
      </c>
      <c r="M103" s="79">
        <f t="shared" ca="1" si="12"/>
        <v>789083</v>
      </c>
    </row>
    <row r="104" spans="1:13" x14ac:dyDescent="0.2">
      <c r="A104" s="144">
        <v>105</v>
      </c>
      <c r="B104" s="144" t="str">
        <f>VLOOKUP( $A104, Aop!$A$2:$N$415, 2, 0)</f>
        <v>BSp</v>
      </c>
      <c r="C104" s="144">
        <f t="shared" si="13"/>
        <v>4</v>
      </c>
      <c r="D104" s="144" t="str">
        <f t="shared" si="14"/>
        <v>01940155</v>
      </c>
      <c r="E104" s="144" t="str">
        <f t="shared" si="15"/>
        <v>4400929510006</v>
      </c>
      <c r="F104" s="144" t="b">
        <f t="shared" si="16"/>
        <v>0</v>
      </c>
      <c r="G104" s="188">
        <f t="shared" si="17"/>
        <v>44561</v>
      </c>
      <c r="H104" s="144">
        <f>VLOOKUP( $A104, Aop!$A$2:$N$415, 4, 0)</f>
        <v>137</v>
      </c>
      <c r="I104" s="144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4">
        <v>106</v>
      </c>
      <c r="B105" s="144" t="str">
        <f>VLOOKUP( $A105, Aop!$A$2:$N$415, 2, 0)</f>
        <v>BSp</v>
      </c>
      <c r="C105" s="144">
        <f t="shared" si="13"/>
        <v>4</v>
      </c>
      <c r="D105" s="144" t="str">
        <f t="shared" si="14"/>
        <v>01940155</v>
      </c>
      <c r="E105" s="144" t="str">
        <f t="shared" si="15"/>
        <v>4400929510006</v>
      </c>
      <c r="F105" s="144" t="b">
        <f t="shared" si="16"/>
        <v>0</v>
      </c>
      <c r="G105" s="188">
        <f t="shared" si="17"/>
        <v>44561</v>
      </c>
      <c r="H105" s="144">
        <f>VLOOKUP( $A105, Aop!$A$2:$N$415, 4, 0)</f>
        <v>138</v>
      </c>
      <c r="I105" s="144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4">
        <v>107</v>
      </c>
      <c r="B106" s="144" t="str">
        <f>VLOOKUP( $A106, Aop!$A$2:$N$415, 2, 0)</f>
        <v>BSp</v>
      </c>
      <c r="C106" s="144">
        <f t="shared" si="13"/>
        <v>4</v>
      </c>
      <c r="D106" s="144" t="str">
        <f t="shared" si="14"/>
        <v>01940155</v>
      </c>
      <c r="E106" s="144" t="str">
        <f t="shared" si="15"/>
        <v>4400929510006</v>
      </c>
      <c r="F106" s="144" t="b">
        <f t="shared" si="16"/>
        <v>0</v>
      </c>
      <c r="G106" s="188">
        <f t="shared" si="17"/>
        <v>44561</v>
      </c>
      <c r="H106" s="144">
        <f>VLOOKUP( $A106, Aop!$A$2:$N$415, 4, 0)</f>
        <v>139</v>
      </c>
      <c r="I106" s="144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4">
        <v>108</v>
      </c>
      <c r="B107" s="144" t="str">
        <f>VLOOKUP( $A107, Aop!$A$2:$N$415, 2, 0)</f>
        <v>BSp</v>
      </c>
      <c r="C107" s="144">
        <f t="shared" si="13"/>
        <v>4</v>
      </c>
      <c r="D107" s="144" t="str">
        <f t="shared" si="14"/>
        <v>01940155</v>
      </c>
      <c r="E107" s="144" t="str">
        <f t="shared" si="15"/>
        <v>4400929510006</v>
      </c>
      <c r="F107" s="144" t="b">
        <f t="shared" si="16"/>
        <v>0</v>
      </c>
      <c r="G107" s="188">
        <f t="shared" si="17"/>
        <v>44561</v>
      </c>
      <c r="H107" s="144">
        <f>VLOOKUP( $A107, Aop!$A$2:$N$415, 4, 0)</f>
        <v>140</v>
      </c>
      <c r="I107" s="144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407406</v>
      </c>
      <c r="M107" s="79">
        <f t="shared" ca="1" si="12"/>
        <v>463428</v>
      </c>
    </row>
    <row r="108" spans="1:13" x14ac:dyDescent="0.2">
      <c r="A108" s="144">
        <v>109</v>
      </c>
      <c r="B108" s="144" t="str">
        <f>VLOOKUP( $A108, Aop!$A$2:$N$415, 2, 0)</f>
        <v>BSp</v>
      </c>
      <c r="C108" s="144">
        <f t="shared" si="13"/>
        <v>4</v>
      </c>
      <c r="D108" s="144" t="str">
        <f t="shared" si="14"/>
        <v>01940155</v>
      </c>
      <c r="E108" s="144" t="str">
        <f t="shared" si="15"/>
        <v>4400929510006</v>
      </c>
      <c r="F108" s="144" t="b">
        <f t="shared" si="16"/>
        <v>0</v>
      </c>
      <c r="G108" s="188">
        <f t="shared" si="17"/>
        <v>44561</v>
      </c>
      <c r="H108" s="144">
        <f>VLOOKUP( $A108, Aop!$A$2:$N$415, 4, 0)</f>
        <v>141</v>
      </c>
      <c r="I108" s="144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40164</v>
      </c>
      <c r="M108" s="79">
        <f t="shared" ca="1" si="12"/>
        <v>155155</v>
      </c>
    </row>
    <row r="109" spans="1:13" x14ac:dyDescent="0.2">
      <c r="A109" s="144">
        <v>110</v>
      </c>
      <c r="B109" s="144" t="str">
        <f>VLOOKUP( $A109, Aop!$A$2:$N$415, 2, 0)</f>
        <v>BSp</v>
      </c>
      <c r="C109" s="144">
        <f t="shared" si="13"/>
        <v>4</v>
      </c>
      <c r="D109" s="144" t="str">
        <f t="shared" si="14"/>
        <v>01940155</v>
      </c>
      <c r="E109" s="144" t="str">
        <f t="shared" si="15"/>
        <v>4400929510006</v>
      </c>
      <c r="F109" s="144" t="b">
        <f t="shared" si="16"/>
        <v>0</v>
      </c>
      <c r="G109" s="188">
        <f t="shared" si="17"/>
        <v>44561</v>
      </c>
      <c r="H109" s="144">
        <f>VLOOKUP( $A109, Aop!$A$2:$N$415, 4, 0)</f>
        <v>142</v>
      </c>
      <c r="I109" s="144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4">
        <v>111</v>
      </c>
      <c r="B110" s="144" t="str">
        <f>VLOOKUP( $A110, Aop!$A$2:$N$415, 2, 0)</f>
        <v>BSp</v>
      </c>
      <c r="C110" s="144">
        <f t="shared" si="13"/>
        <v>4</v>
      </c>
      <c r="D110" s="144" t="str">
        <f t="shared" si="14"/>
        <v>01940155</v>
      </c>
      <c r="E110" s="144" t="str">
        <f t="shared" si="15"/>
        <v>4400929510006</v>
      </c>
      <c r="F110" s="144" t="b">
        <f t="shared" si="16"/>
        <v>0</v>
      </c>
      <c r="G110" s="188">
        <f t="shared" si="17"/>
        <v>44561</v>
      </c>
      <c r="H110" s="144">
        <f>VLOOKUP( $A110, Aop!$A$2:$N$415, 4, 0)</f>
        <v>143</v>
      </c>
      <c r="I110" s="144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>
        <f t="shared" ca="1" si="11"/>
        <v>133500</v>
      </c>
      <c r="M110" s="79">
        <f t="shared" ca="1" si="12"/>
        <v>170500</v>
      </c>
    </row>
    <row r="111" spans="1:13" x14ac:dyDescent="0.2">
      <c r="A111" s="144">
        <v>112</v>
      </c>
      <c r="B111" s="144" t="str">
        <f>VLOOKUP( $A111, Aop!$A$2:$N$415, 2, 0)</f>
        <v>BSp</v>
      </c>
      <c r="C111" s="144">
        <f t="shared" si="13"/>
        <v>4</v>
      </c>
      <c r="D111" s="144" t="str">
        <f t="shared" si="14"/>
        <v>01940155</v>
      </c>
      <c r="E111" s="144" t="str">
        <f t="shared" si="15"/>
        <v>4400929510006</v>
      </c>
      <c r="F111" s="144" t="b">
        <f t="shared" si="16"/>
        <v>0</v>
      </c>
      <c r="G111" s="188">
        <f t="shared" si="17"/>
        <v>44561</v>
      </c>
      <c r="H111" s="144">
        <f>VLOOKUP( $A111, Aop!$A$2:$N$415, 4, 0)</f>
        <v>144</v>
      </c>
      <c r="I111" s="144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5578928</v>
      </c>
      <c r="M111" s="79">
        <f t="shared" ca="1" si="12"/>
        <v>4996714</v>
      </c>
    </row>
    <row r="112" spans="1:13" x14ac:dyDescent="0.2">
      <c r="A112" s="144">
        <v>113</v>
      </c>
      <c r="B112" s="144" t="str">
        <f>VLOOKUP( $A112, Aop!$A$2:$N$415, 2, 0)</f>
        <v>BSp</v>
      </c>
      <c r="C112" s="144">
        <f t="shared" si="13"/>
        <v>4</v>
      </c>
      <c r="D112" s="144" t="str">
        <f t="shared" si="14"/>
        <v>01940155</v>
      </c>
      <c r="E112" s="144" t="str">
        <f t="shared" si="15"/>
        <v>4400929510006</v>
      </c>
      <c r="F112" s="144" t="b">
        <f t="shared" si="16"/>
        <v>0</v>
      </c>
      <c r="G112" s="188">
        <f t="shared" si="17"/>
        <v>44561</v>
      </c>
      <c r="H112" s="144">
        <f>VLOOKUP( $A112, Aop!$A$2:$N$415, 4, 0)</f>
        <v>145</v>
      </c>
      <c r="I112" s="144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2538655</v>
      </c>
      <c r="M112" s="79">
        <f t="shared" ca="1" si="12"/>
        <v>3015150</v>
      </c>
    </row>
    <row r="113" spans="1:13" x14ac:dyDescent="0.2">
      <c r="A113" s="144">
        <v>114</v>
      </c>
      <c r="B113" s="144" t="str">
        <f>VLOOKUP( $A113, Aop!$A$2:$N$415, 2, 0)</f>
        <v>BSp</v>
      </c>
      <c r="C113" s="144">
        <f t="shared" si="13"/>
        <v>4</v>
      </c>
      <c r="D113" s="144" t="str">
        <f t="shared" si="14"/>
        <v>01940155</v>
      </c>
      <c r="E113" s="144" t="str">
        <f t="shared" si="15"/>
        <v>4400929510006</v>
      </c>
      <c r="F113" s="144" t="b">
        <f t="shared" si="16"/>
        <v>0</v>
      </c>
      <c r="G113" s="188">
        <f t="shared" si="17"/>
        <v>44561</v>
      </c>
      <c r="H113" s="144">
        <f>VLOOKUP( $A113, Aop!$A$2:$N$415, 4, 0)</f>
        <v>146</v>
      </c>
      <c r="I113" s="144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1780816</v>
      </c>
      <c r="M113" s="79">
        <f t="shared" ca="1" si="12"/>
        <v>2310122</v>
      </c>
    </row>
    <row r="114" spans="1:13" x14ac:dyDescent="0.2">
      <c r="A114" s="144">
        <v>115</v>
      </c>
      <c r="B114" s="144" t="str">
        <f>VLOOKUP( $A114, Aop!$A$2:$N$415, 2, 0)</f>
        <v>BSp</v>
      </c>
      <c r="C114" s="144">
        <f t="shared" si="13"/>
        <v>4</v>
      </c>
      <c r="D114" s="144" t="str">
        <f t="shared" si="14"/>
        <v>01940155</v>
      </c>
      <c r="E114" s="144" t="str">
        <f t="shared" si="15"/>
        <v>4400929510006</v>
      </c>
      <c r="F114" s="144" t="b">
        <f t="shared" si="16"/>
        <v>0</v>
      </c>
      <c r="G114" s="188">
        <f t="shared" si="17"/>
        <v>44561</v>
      </c>
      <c r="H114" s="144">
        <f>VLOOKUP( $A114, Aop!$A$2:$N$415, 4, 0)</f>
        <v>147</v>
      </c>
      <c r="I114" s="144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757839</v>
      </c>
      <c r="M114" s="79">
        <f t="shared" ca="1" si="12"/>
        <v>705028</v>
      </c>
    </row>
    <row r="115" spans="1:13" x14ac:dyDescent="0.2">
      <c r="A115" s="144">
        <v>116</v>
      </c>
      <c r="B115" s="144" t="str">
        <f>VLOOKUP( $A115, Aop!$A$2:$N$415, 2, 0)</f>
        <v>BSp</v>
      </c>
      <c r="C115" s="144">
        <f t="shared" si="13"/>
        <v>4</v>
      </c>
      <c r="D115" s="144" t="str">
        <f t="shared" si="14"/>
        <v>01940155</v>
      </c>
      <c r="E115" s="144" t="str">
        <f t="shared" si="15"/>
        <v>4400929510006</v>
      </c>
      <c r="F115" s="144" t="b">
        <f t="shared" si="16"/>
        <v>0</v>
      </c>
      <c r="G115" s="188">
        <f t="shared" si="17"/>
        <v>44561</v>
      </c>
      <c r="H115" s="144">
        <f>VLOOKUP( $A115, Aop!$A$2:$N$415, 4, 0)</f>
        <v>148</v>
      </c>
      <c r="I115" s="144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4">
        <v>117</v>
      </c>
      <c r="B116" s="144" t="str">
        <f>VLOOKUP( $A116, Aop!$A$2:$N$415, 2, 0)</f>
        <v>BSp</v>
      </c>
      <c r="C116" s="144">
        <f t="shared" si="13"/>
        <v>4</v>
      </c>
      <c r="D116" s="144" t="str">
        <f t="shared" si="14"/>
        <v>01940155</v>
      </c>
      <c r="E116" s="144" t="str">
        <f t="shared" si="15"/>
        <v>4400929510006</v>
      </c>
      <c r="F116" s="144" t="b">
        <f t="shared" si="16"/>
        <v>0</v>
      </c>
      <c r="G116" s="188">
        <f t="shared" si="17"/>
        <v>44561</v>
      </c>
      <c r="H116" s="144">
        <f>VLOOKUP( $A116, Aop!$A$2:$N$415, 4, 0)</f>
        <v>149</v>
      </c>
      <c r="I116" s="144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4">
        <v>118</v>
      </c>
      <c r="B117" s="144" t="str">
        <f>VLOOKUP( $A117, Aop!$A$2:$N$415, 2, 0)</f>
        <v>BSp</v>
      </c>
      <c r="C117" s="144">
        <f t="shared" si="13"/>
        <v>4</v>
      </c>
      <c r="D117" s="144" t="str">
        <f t="shared" si="14"/>
        <v>01940155</v>
      </c>
      <c r="E117" s="144" t="str">
        <f t="shared" si="15"/>
        <v>4400929510006</v>
      </c>
      <c r="F117" s="144" t="b">
        <f t="shared" si="16"/>
        <v>0</v>
      </c>
      <c r="G117" s="188">
        <f t="shared" si="17"/>
        <v>44561</v>
      </c>
      <c r="H117" s="144">
        <f>VLOOKUP( $A117, Aop!$A$2:$N$415, 4, 0)</f>
        <v>150</v>
      </c>
      <c r="I117" s="144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2859976</v>
      </c>
      <c r="M117" s="79">
        <f t="shared" ca="1" si="12"/>
        <v>1777263</v>
      </c>
    </row>
    <row r="118" spans="1:13" x14ac:dyDescent="0.2">
      <c r="A118" s="144">
        <v>119</v>
      </c>
      <c r="B118" s="144" t="str">
        <f>VLOOKUP( $A118, Aop!$A$2:$N$415, 2, 0)</f>
        <v>BSp</v>
      </c>
      <c r="C118" s="144">
        <f t="shared" si="13"/>
        <v>4</v>
      </c>
      <c r="D118" s="144" t="str">
        <f t="shared" si="14"/>
        <v>01940155</v>
      </c>
      <c r="E118" s="144" t="str">
        <f t="shared" si="15"/>
        <v>4400929510006</v>
      </c>
      <c r="F118" s="144" t="b">
        <f t="shared" si="16"/>
        <v>0</v>
      </c>
      <c r="G118" s="188">
        <f t="shared" si="17"/>
        <v>44561</v>
      </c>
      <c r="H118" s="144">
        <f>VLOOKUP( $A118, Aop!$A$2:$N$415, 4, 0)</f>
        <v>151</v>
      </c>
      <c r="I118" s="144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915</v>
      </c>
      <c r="M118" s="79">
        <f t="shared" ca="1" si="12"/>
        <v>2384</v>
      </c>
    </row>
    <row r="119" spans="1:13" x14ac:dyDescent="0.2">
      <c r="A119" s="144">
        <v>120</v>
      </c>
      <c r="B119" s="144" t="str">
        <f>VLOOKUP( $A119, Aop!$A$2:$N$415, 2, 0)</f>
        <v>BSp</v>
      </c>
      <c r="C119" s="144">
        <f t="shared" si="13"/>
        <v>4</v>
      </c>
      <c r="D119" s="144" t="str">
        <f t="shared" si="14"/>
        <v>01940155</v>
      </c>
      <c r="E119" s="144" t="str">
        <f t="shared" si="15"/>
        <v>4400929510006</v>
      </c>
      <c r="F119" s="144" t="b">
        <f t="shared" si="16"/>
        <v>0</v>
      </c>
      <c r="G119" s="188">
        <f t="shared" si="17"/>
        <v>44561</v>
      </c>
      <c r="H119" s="144">
        <f>VLOOKUP( $A119, Aop!$A$2:$N$415, 4, 0)</f>
        <v>152</v>
      </c>
      <c r="I119" s="144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4">
        <v>121</v>
      </c>
      <c r="B120" s="144" t="str">
        <f>VLOOKUP( $A120, Aop!$A$2:$N$415, 2, 0)</f>
        <v>BSp</v>
      </c>
      <c r="C120" s="144">
        <f t="shared" si="13"/>
        <v>4</v>
      </c>
      <c r="D120" s="144" t="str">
        <f t="shared" si="14"/>
        <v>01940155</v>
      </c>
      <c r="E120" s="144" t="str">
        <f t="shared" si="15"/>
        <v>4400929510006</v>
      </c>
      <c r="F120" s="144" t="b">
        <f t="shared" si="16"/>
        <v>0</v>
      </c>
      <c r="G120" s="188">
        <f t="shared" si="17"/>
        <v>44561</v>
      </c>
      <c r="H120" s="144">
        <f>VLOOKUP( $A120, Aop!$A$2:$N$415, 4, 0)</f>
        <v>153</v>
      </c>
      <c r="I120" s="144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168160</v>
      </c>
      <c r="M120" s="79">
        <f t="shared" ca="1" si="12"/>
        <v>109200</v>
      </c>
    </row>
    <row r="121" spans="1:13" x14ac:dyDescent="0.2">
      <c r="A121" s="144">
        <v>122</v>
      </c>
      <c r="B121" s="144" t="str">
        <f>VLOOKUP( $A121, Aop!$A$2:$N$415, 2, 0)</f>
        <v>BSp</v>
      </c>
      <c r="C121" s="144">
        <f t="shared" si="13"/>
        <v>4</v>
      </c>
      <c r="D121" s="144" t="str">
        <f t="shared" si="14"/>
        <v>01940155</v>
      </c>
      <c r="E121" s="144" t="str">
        <f t="shared" si="15"/>
        <v>4400929510006</v>
      </c>
      <c r="F121" s="144" t="b">
        <f t="shared" si="16"/>
        <v>0</v>
      </c>
      <c r="G121" s="188">
        <f t="shared" si="17"/>
        <v>44561</v>
      </c>
      <c r="H121" s="144">
        <f>VLOOKUP( $A121, Aop!$A$2:$N$415, 4, 0)</f>
        <v>154</v>
      </c>
      <c r="I121" s="144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2690901</v>
      </c>
      <c r="M121" s="79">
        <f t="shared" ca="1" si="12"/>
        <v>1665679</v>
      </c>
    </row>
    <row r="122" spans="1:13" x14ac:dyDescent="0.2">
      <c r="A122" s="144">
        <v>123</v>
      </c>
      <c r="B122" s="144" t="str">
        <f>VLOOKUP( $A122, Aop!$A$2:$N$415, 2, 0)</f>
        <v>BSp</v>
      </c>
      <c r="C122" s="144">
        <f t="shared" si="13"/>
        <v>4</v>
      </c>
      <c r="D122" s="144" t="str">
        <f t="shared" si="14"/>
        <v>01940155</v>
      </c>
      <c r="E122" s="144" t="str">
        <f t="shared" si="15"/>
        <v>4400929510006</v>
      </c>
      <c r="F122" s="144" t="b">
        <f t="shared" si="16"/>
        <v>0</v>
      </c>
      <c r="G122" s="188">
        <f t="shared" si="17"/>
        <v>44561</v>
      </c>
      <c r="H122" s="144">
        <f>VLOOKUP( $A122, Aop!$A$2:$N$415, 4, 0)</f>
        <v>155</v>
      </c>
      <c r="I122" s="144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4">
        <v>124</v>
      </c>
      <c r="B123" s="144" t="str">
        <f>VLOOKUP( $A123, Aop!$A$2:$N$415, 2, 0)</f>
        <v>BSp</v>
      </c>
      <c r="C123" s="144">
        <f t="shared" si="13"/>
        <v>4</v>
      </c>
      <c r="D123" s="144" t="str">
        <f t="shared" si="14"/>
        <v>01940155</v>
      </c>
      <c r="E123" s="144" t="str">
        <f t="shared" si="15"/>
        <v>4400929510006</v>
      </c>
      <c r="F123" s="144" t="b">
        <f t="shared" si="16"/>
        <v>0</v>
      </c>
      <c r="G123" s="188">
        <f t="shared" si="17"/>
        <v>44561</v>
      </c>
      <c r="H123" s="144">
        <f>VLOOKUP( $A123, Aop!$A$2:$N$415, 4, 0)</f>
        <v>156</v>
      </c>
      <c r="I123" s="144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4">
        <v>125</v>
      </c>
      <c r="B124" s="144" t="str">
        <f>VLOOKUP( $A124, Aop!$A$2:$N$415, 2, 0)</f>
        <v>BSp</v>
      </c>
      <c r="C124" s="144">
        <f t="shared" si="13"/>
        <v>4</v>
      </c>
      <c r="D124" s="144" t="str">
        <f t="shared" si="14"/>
        <v>01940155</v>
      </c>
      <c r="E124" s="144" t="str">
        <f t="shared" si="15"/>
        <v>4400929510006</v>
      </c>
      <c r="F124" s="144" t="b">
        <f t="shared" si="16"/>
        <v>0</v>
      </c>
      <c r="G124" s="188">
        <f t="shared" si="17"/>
        <v>44561</v>
      </c>
      <c r="H124" s="144">
        <f>VLOOKUP( $A124, Aop!$A$2:$N$415, 4, 0)</f>
        <v>157</v>
      </c>
      <c r="I124" s="144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43752</v>
      </c>
      <c r="M124" s="79">
        <f t="shared" ca="1" si="12"/>
        <v>82154</v>
      </c>
    </row>
    <row r="125" spans="1:13" x14ac:dyDescent="0.2">
      <c r="A125" s="144">
        <v>126</v>
      </c>
      <c r="B125" s="144" t="str">
        <f>VLOOKUP( $A125, Aop!$A$2:$N$415, 2, 0)</f>
        <v>BSp</v>
      </c>
      <c r="C125" s="144">
        <f t="shared" si="13"/>
        <v>4</v>
      </c>
      <c r="D125" s="144" t="str">
        <f t="shared" si="14"/>
        <v>01940155</v>
      </c>
      <c r="E125" s="144" t="str">
        <f t="shared" si="15"/>
        <v>4400929510006</v>
      </c>
      <c r="F125" s="144" t="b">
        <f t="shared" si="16"/>
        <v>0</v>
      </c>
      <c r="G125" s="188">
        <f t="shared" si="17"/>
        <v>44561</v>
      </c>
      <c r="H125" s="144">
        <f>VLOOKUP( $A125, Aop!$A$2:$N$415, 4, 0)</f>
        <v>158</v>
      </c>
      <c r="I125" s="144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11502</v>
      </c>
      <c r="M125" s="79">
        <f t="shared" ca="1" si="12"/>
        <v>16305</v>
      </c>
    </row>
    <row r="126" spans="1:13" x14ac:dyDescent="0.2">
      <c r="A126" s="144">
        <v>127</v>
      </c>
      <c r="B126" s="144" t="str">
        <f>VLOOKUP( $A126, Aop!$A$2:$N$415, 2, 0)</f>
        <v>BSp</v>
      </c>
      <c r="C126" s="144">
        <f t="shared" si="13"/>
        <v>4</v>
      </c>
      <c r="D126" s="144" t="str">
        <f t="shared" si="14"/>
        <v>01940155</v>
      </c>
      <c r="E126" s="144" t="str">
        <f t="shared" si="15"/>
        <v>4400929510006</v>
      </c>
      <c r="F126" s="144" t="b">
        <f t="shared" si="16"/>
        <v>0</v>
      </c>
      <c r="G126" s="188">
        <f t="shared" si="17"/>
        <v>44561</v>
      </c>
      <c r="H126" s="144">
        <f>VLOOKUP( $A126, Aop!$A$2:$N$415, 4, 0)</f>
        <v>159</v>
      </c>
      <c r="I126" s="144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 t="str">
        <f t="shared" ca="1" si="11"/>
        <v/>
      </c>
      <c r="M126" s="79">
        <f t="shared" ca="1" si="12"/>
        <v>34923</v>
      </c>
    </row>
    <row r="127" spans="1:13" x14ac:dyDescent="0.2">
      <c r="A127" s="144">
        <v>128</v>
      </c>
      <c r="B127" s="144" t="str">
        <f>VLOOKUP( $A127, Aop!$A$2:$N$415, 2, 0)</f>
        <v>BSp</v>
      </c>
      <c r="C127" s="144">
        <f t="shared" si="13"/>
        <v>4</v>
      </c>
      <c r="D127" s="144" t="str">
        <f t="shared" si="14"/>
        <v>01940155</v>
      </c>
      <c r="E127" s="144" t="str">
        <f t="shared" si="15"/>
        <v>4400929510006</v>
      </c>
      <c r="F127" s="144" t="b">
        <f t="shared" si="16"/>
        <v>0</v>
      </c>
      <c r="G127" s="188">
        <f t="shared" si="17"/>
        <v>44561</v>
      </c>
      <c r="H127" s="144">
        <f>VLOOKUP( $A127, Aop!$A$2:$N$415, 4, 0)</f>
        <v>160</v>
      </c>
      <c r="I127" s="144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73540</v>
      </c>
      <c r="M127" s="79">
        <f t="shared" ca="1" si="12"/>
        <v>66057</v>
      </c>
    </row>
    <row r="128" spans="1:13" x14ac:dyDescent="0.2">
      <c r="A128" s="144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01940155</v>
      </c>
      <c r="E128" s="79" t="str">
        <f>Podatak_JIB</f>
        <v>4400929510006</v>
      </c>
      <c r="F128" s="79" t="b">
        <f>Konsolidovan_izvjestaj</f>
        <v>0</v>
      </c>
      <c r="G128" s="188">
        <f>Datum_Broj</f>
        <v>44561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51503</v>
      </c>
      <c r="M128" s="79">
        <f t="shared" ca="1" si="12"/>
        <v>2462</v>
      </c>
    </row>
    <row r="129" spans="1:13" x14ac:dyDescent="0.2">
      <c r="A129" s="144">
        <v>130</v>
      </c>
      <c r="B129" s="144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01940155</v>
      </c>
      <c r="E129" s="79" t="str">
        <f t="shared" ref="E129:E188" si="21">Podatak_JIB</f>
        <v>4400929510006</v>
      </c>
      <c r="F129" s="79" t="b">
        <f t="shared" si="16"/>
        <v>0</v>
      </c>
      <c r="G129" s="188">
        <f t="shared" si="17"/>
        <v>44561</v>
      </c>
      <c r="H129" s="144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>
        <f t="shared" ca="1" si="12"/>
        <v>2400</v>
      </c>
    </row>
    <row r="130" spans="1:13" x14ac:dyDescent="0.2">
      <c r="A130" s="144">
        <v>131</v>
      </c>
      <c r="B130" s="144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01940155</v>
      </c>
      <c r="E130" s="79" t="str">
        <f t="shared" si="21"/>
        <v>4400929510006</v>
      </c>
      <c r="F130" s="79" t="b">
        <f t="shared" ref="F130:F189" si="24">Konsolidovan_izvjestaj</f>
        <v>0</v>
      </c>
      <c r="G130" s="188">
        <f t="shared" ref="G130:G189" si="25">Datum_Broj</f>
        <v>44561</v>
      </c>
      <c r="H130" s="144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ca="1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6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7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4">
        <v>132</v>
      </c>
      <c r="B131" s="144" t="str">
        <f>VLOOKUP( $A131, Aop!$A$2:$N$415, 2, 0)</f>
        <v>BSp</v>
      </c>
      <c r="C131" s="79">
        <f t="shared" si="23"/>
        <v>4</v>
      </c>
      <c r="D131" s="79" t="str">
        <f t="shared" si="20"/>
        <v>01940155</v>
      </c>
      <c r="E131" s="79" t="str">
        <f t="shared" si="21"/>
        <v>4400929510006</v>
      </c>
      <c r="F131" s="79" t="b">
        <f t="shared" si="24"/>
        <v>0</v>
      </c>
      <c r="G131" s="188">
        <f t="shared" si="25"/>
        <v>44561</v>
      </c>
      <c r="H131" s="144">
        <f>VLOOKUP( $A131, Aop!$A$2:$N$415, 4, 0)</f>
        <v>164</v>
      </c>
      <c r="I131" s="79">
        <f t="shared" si="22"/>
        <v>2021</v>
      </c>
      <c r="J131" s="79" t="str">
        <f ca="1">IF( VLOOKUP( $H131, INDIRECT( "Lookup_" &amp; $B131), IF( LEFT( $B131, 2) = "BS", P$2, P$1), 0) = "", "", VLOOKUP( $H131, INDIRECT( "Lookup_" &amp; $B131), IF( $B131 = "BSa", P$2, P$1), 0))</f>
        <v/>
      </c>
      <c r="K131" s="79" t="str">
        <f ca="1">IF( VLOOKUP( $H131, INDIRECT( "Lookup_" &amp; $B131), IF( LEFT( $B131, 2) = "BS", Q$2, Q$1), 0) = "", "", VLOOKUP( $H131, INDIRECT( "Lookup_" &amp; $B131), IF( $B131 = "BSa", Q$2, Q$1), 0))</f>
        <v/>
      </c>
      <c r="L131" s="79">
        <f t="shared" ca="1" si="26"/>
        <v>9887882</v>
      </c>
      <c r="M131" s="79">
        <f t="shared" ca="1" si="27"/>
        <v>9074711</v>
      </c>
    </row>
    <row r="132" spans="1:13" x14ac:dyDescent="0.2">
      <c r="A132" s="144">
        <v>133</v>
      </c>
      <c r="B132" s="144" t="str">
        <f>VLOOKUP( $A132, Aop!$A$2:$N$415, 2, 0)</f>
        <v>BSp</v>
      </c>
      <c r="C132" s="79">
        <f t="shared" si="23"/>
        <v>4</v>
      </c>
      <c r="D132" s="79" t="str">
        <f t="shared" si="20"/>
        <v>01940155</v>
      </c>
      <c r="E132" s="79" t="str">
        <f t="shared" si="21"/>
        <v>4400929510006</v>
      </c>
      <c r="F132" s="79" t="b">
        <f t="shared" si="24"/>
        <v>0</v>
      </c>
      <c r="G132" s="188">
        <f t="shared" si="25"/>
        <v>44561</v>
      </c>
      <c r="H132" s="144">
        <f>VLOOKUP( $A132, Aop!$A$2:$N$415, 4, 0)</f>
        <v>165</v>
      </c>
      <c r="I132" s="79">
        <f t="shared" si="22"/>
        <v>2021</v>
      </c>
      <c r="J132" s="79" t="str">
        <f ca="1">IF( VLOOKUP( $H132, INDIRECT( "Lookup_" &amp; $B132), IF( LEFT( $B132, 2) = "BS", P$2, P$1), 0) = "", "", VLOOKUP( $H132, INDIRECT( "Lookup_" &amp; $B132), IF( $B132 = "BSa", P$2, P$1), 0))</f>
        <v/>
      </c>
      <c r="K132" s="79" t="str">
        <f ca="1">IF( VLOOKUP( $H132, INDIRECT( "Lookup_" &amp; $B132), IF( LEFT( $B132, 2) = "BS", Q$2, Q$1), 0) = "", "", VLOOKUP( $H132, INDIRECT( "Lookup_" &amp; $B132), IF( $B132 = "BSa", Q$2, Q$1), 0))</f>
        <v/>
      </c>
      <c r="L132" s="79" t="str">
        <f t="shared" ca="1" si="26"/>
        <v/>
      </c>
      <c r="M132" s="79" t="str">
        <f t="shared" ca="1" si="27"/>
        <v/>
      </c>
    </row>
    <row r="133" spans="1:13" x14ac:dyDescent="0.2">
      <c r="A133" s="144">
        <v>134</v>
      </c>
      <c r="B133" s="144" t="str">
        <f>VLOOKUP( $A133, Aop!$A$2:$N$415, 2, 0)</f>
        <v>BSp</v>
      </c>
      <c r="C133" s="79">
        <f t="shared" si="23"/>
        <v>4</v>
      </c>
      <c r="D133" s="79" t="str">
        <f t="shared" si="20"/>
        <v>01940155</v>
      </c>
      <c r="E133" s="79" t="str">
        <f t="shared" si="21"/>
        <v>4400929510006</v>
      </c>
      <c r="F133" s="79" t="b">
        <f t="shared" si="24"/>
        <v>0</v>
      </c>
      <c r="G133" s="188">
        <f t="shared" si="25"/>
        <v>44561</v>
      </c>
      <c r="H133" s="144">
        <f>VLOOKUP( $A133, Aop!$A$2:$N$415, 4, 0)</f>
        <v>166</v>
      </c>
      <c r="I133" s="79">
        <f t="shared" si="22"/>
        <v>2021</v>
      </c>
      <c r="J133" s="79" t="str">
        <f ca="1">IF( VLOOKUP( $H133, INDIRECT( "Lookup_" &amp; $B133), IF( LEFT( $B133, 2) = "BS", P$2, P$1), 0) = "", "", VLOOKUP( $H133, INDIRECT( "Lookup_" &amp; $B133), IF( $B133 = "BSa", P$2, P$1), 0))</f>
        <v/>
      </c>
      <c r="K133" s="79" t="str">
        <f ca="1">IF( VLOOKUP( $H133, INDIRECT( "Lookup_" &amp; $B133), IF( LEFT( $B133, 2) = "BS", Q$2, Q$1), 0) = "", "", VLOOKUP( $H133, INDIRECT( "Lookup_" &amp; $B133), IF( $B133 = "BSa", Q$2, Q$1), 0))</f>
        <v/>
      </c>
      <c r="L133" s="79">
        <f t="shared" ca="1" si="26"/>
        <v>9887882</v>
      </c>
      <c r="M133" s="79">
        <f t="shared" ca="1" si="27"/>
        <v>9074711</v>
      </c>
    </row>
    <row r="134" spans="1:13" x14ac:dyDescent="0.2">
      <c r="A134" s="144">
        <v>136</v>
      </c>
      <c r="B134" s="144" t="str">
        <f>VLOOKUP( $A134, Aop!$A$2:$N$415, 2, 0)</f>
        <v>BUa</v>
      </c>
      <c r="C134" s="79">
        <f t="shared" si="23"/>
        <v>4</v>
      </c>
      <c r="D134" s="79" t="str">
        <f t="shared" si="20"/>
        <v>01940155</v>
      </c>
      <c r="E134" s="79" t="str">
        <f t="shared" si="21"/>
        <v>4400929510006</v>
      </c>
      <c r="F134" s="79" t="b">
        <f t="shared" si="24"/>
        <v>0</v>
      </c>
      <c r="G134" s="188">
        <f t="shared" si="25"/>
        <v>44561</v>
      </c>
      <c r="H134" s="144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6"/>
        <v>18205944</v>
      </c>
      <c r="M134" s="79">
        <f t="shared" ca="1" si="27"/>
        <v>12951567</v>
      </c>
    </row>
    <row r="135" spans="1:13" x14ac:dyDescent="0.2">
      <c r="A135" s="144">
        <v>137</v>
      </c>
      <c r="B135" s="144" t="str">
        <f>VLOOKUP( $A135, Aop!$A$2:$N$415, 2, 0)</f>
        <v>BUa</v>
      </c>
      <c r="C135" s="79">
        <f t="shared" si="23"/>
        <v>4</v>
      </c>
      <c r="D135" s="79" t="str">
        <f t="shared" si="20"/>
        <v>01940155</v>
      </c>
      <c r="E135" s="79" t="str">
        <f t="shared" si="21"/>
        <v>4400929510006</v>
      </c>
      <c r="F135" s="79" t="b">
        <f t="shared" si="24"/>
        <v>0</v>
      </c>
      <c r="G135" s="188">
        <f t="shared" si="25"/>
        <v>44561</v>
      </c>
      <c r="H135" s="144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6"/>
        <v>10247935</v>
      </c>
      <c r="M135" s="79">
        <f t="shared" ca="1" si="27"/>
        <v>8449026</v>
      </c>
    </row>
    <row r="136" spans="1:13" x14ac:dyDescent="0.2">
      <c r="A136" s="144">
        <v>138</v>
      </c>
      <c r="B136" s="144" t="str">
        <f>VLOOKUP( $A136, Aop!$A$2:$N$415, 2, 0)</f>
        <v>BUa</v>
      </c>
      <c r="C136" s="79">
        <f t="shared" si="23"/>
        <v>4</v>
      </c>
      <c r="D136" s="79" t="str">
        <f t="shared" si="20"/>
        <v>01940155</v>
      </c>
      <c r="E136" s="79" t="str">
        <f t="shared" si="21"/>
        <v>4400929510006</v>
      </c>
      <c r="F136" s="79" t="b">
        <f t="shared" si="24"/>
        <v>0</v>
      </c>
      <c r="G136" s="188">
        <f t="shared" si="25"/>
        <v>44561</v>
      </c>
      <c r="H136" s="144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6"/>
        <v/>
      </c>
      <c r="M136" s="79" t="str">
        <f t="shared" ca="1" si="27"/>
        <v/>
      </c>
    </row>
    <row r="137" spans="1:13" x14ac:dyDescent="0.2">
      <c r="A137" s="144">
        <v>139</v>
      </c>
      <c r="B137" s="144" t="str">
        <f>VLOOKUP( $A137, Aop!$A$2:$N$415, 2, 0)</f>
        <v>BUa</v>
      </c>
      <c r="C137" s="79">
        <f t="shared" si="23"/>
        <v>4</v>
      </c>
      <c r="D137" s="79" t="str">
        <f t="shared" si="20"/>
        <v>01940155</v>
      </c>
      <c r="E137" s="79" t="str">
        <f t="shared" si="21"/>
        <v>4400929510006</v>
      </c>
      <c r="F137" s="79" t="b">
        <f t="shared" si="24"/>
        <v>0</v>
      </c>
      <c r="G137" s="188">
        <f t="shared" si="25"/>
        <v>44561</v>
      </c>
      <c r="H137" s="144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6"/>
        <v>10247935</v>
      </c>
      <c r="M137" s="79">
        <f t="shared" ca="1" si="27"/>
        <v>8449026</v>
      </c>
    </row>
    <row r="138" spans="1:13" x14ac:dyDescent="0.2">
      <c r="A138" s="144">
        <v>140</v>
      </c>
      <c r="B138" s="144" t="str">
        <f>VLOOKUP( $A138, Aop!$A$2:$N$415, 2, 0)</f>
        <v>BUa</v>
      </c>
      <c r="C138" s="79">
        <f t="shared" si="23"/>
        <v>4</v>
      </c>
      <c r="D138" s="79" t="str">
        <f t="shared" si="20"/>
        <v>01940155</v>
      </c>
      <c r="E138" s="79" t="str">
        <f t="shared" si="21"/>
        <v>4400929510006</v>
      </c>
      <c r="F138" s="79" t="b">
        <f t="shared" si="24"/>
        <v>0</v>
      </c>
      <c r="G138" s="188">
        <f t="shared" si="25"/>
        <v>44561</v>
      </c>
      <c r="H138" s="144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6"/>
        <v/>
      </c>
      <c r="M138" s="79" t="str">
        <f t="shared" ca="1" si="27"/>
        <v/>
      </c>
    </row>
    <row r="139" spans="1:13" x14ac:dyDescent="0.2">
      <c r="A139" s="144">
        <v>141</v>
      </c>
      <c r="B139" s="144" t="str">
        <f>VLOOKUP( $A139, Aop!$A$2:$N$415, 2, 0)</f>
        <v>BUa</v>
      </c>
      <c r="C139" s="79">
        <f t="shared" si="23"/>
        <v>4</v>
      </c>
      <c r="D139" s="79" t="str">
        <f t="shared" si="20"/>
        <v>01940155</v>
      </c>
      <c r="E139" s="79" t="str">
        <f t="shared" si="21"/>
        <v>4400929510006</v>
      </c>
      <c r="F139" s="79" t="b">
        <f t="shared" si="24"/>
        <v>0</v>
      </c>
      <c r="G139" s="188">
        <f t="shared" si="25"/>
        <v>44561</v>
      </c>
      <c r="H139" s="144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6"/>
        <v>7863680</v>
      </c>
      <c r="M139" s="79">
        <f t="shared" ca="1" si="27"/>
        <v>4323028</v>
      </c>
    </row>
    <row r="140" spans="1:13" x14ac:dyDescent="0.2">
      <c r="A140" s="144">
        <v>142</v>
      </c>
      <c r="B140" s="144" t="str">
        <f>VLOOKUP( $A140, Aop!$A$2:$N$415, 2, 0)</f>
        <v>BUa</v>
      </c>
      <c r="C140" s="79">
        <f t="shared" si="23"/>
        <v>4</v>
      </c>
      <c r="D140" s="79" t="str">
        <f t="shared" si="20"/>
        <v>01940155</v>
      </c>
      <c r="E140" s="79" t="str">
        <f t="shared" si="21"/>
        <v>4400929510006</v>
      </c>
      <c r="F140" s="79" t="b">
        <f t="shared" si="24"/>
        <v>0</v>
      </c>
      <c r="G140" s="188">
        <f t="shared" si="25"/>
        <v>44561</v>
      </c>
      <c r="H140" s="144">
        <f>VLOOKUP( $A140, Aop!$A$2:$N$415, 4, 0)</f>
        <v>207</v>
      </c>
      <c r="I140" s="79">
        <f t="shared" si="22"/>
        <v>2021</v>
      </c>
      <c r="J140" s="79"/>
      <c r="K140" s="79"/>
      <c r="L140" s="79">
        <f t="shared" ca="1" si="26"/>
        <v>2245016</v>
      </c>
      <c r="M140" s="79">
        <f t="shared" ca="1" si="27"/>
        <v>1681687</v>
      </c>
    </row>
    <row r="141" spans="1:13" x14ac:dyDescent="0.2">
      <c r="A141" s="144">
        <v>143</v>
      </c>
      <c r="B141" s="144" t="str">
        <f>VLOOKUP( $A141, Aop!$A$2:$N$415, 2, 0)</f>
        <v>BUa</v>
      </c>
      <c r="C141" s="79">
        <f t="shared" si="23"/>
        <v>4</v>
      </c>
      <c r="D141" s="79" t="str">
        <f t="shared" si="20"/>
        <v>01940155</v>
      </c>
      <c r="E141" s="79" t="str">
        <f t="shared" si="21"/>
        <v>4400929510006</v>
      </c>
      <c r="F141" s="79" t="b">
        <f t="shared" si="24"/>
        <v>0</v>
      </c>
      <c r="G141" s="188">
        <f t="shared" si="25"/>
        <v>44561</v>
      </c>
      <c r="H141" s="144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6"/>
        <v>274618</v>
      </c>
      <c r="M141" s="79">
        <f t="shared" ca="1" si="27"/>
        <v>217983</v>
      </c>
    </row>
    <row r="142" spans="1:13" x14ac:dyDescent="0.2">
      <c r="A142" s="144">
        <v>144</v>
      </c>
      <c r="B142" s="144" t="str">
        <f>VLOOKUP( $A142, Aop!$A$2:$N$415, 2, 0)</f>
        <v>BUa</v>
      </c>
      <c r="C142" s="79">
        <f t="shared" si="23"/>
        <v>4</v>
      </c>
      <c r="D142" s="79" t="str">
        <f t="shared" si="20"/>
        <v>01940155</v>
      </c>
      <c r="E142" s="79" t="str">
        <f t="shared" si="21"/>
        <v>4400929510006</v>
      </c>
      <c r="F142" s="79" t="b">
        <f t="shared" si="24"/>
        <v>0</v>
      </c>
      <c r="G142" s="188">
        <f t="shared" si="25"/>
        <v>44561</v>
      </c>
      <c r="H142" s="144">
        <f>VLOOKUP( $A142, Aop!$A$2:$N$415, 4, 0)</f>
        <v>209</v>
      </c>
      <c r="I142" s="79">
        <f t="shared" si="22"/>
        <v>2021</v>
      </c>
      <c r="J142" s="79"/>
      <c r="K142" s="79"/>
      <c r="L142" s="79">
        <f t="shared" ca="1" si="26"/>
        <v>5344046</v>
      </c>
      <c r="M142" s="79">
        <f t="shared" ca="1" si="27"/>
        <v>2423358</v>
      </c>
    </row>
    <row r="143" spans="1:13" x14ac:dyDescent="0.2">
      <c r="A143" s="144">
        <v>145</v>
      </c>
      <c r="B143" s="144" t="str">
        <f>VLOOKUP( $A143, Aop!$A$2:$N$415, 2, 0)</f>
        <v>BUa</v>
      </c>
      <c r="C143" s="79">
        <f t="shared" si="23"/>
        <v>4</v>
      </c>
      <c r="D143" s="79" t="str">
        <f t="shared" si="20"/>
        <v>01940155</v>
      </c>
      <c r="E143" s="79" t="str">
        <f t="shared" si="21"/>
        <v>4400929510006</v>
      </c>
      <c r="F143" s="79" t="b">
        <f t="shared" si="24"/>
        <v>0</v>
      </c>
      <c r="G143" s="188">
        <f t="shared" si="25"/>
        <v>44561</v>
      </c>
      <c r="H143" s="144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6"/>
        <v/>
      </c>
      <c r="M143" s="79" t="str">
        <f t="shared" ca="1" si="27"/>
        <v/>
      </c>
    </row>
    <row r="144" spans="1:13" x14ac:dyDescent="0.2">
      <c r="A144" s="144">
        <v>146</v>
      </c>
      <c r="B144" s="144" t="str">
        <f>VLOOKUP( $A144, Aop!$A$2:$N$415, 2, 0)</f>
        <v>BUa</v>
      </c>
      <c r="C144" s="79">
        <f t="shared" si="23"/>
        <v>4</v>
      </c>
      <c r="D144" s="79" t="str">
        <f t="shared" si="20"/>
        <v>01940155</v>
      </c>
      <c r="E144" s="79" t="str">
        <f t="shared" si="21"/>
        <v>4400929510006</v>
      </c>
      <c r="F144" s="79" t="b">
        <f t="shared" si="24"/>
        <v>0</v>
      </c>
      <c r="G144" s="188">
        <f t="shared" si="25"/>
        <v>44561</v>
      </c>
      <c r="H144" s="144">
        <f>VLOOKUP( $A144, Aop!$A$2:$N$415, 4, 0)</f>
        <v>211</v>
      </c>
      <c r="I144" s="79">
        <f t="shared" si="22"/>
        <v>2021</v>
      </c>
      <c r="J144" s="79"/>
      <c r="K144" s="79"/>
      <c r="L144" s="79">
        <f t="shared" ca="1" si="26"/>
        <v>34671</v>
      </c>
      <c r="M144" s="79">
        <f t="shared" ca="1" si="27"/>
        <v>38539</v>
      </c>
    </row>
    <row r="145" spans="1:13" x14ac:dyDescent="0.2">
      <c r="A145" s="144">
        <v>147</v>
      </c>
      <c r="B145" s="144" t="str">
        <f>VLOOKUP( $A145, Aop!$A$2:$N$415, 2, 0)</f>
        <v>BUa</v>
      </c>
      <c r="C145" s="79">
        <f t="shared" si="23"/>
        <v>4</v>
      </c>
      <c r="D145" s="79" t="str">
        <f t="shared" si="20"/>
        <v>01940155</v>
      </c>
      <c r="E145" s="79" t="str">
        <f t="shared" si="21"/>
        <v>4400929510006</v>
      </c>
      <c r="F145" s="79" t="b">
        <f t="shared" si="24"/>
        <v>0</v>
      </c>
      <c r="G145" s="188">
        <f t="shared" si="25"/>
        <v>44561</v>
      </c>
      <c r="H145" s="144">
        <f>VLOOKUP( $A145, Aop!$A$2:$N$415, 4, 0)</f>
        <v>212</v>
      </c>
      <c r="I145" s="79">
        <f t="shared" si="22"/>
        <v>2021</v>
      </c>
      <c r="J145" s="79"/>
      <c r="K145" s="79"/>
      <c r="L145" s="79">
        <f t="shared" ca="1" si="26"/>
        <v>62258</v>
      </c>
      <c r="M145" s="79">
        <f t="shared" ca="1" si="27"/>
        <v>25065</v>
      </c>
    </row>
    <row r="146" spans="1:13" x14ac:dyDescent="0.2">
      <c r="A146" s="144">
        <v>148</v>
      </c>
      <c r="B146" s="144" t="str">
        <f>VLOOKUP( $A146, Aop!$A$2:$N$415, 2, 0)</f>
        <v>BUa</v>
      </c>
      <c r="C146" s="79">
        <f t="shared" si="23"/>
        <v>4</v>
      </c>
      <c r="D146" s="79" t="str">
        <f t="shared" si="20"/>
        <v>01940155</v>
      </c>
      <c r="E146" s="79" t="str">
        <f t="shared" si="21"/>
        <v>4400929510006</v>
      </c>
      <c r="F146" s="79" t="b">
        <f t="shared" si="24"/>
        <v>0</v>
      </c>
      <c r="G146" s="188">
        <f t="shared" si="25"/>
        <v>44561</v>
      </c>
      <c r="H146" s="144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6"/>
        <v/>
      </c>
      <c r="M146" s="79" t="str">
        <f t="shared" ca="1" si="27"/>
        <v/>
      </c>
    </row>
    <row r="147" spans="1:13" x14ac:dyDescent="0.2">
      <c r="A147" s="144">
        <v>149</v>
      </c>
      <c r="B147" s="144" t="str">
        <f>VLOOKUP( $A147, Aop!$A$2:$N$415, 2, 0)</f>
        <v>BUa</v>
      </c>
      <c r="C147" s="79">
        <f t="shared" si="23"/>
        <v>4</v>
      </c>
      <c r="D147" s="79" t="str">
        <f t="shared" si="20"/>
        <v>01940155</v>
      </c>
      <c r="E147" s="79" t="str">
        <f t="shared" si="21"/>
        <v>4400929510006</v>
      </c>
      <c r="F147" s="79" t="b">
        <f t="shared" si="24"/>
        <v>0</v>
      </c>
      <c r="G147" s="188">
        <f t="shared" si="25"/>
        <v>44561</v>
      </c>
      <c r="H147" s="144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6"/>
        <v/>
      </c>
      <c r="M147" s="79" t="str">
        <f t="shared" ca="1" si="27"/>
        <v/>
      </c>
    </row>
    <row r="148" spans="1:13" x14ac:dyDescent="0.2">
      <c r="A148" s="144">
        <v>150</v>
      </c>
      <c r="B148" s="144" t="str">
        <f>VLOOKUP( $A148, Aop!$A$2:$N$415, 2, 0)</f>
        <v>BUa</v>
      </c>
      <c r="C148" s="79">
        <f t="shared" si="23"/>
        <v>4</v>
      </c>
      <c r="D148" s="79" t="str">
        <f t="shared" si="20"/>
        <v>01940155</v>
      </c>
      <c r="E148" s="79" t="str">
        <f t="shared" si="21"/>
        <v>4400929510006</v>
      </c>
      <c r="F148" s="79" t="b">
        <f t="shared" si="24"/>
        <v>0</v>
      </c>
      <c r="G148" s="188">
        <f t="shared" si="25"/>
        <v>44561</v>
      </c>
      <c r="H148" s="144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6"/>
        <v>121916</v>
      </c>
      <c r="M148" s="79">
        <f t="shared" ca="1" si="27"/>
        <v>166039</v>
      </c>
    </row>
    <row r="149" spans="1:13" x14ac:dyDescent="0.2">
      <c r="A149" s="144">
        <v>151</v>
      </c>
      <c r="B149" s="144" t="str">
        <f>VLOOKUP( $A149, Aop!$A$2:$N$415, 2, 0)</f>
        <v>BUa</v>
      </c>
      <c r="C149" s="79">
        <f t="shared" si="23"/>
        <v>4</v>
      </c>
      <c r="D149" s="79" t="str">
        <f t="shared" si="20"/>
        <v>01940155</v>
      </c>
      <c r="E149" s="79" t="str">
        <f t="shared" si="21"/>
        <v>4400929510006</v>
      </c>
      <c r="F149" s="79" t="b">
        <f t="shared" si="24"/>
        <v>0</v>
      </c>
      <c r="G149" s="188">
        <f t="shared" si="25"/>
        <v>44561</v>
      </c>
      <c r="H149" s="144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6"/>
        <v>17530682</v>
      </c>
      <c r="M149" s="79">
        <f t="shared" ca="1" si="27"/>
        <v>12775430</v>
      </c>
    </row>
    <row r="150" spans="1:13" x14ac:dyDescent="0.2">
      <c r="A150" s="144">
        <v>152</v>
      </c>
      <c r="B150" s="144" t="str">
        <f>VLOOKUP( $A150, Aop!$A$2:$N$415, 2, 0)</f>
        <v>BUa</v>
      </c>
      <c r="C150" s="79">
        <f t="shared" si="23"/>
        <v>4</v>
      </c>
      <c r="D150" s="79" t="str">
        <f t="shared" si="20"/>
        <v>01940155</v>
      </c>
      <c r="E150" s="79" t="str">
        <f t="shared" si="21"/>
        <v>4400929510006</v>
      </c>
      <c r="F150" s="79" t="b">
        <f t="shared" si="24"/>
        <v>0</v>
      </c>
      <c r="G150" s="188">
        <f t="shared" si="25"/>
        <v>44561</v>
      </c>
      <c r="H150" s="144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6"/>
        <v>7162580</v>
      </c>
      <c r="M150" s="79">
        <f t="shared" ca="1" si="27"/>
        <v>6268215</v>
      </c>
    </row>
    <row r="151" spans="1:13" x14ac:dyDescent="0.2">
      <c r="A151" s="144">
        <v>153</v>
      </c>
      <c r="B151" s="144" t="str">
        <f>VLOOKUP( $A151, Aop!$A$2:$N$415, 2, 0)</f>
        <v>BUa</v>
      </c>
      <c r="C151" s="79">
        <f t="shared" si="23"/>
        <v>4</v>
      </c>
      <c r="D151" s="79" t="str">
        <f t="shared" si="20"/>
        <v>01940155</v>
      </c>
      <c r="E151" s="79" t="str">
        <f t="shared" si="21"/>
        <v>4400929510006</v>
      </c>
      <c r="F151" s="79" t="b">
        <f t="shared" si="24"/>
        <v>0</v>
      </c>
      <c r="G151" s="188">
        <f t="shared" si="25"/>
        <v>44561</v>
      </c>
      <c r="H151" s="144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6"/>
        <v>8099058</v>
      </c>
      <c r="M151" s="79">
        <f t="shared" ca="1" si="27"/>
        <v>4521671</v>
      </c>
    </row>
    <row r="152" spans="1:13" x14ac:dyDescent="0.2">
      <c r="A152" s="144">
        <v>154</v>
      </c>
      <c r="B152" s="144" t="str">
        <f>VLOOKUP( $A152, Aop!$A$2:$N$415, 2, 0)</f>
        <v>BUa</v>
      </c>
      <c r="C152" s="79">
        <f t="shared" si="23"/>
        <v>4</v>
      </c>
      <c r="D152" s="79" t="str">
        <f t="shared" si="20"/>
        <v>01940155</v>
      </c>
      <c r="E152" s="79" t="str">
        <f t="shared" si="21"/>
        <v>4400929510006</v>
      </c>
      <c r="F152" s="79" t="b">
        <f t="shared" si="24"/>
        <v>0</v>
      </c>
      <c r="G152" s="188">
        <f t="shared" si="25"/>
        <v>44561</v>
      </c>
      <c r="H152" s="144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6"/>
        <v>1370879</v>
      </c>
      <c r="M152" s="79">
        <f t="shared" ca="1" si="27"/>
        <v>1168194</v>
      </c>
    </row>
    <row r="153" spans="1:13" x14ac:dyDescent="0.2">
      <c r="A153" s="144">
        <v>155</v>
      </c>
      <c r="B153" s="144" t="str">
        <f>VLOOKUP( $A153, Aop!$A$2:$N$415, 2, 0)</f>
        <v>BUa</v>
      </c>
      <c r="C153" s="79">
        <f t="shared" si="23"/>
        <v>4</v>
      </c>
      <c r="D153" s="79" t="str">
        <f t="shared" si="20"/>
        <v>01940155</v>
      </c>
      <c r="E153" s="79" t="str">
        <f t="shared" si="21"/>
        <v>4400929510006</v>
      </c>
      <c r="F153" s="79" t="b">
        <f t="shared" si="24"/>
        <v>0</v>
      </c>
      <c r="G153" s="188">
        <f t="shared" si="25"/>
        <v>44561</v>
      </c>
      <c r="H153" s="144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6"/>
        <v>1097643</v>
      </c>
      <c r="M153" s="79">
        <f t="shared" ca="1" si="27"/>
        <v>970148</v>
      </c>
    </row>
    <row r="154" spans="1:13" x14ac:dyDescent="0.2">
      <c r="A154" s="144">
        <v>156</v>
      </c>
      <c r="B154" s="144" t="str">
        <f>VLOOKUP( $A154, Aop!$A$2:$N$415, 2, 0)</f>
        <v>BUa</v>
      </c>
      <c r="C154" s="79">
        <f t="shared" si="23"/>
        <v>4</v>
      </c>
      <c r="D154" s="79" t="str">
        <f t="shared" si="20"/>
        <v>01940155</v>
      </c>
      <c r="E154" s="79" t="str">
        <f t="shared" si="21"/>
        <v>4400929510006</v>
      </c>
      <c r="F154" s="79" t="b">
        <f t="shared" si="24"/>
        <v>0</v>
      </c>
      <c r="G154" s="188">
        <f t="shared" si="25"/>
        <v>44561</v>
      </c>
      <c r="H154" s="144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6"/>
        <v>273236</v>
      </c>
      <c r="M154" s="79">
        <f t="shared" ca="1" si="27"/>
        <v>198046</v>
      </c>
    </row>
    <row r="155" spans="1:13" x14ac:dyDescent="0.2">
      <c r="A155" s="144">
        <v>157</v>
      </c>
      <c r="B155" s="144" t="str">
        <f>VLOOKUP( $A155, Aop!$A$2:$N$415, 2, 0)</f>
        <v>BUa</v>
      </c>
      <c r="C155" s="79">
        <f t="shared" si="23"/>
        <v>4</v>
      </c>
      <c r="D155" s="79" t="str">
        <f t="shared" si="20"/>
        <v>01940155</v>
      </c>
      <c r="E155" s="79" t="str">
        <f t="shared" si="21"/>
        <v>4400929510006</v>
      </c>
      <c r="F155" s="79" t="b">
        <f t="shared" si="24"/>
        <v>0</v>
      </c>
      <c r="G155" s="188">
        <f t="shared" si="25"/>
        <v>44561</v>
      </c>
      <c r="H155" s="144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6"/>
        <v>392323</v>
      </c>
      <c r="M155" s="79">
        <f t="shared" ca="1" si="27"/>
        <v>340467</v>
      </c>
    </row>
    <row r="156" spans="1:13" x14ac:dyDescent="0.2">
      <c r="A156" s="144">
        <v>158</v>
      </c>
      <c r="B156" s="144" t="str">
        <f>VLOOKUP( $A156, Aop!$A$2:$N$415, 2, 0)</f>
        <v>BUa</v>
      </c>
      <c r="C156" s="79">
        <f t="shared" si="23"/>
        <v>4</v>
      </c>
      <c r="D156" s="79" t="str">
        <f t="shared" si="20"/>
        <v>01940155</v>
      </c>
      <c r="E156" s="79" t="str">
        <f t="shared" si="21"/>
        <v>4400929510006</v>
      </c>
      <c r="F156" s="79" t="b">
        <f t="shared" si="24"/>
        <v>0</v>
      </c>
      <c r="G156" s="188">
        <f t="shared" si="25"/>
        <v>44561</v>
      </c>
      <c r="H156" s="144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6"/>
        <v>304222</v>
      </c>
      <c r="M156" s="79">
        <f t="shared" ca="1" si="27"/>
        <v>290461</v>
      </c>
    </row>
    <row r="157" spans="1:13" x14ac:dyDescent="0.2">
      <c r="A157" s="144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01940155</v>
      </c>
      <c r="E157" s="79" t="str">
        <f>Podatak_JIB</f>
        <v>4400929510006</v>
      </c>
      <c r="F157" s="79" t="b">
        <f>Konsolidovan_izvjestaj</f>
        <v>0</v>
      </c>
      <c r="G157" s="188">
        <f>Datum_Broj</f>
        <v>44561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6"/>
        <v>304222</v>
      </c>
      <c r="M157" s="79">
        <f t="shared" ca="1" si="27"/>
        <v>290461</v>
      </c>
    </row>
    <row r="158" spans="1:13" x14ac:dyDescent="0.2">
      <c r="A158" s="144">
        <v>160</v>
      </c>
      <c r="B158" s="144" t="str">
        <f>VLOOKUP( $A158, Aop!$A$2:$N$415, 2, 0)</f>
        <v>BUa</v>
      </c>
      <c r="C158" s="79">
        <f t="shared" si="23"/>
        <v>4</v>
      </c>
      <c r="D158" s="79" t="str">
        <f t="shared" si="20"/>
        <v>01940155</v>
      </c>
      <c r="E158" s="79" t="str">
        <f t="shared" si="21"/>
        <v>4400929510006</v>
      </c>
      <c r="F158" s="79" t="b">
        <f t="shared" si="24"/>
        <v>0</v>
      </c>
      <c r="G158" s="188">
        <f t="shared" si="25"/>
        <v>44561</v>
      </c>
      <c r="H158" s="144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6"/>
        <v/>
      </c>
      <c r="M158" s="79" t="str">
        <f t="shared" ca="1" si="27"/>
        <v/>
      </c>
    </row>
    <row r="159" spans="1:13" x14ac:dyDescent="0.2">
      <c r="A159" s="144">
        <v>161</v>
      </c>
      <c r="B159" s="144" t="str">
        <f>VLOOKUP( $A159, Aop!$A$2:$N$415, 2, 0)</f>
        <v>BUa</v>
      </c>
      <c r="C159" s="79">
        <f t="shared" si="23"/>
        <v>4</v>
      </c>
      <c r="D159" s="79" t="str">
        <f t="shared" si="20"/>
        <v>01940155</v>
      </c>
      <c r="E159" s="79" t="str">
        <f t="shared" si="21"/>
        <v>4400929510006</v>
      </c>
      <c r="F159" s="79" t="b">
        <f t="shared" si="24"/>
        <v>0</v>
      </c>
      <c r="G159" s="188">
        <f t="shared" si="25"/>
        <v>44561</v>
      </c>
      <c r="H159" s="144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6"/>
        <v>176815</v>
      </c>
      <c r="M159" s="79">
        <f t="shared" ca="1" si="27"/>
        <v>164269</v>
      </c>
    </row>
    <row r="160" spans="1:13" x14ac:dyDescent="0.2">
      <c r="A160" s="144">
        <v>162</v>
      </c>
      <c r="B160" s="144" t="str">
        <f>VLOOKUP( $A160, Aop!$A$2:$N$415, 2, 0)</f>
        <v>BUa</v>
      </c>
      <c r="C160" s="79">
        <f t="shared" si="23"/>
        <v>4</v>
      </c>
      <c r="D160" s="79" t="str">
        <f t="shared" si="20"/>
        <v>01940155</v>
      </c>
      <c r="E160" s="79" t="str">
        <f t="shared" si="21"/>
        <v>4400929510006</v>
      </c>
      <c r="F160" s="79" t="b">
        <f t="shared" si="24"/>
        <v>0</v>
      </c>
      <c r="G160" s="188">
        <f t="shared" si="25"/>
        <v>44561</v>
      </c>
      <c r="H160" s="144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6"/>
        <v>23711</v>
      </c>
      <c r="M160" s="79">
        <f t="shared" ca="1" si="27"/>
        <v>21176</v>
      </c>
    </row>
    <row r="161" spans="1:13" x14ac:dyDescent="0.2">
      <c r="A161" s="144">
        <v>163</v>
      </c>
      <c r="B161" s="144" t="str">
        <f>VLOOKUP( $A161, Aop!$A$2:$N$415, 2, 0)</f>
        <v>BUa</v>
      </c>
      <c r="C161" s="79">
        <f t="shared" si="23"/>
        <v>4</v>
      </c>
      <c r="D161" s="79" t="str">
        <f t="shared" si="20"/>
        <v>01940155</v>
      </c>
      <c r="E161" s="79" t="str">
        <f t="shared" si="21"/>
        <v>4400929510006</v>
      </c>
      <c r="F161" s="79" t="b">
        <f t="shared" si="24"/>
        <v>0</v>
      </c>
      <c r="G161" s="188">
        <f t="shared" si="25"/>
        <v>44561</v>
      </c>
      <c r="H161" s="144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6"/>
        <v>1094</v>
      </c>
      <c r="M161" s="79">
        <f t="shared" ca="1" si="27"/>
        <v>977</v>
      </c>
    </row>
    <row r="162" spans="1:13" x14ac:dyDescent="0.2">
      <c r="A162" s="144">
        <v>164</v>
      </c>
      <c r="B162" s="144" t="str">
        <f>VLOOKUP( $A162, Aop!$A$2:$N$415, 2, 0)</f>
        <v>BUa</v>
      </c>
      <c r="C162" s="79">
        <f t="shared" si="23"/>
        <v>4</v>
      </c>
      <c r="D162" s="79" t="str">
        <f t="shared" si="20"/>
        <v>01940155</v>
      </c>
      <c r="E162" s="79" t="str">
        <f t="shared" si="21"/>
        <v>4400929510006</v>
      </c>
      <c r="F162" s="79" t="b">
        <f t="shared" si="24"/>
        <v>0</v>
      </c>
      <c r="G162" s="188">
        <f t="shared" si="25"/>
        <v>44561</v>
      </c>
      <c r="H162" s="144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6"/>
        <v>675262</v>
      </c>
      <c r="M162" s="79">
        <f t="shared" ca="1" si="27"/>
        <v>176137</v>
      </c>
    </row>
    <row r="163" spans="1:13" x14ac:dyDescent="0.2">
      <c r="A163" s="144">
        <v>165</v>
      </c>
      <c r="B163" s="144" t="str">
        <f>VLOOKUP( $A163, Aop!$A$2:$N$415, 2, 0)</f>
        <v>BUa</v>
      </c>
      <c r="C163" s="79">
        <f t="shared" si="23"/>
        <v>4</v>
      </c>
      <c r="D163" s="79" t="str">
        <f t="shared" si="20"/>
        <v>01940155</v>
      </c>
      <c r="E163" s="79" t="str">
        <f t="shared" si="21"/>
        <v>4400929510006</v>
      </c>
      <c r="F163" s="79" t="b">
        <f t="shared" si="24"/>
        <v>0</v>
      </c>
      <c r="G163" s="188">
        <f t="shared" si="25"/>
        <v>44561</v>
      </c>
      <c r="H163" s="144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6"/>
        <v>0</v>
      </c>
      <c r="M163" s="79">
        <f t="shared" ca="1" si="27"/>
        <v>0</v>
      </c>
    </row>
    <row r="164" spans="1:13" x14ac:dyDescent="0.2">
      <c r="A164" s="144">
        <v>167</v>
      </c>
      <c r="B164" s="144" t="str">
        <f>VLOOKUP( $A164, Aop!$A$2:$N$415, 2, 0)</f>
        <v>BUa</v>
      </c>
      <c r="C164" s="79">
        <f t="shared" si="23"/>
        <v>4</v>
      </c>
      <c r="D164" s="79" t="str">
        <f t="shared" si="20"/>
        <v>01940155</v>
      </c>
      <c r="E164" s="79" t="str">
        <f t="shared" si="21"/>
        <v>4400929510006</v>
      </c>
      <c r="F164" s="79" t="b">
        <f t="shared" si="24"/>
        <v>0</v>
      </c>
      <c r="G164" s="188">
        <f t="shared" si="25"/>
        <v>44561</v>
      </c>
      <c r="H164" s="144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6"/>
        <v>58280</v>
      </c>
      <c r="M164" s="79">
        <f t="shared" ca="1" si="27"/>
        <v>4077</v>
      </c>
    </row>
    <row r="165" spans="1:13" x14ac:dyDescent="0.2">
      <c r="A165" s="144">
        <v>168</v>
      </c>
      <c r="B165" s="144" t="str">
        <f>VLOOKUP( $A165, Aop!$A$2:$N$415, 2, 0)</f>
        <v>BUa</v>
      </c>
      <c r="C165" s="79">
        <f t="shared" si="23"/>
        <v>4</v>
      </c>
      <c r="D165" s="79" t="str">
        <f t="shared" si="20"/>
        <v>01940155</v>
      </c>
      <c r="E165" s="79" t="str">
        <f t="shared" si="21"/>
        <v>4400929510006</v>
      </c>
      <c r="F165" s="79" t="b">
        <f t="shared" si="24"/>
        <v>0</v>
      </c>
      <c r="G165" s="188">
        <f t="shared" si="25"/>
        <v>44561</v>
      </c>
      <c r="H165" s="144">
        <f>VLOOKUP( $A165, Aop!$A$2:$N$415, 4, 0)</f>
        <v>232</v>
      </c>
      <c r="I165" s="79">
        <f t="shared" si="22"/>
        <v>2021</v>
      </c>
      <c r="J165" s="79"/>
      <c r="K165" s="79"/>
      <c r="L165" s="79">
        <f t="shared" ca="1" si="26"/>
        <v>58280</v>
      </c>
      <c r="M165" s="79" t="str">
        <f t="shared" ca="1" si="27"/>
        <v/>
      </c>
    </row>
    <row r="166" spans="1:13" x14ac:dyDescent="0.2">
      <c r="A166" s="144">
        <v>169</v>
      </c>
      <c r="B166" s="144" t="str">
        <f>VLOOKUP( $A166, Aop!$A$2:$N$415, 2, 0)</f>
        <v>BUa</v>
      </c>
      <c r="C166" s="79">
        <f t="shared" si="23"/>
        <v>4</v>
      </c>
      <c r="D166" s="79" t="str">
        <f t="shared" si="20"/>
        <v>01940155</v>
      </c>
      <c r="E166" s="79" t="str">
        <f t="shared" si="21"/>
        <v>4400929510006</v>
      </c>
      <c r="F166" s="79" t="b">
        <f t="shared" si="24"/>
        <v>0</v>
      </c>
      <c r="G166" s="188">
        <f t="shared" si="25"/>
        <v>44561</v>
      </c>
      <c r="H166" s="144">
        <f>VLOOKUP( $A166, Aop!$A$2:$N$415, 4, 0)</f>
        <v>233</v>
      </c>
      <c r="I166" s="79">
        <f t="shared" si="22"/>
        <v>2021</v>
      </c>
      <c r="J166" s="79"/>
      <c r="K166" s="79"/>
      <c r="L166" s="79" t="str">
        <f t="shared" ca="1" si="26"/>
        <v/>
      </c>
      <c r="M166" s="79" t="str">
        <f t="shared" ca="1" si="27"/>
        <v/>
      </c>
    </row>
    <row r="167" spans="1:13" x14ac:dyDescent="0.2">
      <c r="A167" s="144">
        <v>170</v>
      </c>
      <c r="B167" s="144" t="str">
        <f>VLOOKUP( $A167, Aop!$A$2:$N$415, 2, 0)</f>
        <v>BUa</v>
      </c>
      <c r="C167" s="79">
        <f t="shared" si="23"/>
        <v>4</v>
      </c>
      <c r="D167" s="79" t="str">
        <f t="shared" si="20"/>
        <v>01940155</v>
      </c>
      <c r="E167" s="79" t="str">
        <f t="shared" si="21"/>
        <v>4400929510006</v>
      </c>
      <c r="F167" s="79" t="b">
        <f t="shared" si="24"/>
        <v>0</v>
      </c>
      <c r="G167" s="188">
        <f t="shared" si="25"/>
        <v>44561</v>
      </c>
      <c r="H167" s="144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6"/>
        <v/>
      </c>
      <c r="M167" s="79">
        <f t="shared" ca="1" si="27"/>
        <v>4077</v>
      </c>
    </row>
    <row r="168" spans="1:13" x14ac:dyDescent="0.2">
      <c r="A168" s="144">
        <v>171</v>
      </c>
      <c r="B168" s="144" t="str">
        <f>VLOOKUP( $A168, Aop!$A$2:$N$415, 2, 0)</f>
        <v>BUa</v>
      </c>
      <c r="C168" s="79">
        <f t="shared" si="23"/>
        <v>4</v>
      </c>
      <c r="D168" s="79" t="str">
        <f t="shared" si="20"/>
        <v>01940155</v>
      </c>
      <c r="E168" s="79" t="str">
        <f t="shared" si="21"/>
        <v>4400929510006</v>
      </c>
      <c r="F168" s="79" t="b">
        <f t="shared" si="24"/>
        <v>0</v>
      </c>
      <c r="G168" s="188">
        <f t="shared" si="25"/>
        <v>44561</v>
      </c>
      <c r="H168" s="144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6"/>
        <v/>
      </c>
      <c r="M168" s="79" t="str">
        <f t="shared" ca="1" si="27"/>
        <v/>
      </c>
    </row>
    <row r="169" spans="1:13" x14ac:dyDescent="0.2">
      <c r="A169" s="144">
        <v>172</v>
      </c>
      <c r="B169" s="144" t="str">
        <f>VLOOKUP( $A169, Aop!$A$2:$N$415, 2, 0)</f>
        <v>BUa</v>
      </c>
      <c r="C169" s="79">
        <f t="shared" si="23"/>
        <v>4</v>
      </c>
      <c r="D169" s="79" t="str">
        <f t="shared" si="20"/>
        <v>01940155</v>
      </c>
      <c r="E169" s="79" t="str">
        <f t="shared" si="21"/>
        <v>4400929510006</v>
      </c>
      <c r="F169" s="79" t="b">
        <f t="shared" si="24"/>
        <v>0</v>
      </c>
      <c r="G169" s="188">
        <f t="shared" si="25"/>
        <v>44561</v>
      </c>
      <c r="H169" s="144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6"/>
        <v/>
      </c>
      <c r="M169" s="79" t="str">
        <f t="shared" ca="1" si="27"/>
        <v/>
      </c>
    </row>
    <row r="170" spans="1:13" x14ac:dyDescent="0.2">
      <c r="A170" s="144">
        <v>173</v>
      </c>
      <c r="B170" s="144" t="str">
        <f>VLOOKUP( $A170, Aop!$A$2:$N$415, 2, 0)</f>
        <v>BUa</v>
      </c>
      <c r="C170" s="79">
        <f t="shared" si="23"/>
        <v>4</v>
      </c>
      <c r="D170" s="79" t="str">
        <f t="shared" si="20"/>
        <v>01940155</v>
      </c>
      <c r="E170" s="79" t="str">
        <f t="shared" si="21"/>
        <v>4400929510006</v>
      </c>
      <c r="F170" s="79" t="b">
        <f t="shared" si="24"/>
        <v>0</v>
      </c>
      <c r="G170" s="188">
        <f t="shared" si="25"/>
        <v>44561</v>
      </c>
      <c r="H170" s="144">
        <f>VLOOKUP( $A170, Aop!$A$2:$N$415, 4, 0)</f>
        <v>237</v>
      </c>
      <c r="I170" s="79">
        <f t="shared" si="22"/>
        <v>2021</v>
      </c>
      <c r="J170" s="79"/>
      <c r="K170" s="79"/>
      <c r="L170" s="79" t="str">
        <f t="shared" ca="1" si="26"/>
        <v/>
      </c>
      <c r="M170" s="79" t="str">
        <f t="shared" ca="1" si="27"/>
        <v/>
      </c>
    </row>
    <row r="171" spans="1:13" x14ac:dyDescent="0.2">
      <c r="A171" s="144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01940155</v>
      </c>
      <c r="E171" s="79" t="str">
        <f>Podatak_JIB</f>
        <v>4400929510006</v>
      </c>
      <c r="F171" s="79" t="b">
        <f>Konsolidovan_izvjestaj</f>
        <v>0</v>
      </c>
      <c r="G171" s="188">
        <f>Datum_Broj</f>
        <v>44561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6"/>
        <v>112454</v>
      </c>
      <c r="M171" s="79">
        <f t="shared" ca="1" si="27"/>
        <v>137533</v>
      </c>
    </row>
    <row r="172" spans="1:13" x14ac:dyDescent="0.2">
      <c r="A172" s="144">
        <v>175</v>
      </c>
      <c r="B172" s="144" t="str">
        <f>VLOOKUP( $A172, Aop!$A$2:$N$415, 2, 0)</f>
        <v>BUa</v>
      </c>
      <c r="C172" s="79">
        <f t="shared" si="23"/>
        <v>4</v>
      </c>
      <c r="D172" s="79" t="str">
        <f t="shared" si="20"/>
        <v>01940155</v>
      </c>
      <c r="E172" s="79" t="str">
        <f t="shared" si="21"/>
        <v>4400929510006</v>
      </c>
      <c r="F172" s="79" t="b">
        <f t="shared" si="24"/>
        <v>0</v>
      </c>
      <c r="G172" s="188">
        <f t="shared" si="25"/>
        <v>44561</v>
      </c>
      <c r="H172" s="144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6"/>
        <v/>
      </c>
      <c r="M172" s="79" t="str">
        <f t="shared" ca="1" si="27"/>
        <v/>
      </c>
    </row>
    <row r="173" spans="1:13" x14ac:dyDescent="0.2">
      <c r="A173" s="144">
        <v>176</v>
      </c>
      <c r="B173" s="144" t="str">
        <f>VLOOKUP( $A173, Aop!$A$2:$N$415, 2, 0)</f>
        <v>BUa</v>
      </c>
      <c r="C173" s="79">
        <f t="shared" si="23"/>
        <v>4</v>
      </c>
      <c r="D173" s="79" t="str">
        <f t="shared" si="20"/>
        <v>01940155</v>
      </c>
      <c r="E173" s="79" t="str">
        <f t="shared" si="21"/>
        <v>4400929510006</v>
      </c>
      <c r="F173" s="79" t="b">
        <f t="shared" si="24"/>
        <v>0</v>
      </c>
      <c r="G173" s="188">
        <f t="shared" si="25"/>
        <v>44561</v>
      </c>
      <c r="H173" s="144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6"/>
        <v>104262</v>
      </c>
      <c r="M173" s="79">
        <f t="shared" ca="1" si="27"/>
        <v>125291</v>
      </c>
    </row>
    <row r="174" spans="1:13" x14ac:dyDescent="0.2">
      <c r="A174" s="144">
        <v>177</v>
      </c>
      <c r="B174" s="144" t="str">
        <f>VLOOKUP( $A174, Aop!$A$2:$N$415, 2, 0)</f>
        <v>BUa</v>
      </c>
      <c r="C174" s="79">
        <f t="shared" si="23"/>
        <v>4</v>
      </c>
      <c r="D174" s="79" t="str">
        <f t="shared" si="20"/>
        <v>01940155</v>
      </c>
      <c r="E174" s="79" t="str">
        <f t="shared" si="21"/>
        <v>4400929510006</v>
      </c>
      <c r="F174" s="79" t="b">
        <f t="shared" si="24"/>
        <v>0</v>
      </c>
      <c r="G174" s="188">
        <f t="shared" si="25"/>
        <v>44561</v>
      </c>
      <c r="H174" s="144">
        <f>VLOOKUP( $A174, Aop!$A$2:$N$415, 4, 0)</f>
        <v>241</v>
      </c>
      <c r="I174" s="79">
        <f t="shared" si="22"/>
        <v>2021</v>
      </c>
      <c r="J174" s="79"/>
      <c r="K174" s="79"/>
      <c r="L174" s="79">
        <f t="shared" ca="1" si="26"/>
        <v>8192</v>
      </c>
      <c r="M174" s="79">
        <f t="shared" ca="1" si="27"/>
        <v>12242</v>
      </c>
    </row>
    <row r="175" spans="1:13" x14ac:dyDescent="0.2">
      <c r="A175" s="144">
        <v>178</v>
      </c>
      <c r="B175" s="144" t="str">
        <f>VLOOKUP( $A175, Aop!$A$2:$N$415, 2, 0)</f>
        <v>BUa</v>
      </c>
      <c r="C175" s="79">
        <f t="shared" si="23"/>
        <v>4</v>
      </c>
      <c r="D175" s="79" t="str">
        <f t="shared" si="20"/>
        <v>01940155</v>
      </c>
      <c r="E175" s="79" t="str">
        <f t="shared" si="21"/>
        <v>4400929510006</v>
      </c>
      <c r="F175" s="79" t="b">
        <f t="shared" si="24"/>
        <v>0</v>
      </c>
      <c r="G175" s="188">
        <f t="shared" si="25"/>
        <v>44561</v>
      </c>
      <c r="H175" s="144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6"/>
        <v/>
      </c>
      <c r="M175" s="79" t="str">
        <f t="shared" ca="1" si="27"/>
        <v/>
      </c>
    </row>
    <row r="176" spans="1:13" x14ac:dyDescent="0.2">
      <c r="A176" s="144">
        <v>179</v>
      </c>
      <c r="B176" s="144" t="str">
        <f>VLOOKUP( $A176, Aop!$A$2:$N$415, 2, 0)</f>
        <v>BUa</v>
      </c>
      <c r="C176" s="79">
        <f t="shared" si="23"/>
        <v>4</v>
      </c>
      <c r="D176" s="79" t="str">
        <f t="shared" si="20"/>
        <v>01940155</v>
      </c>
      <c r="E176" s="79" t="str">
        <f t="shared" si="21"/>
        <v>4400929510006</v>
      </c>
      <c r="F176" s="79" t="b">
        <f t="shared" si="24"/>
        <v>0</v>
      </c>
      <c r="G176" s="188">
        <f t="shared" si="25"/>
        <v>44561</v>
      </c>
      <c r="H176" s="144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6"/>
        <v/>
      </c>
      <c r="M176" s="79" t="str">
        <f t="shared" ca="1" si="27"/>
        <v/>
      </c>
    </row>
    <row r="177" spans="1:13" x14ac:dyDescent="0.2">
      <c r="A177" s="144">
        <v>180</v>
      </c>
      <c r="B177" s="144" t="str">
        <f>VLOOKUP( $A177, Aop!$A$2:$N$415, 2, 0)</f>
        <v>BUa</v>
      </c>
      <c r="C177" s="79">
        <f t="shared" si="23"/>
        <v>4</v>
      </c>
      <c r="D177" s="79" t="str">
        <f t="shared" si="20"/>
        <v>01940155</v>
      </c>
      <c r="E177" s="79" t="str">
        <f t="shared" si="21"/>
        <v>4400929510006</v>
      </c>
      <c r="F177" s="79" t="b">
        <f t="shared" si="24"/>
        <v>0</v>
      </c>
      <c r="G177" s="188">
        <f t="shared" si="25"/>
        <v>44561</v>
      </c>
      <c r="H177" s="144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6"/>
        <v>621088</v>
      </c>
      <c r="M177" s="79">
        <f t="shared" ca="1" si="27"/>
        <v>42681</v>
      </c>
    </row>
    <row r="178" spans="1:13" x14ac:dyDescent="0.2">
      <c r="A178" s="144">
        <v>181</v>
      </c>
      <c r="B178" s="144" t="str">
        <f>VLOOKUP( $A178, Aop!$A$2:$N$415, 2, 0)</f>
        <v>BUa</v>
      </c>
      <c r="C178" s="79">
        <f t="shared" si="23"/>
        <v>4</v>
      </c>
      <c r="D178" s="79" t="str">
        <f t="shared" si="20"/>
        <v>01940155</v>
      </c>
      <c r="E178" s="79" t="str">
        <f t="shared" si="21"/>
        <v>4400929510006</v>
      </c>
      <c r="F178" s="79" t="b">
        <f t="shared" si="24"/>
        <v>0</v>
      </c>
      <c r="G178" s="188">
        <f t="shared" si="25"/>
        <v>44561</v>
      </c>
      <c r="H178" s="144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6"/>
        <v>0</v>
      </c>
      <c r="M178" s="79">
        <f t="shared" ca="1" si="27"/>
        <v>0</v>
      </c>
    </row>
    <row r="179" spans="1:13" x14ac:dyDescent="0.2">
      <c r="A179" s="144">
        <v>183</v>
      </c>
      <c r="B179" s="144" t="str">
        <f>VLOOKUP( $A179, Aop!$A$2:$N$415, 2, 0)</f>
        <v>BUa</v>
      </c>
      <c r="C179" s="79">
        <f t="shared" si="23"/>
        <v>4</v>
      </c>
      <c r="D179" s="79" t="str">
        <f t="shared" si="20"/>
        <v>01940155</v>
      </c>
      <c r="E179" s="79" t="str">
        <f t="shared" si="21"/>
        <v>4400929510006</v>
      </c>
      <c r="F179" s="79" t="b">
        <f t="shared" si="24"/>
        <v>0</v>
      </c>
      <c r="G179" s="188">
        <f t="shared" si="25"/>
        <v>44561</v>
      </c>
      <c r="H179" s="144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6"/>
        <v>1500</v>
      </c>
      <c r="M179" s="79">
        <f t="shared" ca="1" si="27"/>
        <v>24477</v>
      </c>
    </row>
    <row r="180" spans="1:13" x14ac:dyDescent="0.2">
      <c r="A180" s="144">
        <v>184</v>
      </c>
      <c r="B180" s="144" t="str">
        <f>VLOOKUP( $A180, Aop!$A$2:$N$415, 2, 0)</f>
        <v>BUa</v>
      </c>
      <c r="C180" s="79">
        <f t="shared" si="23"/>
        <v>4</v>
      </c>
      <c r="D180" s="79" t="str">
        <f t="shared" si="20"/>
        <v>01940155</v>
      </c>
      <c r="E180" s="79" t="str">
        <f t="shared" si="21"/>
        <v>4400929510006</v>
      </c>
      <c r="F180" s="79" t="b">
        <f t="shared" si="24"/>
        <v>0</v>
      </c>
      <c r="G180" s="188">
        <f t="shared" si="25"/>
        <v>44561</v>
      </c>
      <c r="H180" s="144">
        <f>VLOOKUP( $A180, Aop!$A$2:$N$415, 4, 0)</f>
        <v>247</v>
      </c>
      <c r="I180" s="79">
        <f t="shared" si="22"/>
        <v>2021</v>
      </c>
      <c r="J180" s="79"/>
      <c r="K180" s="79"/>
      <c r="L180" s="79">
        <f t="shared" ca="1" si="26"/>
        <v>1500</v>
      </c>
      <c r="M180" s="79">
        <f t="shared" ca="1" si="27"/>
        <v>24477</v>
      </c>
    </row>
    <row r="181" spans="1:13" x14ac:dyDescent="0.2">
      <c r="A181" s="144">
        <v>185</v>
      </c>
      <c r="B181" s="144" t="str">
        <f>VLOOKUP( $A181, Aop!$A$2:$N$415, 2, 0)</f>
        <v>BUa</v>
      </c>
      <c r="C181" s="79">
        <f t="shared" si="23"/>
        <v>4</v>
      </c>
      <c r="D181" s="79" t="str">
        <f t="shared" si="20"/>
        <v>01940155</v>
      </c>
      <c r="E181" s="79" t="str">
        <f t="shared" si="21"/>
        <v>4400929510006</v>
      </c>
      <c r="F181" s="79" t="b">
        <f t="shared" si="24"/>
        <v>0</v>
      </c>
      <c r="G181" s="188">
        <f t="shared" si="25"/>
        <v>44561</v>
      </c>
      <c r="H181" s="144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6"/>
        <v/>
      </c>
      <c r="M181" s="79" t="str">
        <f t="shared" ca="1" si="27"/>
        <v/>
      </c>
    </row>
    <row r="182" spans="1:13" x14ac:dyDescent="0.2">
      <c r="A182" s="144">
        <v>186</v>
      </c>
      <c r="B182" s="144" t="str">
        <f>VLOOKUP( $A182, Aop!$A$2:$N$415, 2, 0)</f>
        <v>BUa</v>
      </c>
      <c r="C182" s="79">
        <f t="shared" si="23"/>
        <v>4</v>
      </c>
      <c r="D182" s="79" t="str">
        <f t="shared" si="20"/>
        <v>01940155</v>
      </c>
      <c r="E182" s="79" t="str">
        <f t="shared" si="21"/>
        <v>4400929510006</v>
      </c>
      <c r="F182" s="79" t="b">
        <f t="shared" si="24"/>
        <v>0</v>
      </c>
      <c r="G182" s="188">
        <f t="shared" si="25"/>
        <v>44561</v>
      </c>
      <c r="H182" s="144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6"/>
        <v/>
      </c>
      <c r="M182" s="79" t="str">
        <f t="shared" ca="1" si="27"/>
        <v/>
      </c>
    </row>
    <row r="183" spans="1:13" x14ac:dyDescent="0.2">
      <c r="A183" s="144">
        <v>187</v>
      </c>
      <c r="B183" s="144" t="str">
        <f>VLOOKUP( $A183, Aop!$A$2:$N$415, 2, 0)</f>
        <v>BUa</v>
      </c>
      <c r="C183" s="79">
        <f t="shared" si="23"/>
        <v>4</v>
      </c>
      <c r="D183" s="79" t="str">
        <f t="shared" si="20"/>
        <v>01940155</v>
      </c>
      <c r="E183" s="79" t="str">
        <f t="shared" si="21"/>
        <v>4400929510006</v>
      </c>
      <c r="F183" s="79" t="b">
        <f t="shared" si="24"/>
        <v>0</v>
      </c>
      <c r="G183" s="188">
        <f t="shared" si="25"/>
        <v>44561</v>
      </c>
      <c r="H183" s="144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6"/>
        <v/>
      </c>
      <c r="M183" s="79" t="str">
        <f t="shared" ca="1" si="27"/>
        <v/>
      </c>
    </row>
    <row r="184" spans="1:13" x14ac:dyDescent="0.2">
      <c r="A184" s="144">
        <v>188</v>
      </c>
      <c r="B184" s="144" t="str">
        <f>VLOOKUP( $A184, Aop!$A$2:$N$415, 2, 0)</f>
        <v>BUa</v>
      </c>
      <c r="C184" s="79">
        <f t="shared" si="23"/>
        <v>4</v>
      </c>
      <c r="D184" s="79" t="str">
        <f t="shared" si="20"/>
        <v>01940155</v>
      </c>
      <c r="E184" s="79" t="str">
        <f t="shared" si="21"/>
        <v>4400929510006</v>
      </c>
      <c r="F184" s="79" t="b">
        <f t="shared" si="24"/>
        <v>0</v>
      </c>
      <c r="G184" s="188">
        <f t="shared" si="25"/>
        <v>44561</v>
      </c>
      <c r="H184" s="144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6"/>
        <v/>
      </c>
      <c r="M184" s="79" t="str">
        <f t="shared" ca="1" si="27"/>
        <v/>
      </c>
    </row>
    <row r="185" spans="1:13" x14ac:dyDescent="0.2">
      <c r="A185" s="144">
        <v>189</v>
      </c>
      <c r="B185" s="144" t="str">
        <f>VLOOKUP( $A185, Aop!$A$2:$N$415, 2, 0)</f>
        <v>BUa</v>
      </c>
      <c r="C185" s="79">
        <f t="shared" si="23"/>
        <v>4</v>
      </c>
      <c r="D185" s="79" t="str">
        <f t="shared" si="20"/>
        <v>01940155</v>
      </c>
      <c r="E185" s="79" t="str">
        <f t="shared" si="21"/>
        <v>4400929510006</v>
      </c>
      <c r="F185" s="79" t="b">
        <f t="shared" si="24"/>
        <v>0</v>
      </c>
      <c r="G185" s="188">
        <f t="shared" si="25"/>
        <v>44561</v>
      </c>
      <c r="H185" s="144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6"/>
        <v/>
      </c>
      <c r="M185" s="79" t="str">
        <f t="shared" ca="1" si="27"/>
        <v/>
      </c>
    </row>
    <row r="186" spans="1:13" x14ac:dyDescent="0.2">
      <c r="A186" s="144">
        <v>190</v>
      </c>
      <c r="B186" s="144" t="str">
        <f>VLOOKUP( $A186, Aop!$A$2:$N$415, 2, 0)</f>
        <v>BUa</v>
      </c>
      <c r="C186" s="79">
        <f t="shared" si="23"/>
        <v>4</v>
      </c>
      <c r="D186" s="79" t="str">
        <f t="shared" si="20"/>
        <v>01940155</v>
      </c>
      <c r="E186" s="79" t="str">
        <f t="shared" si="21"/>
        <v>4400929510006</v>
      </c>
      <c r="F186" s="79" t="b">
        <f t="shared" si="24"/>
        <v>0</v>
      </c>
      <c r="G186" s="188">
        <f t="shared" si="25"/>
        <v>44561</v>
      </c>
      <c r="H186" s="144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6"/>
        <v/>
      </c>
      <c r="M186" s="79" t="str">
        <f t="shared" ca="1" si="27"/>
        <v/>
      </c>
    </row>
    <row r="187" spans="1:13" x14ac:dyDescent="0.2">
      <c r="A187" s="144">
        <v>191</v>
      </c>
      <c r="B187" s="144" t="str">
        <f>VLOOKUP( $A187, Aop!$A$2:$N$415, 2, 0)</f>
        <v>BUa</v>
      </c>
      <c r="C187" s="79">
        <f t="shared" si="23"/>
        <v>4</v>
      </c>
      <c r="D187" s="79" t="str">
        <f t="shared" si="20"/>
        <v>01940155</v>
      </c>
      <c r="E187" s="79" t="str">
        <f t="shared" si="21"/>
        <v>4400929510006</v>
      </c>
      <c r="F187" s="79" t="b">
        <f t="shared" si="24"/>
        <v>0</v>
      </c>
      <c r="G187" s="188">
        <f t="shared" si="25"/>
        <v>44561</v>
      </c>
      <c r="H187" s="144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6"/>
        <v/>
      </c>
      <c r="M187" s="79" t="str">
        <f t="shared" ca="1" si="27"/>
        <v/>
      </c>
    </row>
    <row r="188" spans="1:13" x14ac:dyDescent="0.2">
      <c r="A188" s="144">
        <v>192</v>
      </c>
      <c r="B188" s="144" t="str">
        <f>VLOOKUP( $A188, Aop!$A$2:$N$415, 2, 0)</f>
        <v>BUa</v>
      </c>
      <c r="C188" s="79">
        <f t="shared" si="23"/>
        <v>4</v>
      </c>
      <c r="D188" s="79" t="str">
        <f t="shared" si="20"/>
        <v>01940155</v>
      </c>
      <c r="E188" s="79" t="str">
        <f t="shared" si="21"/>
        <v>4400929510006</v>
      </c>
      <c r="F188" s="79" t="b">
        <f t="shared" si="24"/>
        <v>0</v>
      </c>
      <c r="G188" s="188">
        <f t="shared" si="25"/>
        <v>44561</v>
      </c>
      <c r="H188" s="144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6"/>
        <v/>
      </c>
      <c r="M188" s="79" t="str">
        <f t="shared" ca="1" si="27"/>
        <v/>
      </c>
    </row>
    <row r="189" spans="1:13" x14ac:dyDescent="0.2">
      <c r="A189" s="144">
        <v>193</v>
      </c>
      <c r="B189" s="144" t="str">
        <f>VLOOKUP( $A189, Aop!$A$2:$N$415, 2, 0)</f>
        <v>BUa</v>
      </c>
      <c r="C189" s="79">
        <f t="shared" si="23"/>
        <v>4</v>
      </c>
      <c r="D189" s="79" t="str">
        <f t="shared" ref="D189:D250" si="28">Podatak_MB</f>
        <v>01940155</v>
      </c>
      <c r="E189" s="79" t="str">
        <f t="shared" ref="E189:E250" si="29">Podatak_JIB</f>
        <v>4400929510006</v>
      </c>
      <c r="F189" s="79" t="b">
        <f t="shared" si="24"/>
        <v>0</v>
      </c>
      <c r="G189" s="188">
        <f t="shared" si="25"/>
        <v>44561</v>
      </c>
      <c r="H189" s="144">
        <f>VLOOKUP( $A189, Aop!$A$2:$N$415, 4, 0)</f>
        <v>256</v>
      </c>
      <c r="I189" s="79">
        <f t="shared" ref="I189:I250" si="30">Godina</f>
        <v>2021</v>
      </c>
      <c r="J189" s="79"/>
      <c r="K189" s="79"/>
      <c r="L189" s="79" t="str">
        <f t="shared" ca="1" si="26"/>
        <v/>
      </c>
      <c r="M189" s="79" t="str">
        <f t="shared" ca="1" si="27"/>
        <v/>
      </c>
    </row>
    <row r="190" spans="1:13" x14ac:dyDescent="0.2">
      <c r="A190" s="144">
        <v>194</v>
      </c>
      <c r="B190" s="144" t="str">
        <f>VLOOKUP( $A190, Aop!$A$2:$N$415, 2, 0)</f>
        <v>BUa</v>
      </c>
      <c r="C190" s="79">
        <f t="shared" ref="C190:C251" si="31">ID_Izvjestaj</f>
        <v>4</v>
      </c>
      <c r="D190" s="79" t="str">
        <f t="shared" si="28"/>
        <v>01940155</v>
      </c>
      <c r="E190" s="79" t="str">
        <f t="shared" si="29"/>
        <v>4400929510006</v>
      </c>
      <c r="F190" s="79" t="b">
        <f t="shared" ref="F190:F251" si="32">Konsolidovan_izvjestaj</f>
        <v>0</v>
      </c>
      <c r="G190" s="188">
        <f t="shared" ref="G190:G251" si="33">Datum_Broj</f>
        <v>44561</v>
      </c>
      <c r="H190" s="144">
        <f>VLOOKUP( $A190, Aop!$A$2:$N$415, 4, 0)</f>
        <v>257</v>
      </c>
      <c r="I190" s="79">
        <f t="shared" si="30"/>
        <v>2021</v>
      </c>
      <c r="J190" s="79"/>
      <c r="K190" s="79"/>
      <c r="L190" s="79">
        <f t="shared" ca="1" si="26"/>
        <v>87220</v>
      </c>
      <c r="M190" s="79">
        <f t="shared" ca="1" si="27"/>
        <v>54406</v>
      </c>
    </row>
    <row r="191" spans="1:13" x14ac:dyDescent="0.2">
      <c r="A191" s="144">
        <v>195</v>
      </c>
      <c r="B191" s="144" t="str">
        <f>VLOOKUP( $A191, Aop!$A$2:$N$415, 2, 0)</f>
        <v>BUa</v>
      </c>
      <c r="C191" s="79">
        <f t="shared" si="31"/>
        <v>4</v>
      </c>
      <c r="D191" s="79" t="str">
        <f t="shared" si="28"/>
        <v>01940155</v>
      </c>
      <c r="E191" s="79" t="str">
        <f t="shared" si="29"/>
        <v>4400929510006</v>
      </c>
      <c r="F191" s="79" t="b">
        <f t="shared" si="32"/>
        <v>0</v>
      </c>
      <c r="G191" s="188">
        <f t="shared" si="33"/>
        <v>44561</v>
      </c>
      <c r="H191" s="144">
        <f>VLOOKUP( $A191, Aop!$A$2:$N$415, 4, 0)</f>
        <v>258</v>
      </c>
      <c r="I191" s="79">
        <f t="shared" si="30"/>
        <v>2021</v>
      </c>
      <c r="J191" s="79"/>
      <c r="K191" s="79"/>
      <c r="L191" s="79">
        <f t="shared" ca="1" si="26"/>
        <v>1413</v>
      </c>
      <c r="M191" s="79" t="str">
        <f t="shared" ca="1" si="27"/>
        <v/>
      </c>
    </row>
    <row r="192" spans="1:13" x14ac:dyDescent="0.2">
      <c r="A192" s="144">
        <v>196</v>
      </c>
      <c r="B192" s="144" t="str">
        <f>VLOOKUP( $A192, Aop!$A$2:$N$415, 2, 0)</f>
        <v>BUa</v>
      </c>
      <c r="C192" s="79">
        <f t="shared" si="31"/>
        <v>4</v>
      </c>
      <c r="D192" s="79" t="str">
        <f t="shared" si="28"/>
        <v>01940155</v>
      </c>
      <c r="E192" s="79" t="str">
        <f t="shared" si="29"/>
        <v>4400929510006</v>
      </c>
      <c r="F192" s="79" t="b">
        <f t="shared" si="32"/>
        <v>0</v>
      </c>
      <c r="G192" s="188">
        <f t="shared" si="33"/>
        <v>44561</v>
      </c>
      <c r="H192" s="144">
        <f>VLOOKUP( $A192, Aop!$A$2:$N$415, 4, 0)</f>
        <v>259</v>
      </c>
      <c r="I192" s="79">
        <f t="shared" si="30"/>
        <v>2021</v>
      </c>
      <c r="J192" s="79"/>
      <c r="K192" s="79"/>
      <c r="L192" s="79" t="str">
        <f t="shared" ca="1" si="26"/>
        <v/>
      </c>
      <c r="M192" s="79" t="str">
        <f t="shared" ca="1" si="27"/>
        <v/>
      </c>
    </row>
    <row r="193" spans="1:13" x14ac:dyDescent="0.2">
      <c r="A193" s="144">
        <v>197</v>
      </c>
      <c r="B193" s="144" t="str">
        <f>VLOOKUP( $A193, Aop!$A$2:$N$415, 2, 0)</f>
        <v>BUa</v>
      </c>
      <c r="C193" s="79">
        <f t="shared" si="31"/>
        <v>4</v>
      </c>
      <c r="D193" s="79" t="str">
        <f t="shared" si="28"/>
        <v>01940155</v>
      </c>
      <c r="E193" s="79" t="str">
        <f t="shared" si="29"/>
        <v>4400929510006</v>
      </c>
      <c r="F193" s="79" t="b">
        <f t="shared" si="32"/>
        <v>0</v>
      </c>
      <c r="G193" s="188">
        <f t="shared" si="33"/>
        <v>44561</v>
      </c>
      <c r="H193" s="144">
        <f>VLOOKUP( $A193, Aop!$A$2:$N$415, 4, 0)</f>
        <v>260</v>
      </c>
      <c r="I193" s="79">
        <f t="shared" si="30"/>
        <v>2021</v>
      </c>
      <c r="J193" s="79"/>
      <c r="K193" s="79"/>
      <c r="L193" s="79" t="str">
        <f t="shared" ca="1" si="26"/>
        <v/>
      </c>
      <c r="M193" s="79" t="str">
        <f t="shared" ca="1" si="27"/>
        <v/>
      </c>
    </row>
    <row r="194" spans="1:13" x14ac:dyDescent="0.2">
      <c r="A194" s="144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01940155</v>
      </c>
      <c r="E194" s="79" t="str">
        <f>Podatak_JIB</f>
        <v>4400929510006</v>
      </c>
      <c r="F194" s="79" t="b">
        <f>Konsolidovan_izvjestaj</f>
        <v>0</v>
      </c>
      <c r="G194" s="188">
        <f>Datum_Broj</f>
        <v>44561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4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5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4">
        <v>199</v>
      </c>
      <c r="B195" s="144" t="str">
        <f>VLOOKUP( $A195, Aop!$A$2:$N$415, 2, 0)</f>
        <v>BUa</v>
      </c>
      <c r="C195" s="79">
        <f t="shared" si="31"/>
        <v>4</v>
      </c>
      <c r="D195" s="79" t="str">
        <f t="shared" si="28"/>
        <v>01940155</v>
      </c>
      <c r="E195" s="79" t="str">
        <f t="shared" si="29"/>
        <v>4400929510006</v>
      </c>
      <c r="F195" s="79" t="b">
        <f t="shared" si="32"/>
        <v>0</v>
      </c>
      <c r="G195" s="188">
        <f t="shared" si="33"/>
        <v>44561</v>
      </c>
      <c r="H195" s="144">
        <f>VLOOKUP( $A195, Aop!$A$2:$N$415, 4, 0)</f>
        <v>262</v>
      </c>
      <c r="I195" s="79">
        <f t="shared" si="30"/>
        <v>2021</v>
      </c>
      <c r="J195" s="79"/>
      <c r="K195" s="79"/>
      <c r="L195" s="79" t="str">
        <f t="shared" ca="1" si="34"/>
        <v/>
      </c>
      <c r="M195" s="79" t="str">
        <f t="shared" ca="1" si="35"/>
        <v/>
      </c>
    </row>
    <row r="196" spans="1:13" x14ac:dyDescent="0.2">
      <c r="A196" s="144">
        <v>200</v>
      </c>
      <c r="B196" s="144" t="str">
        <f>VLOOKUP( $A196, Aop!$A$2:$N$415, 2, 0)</f>
        <v>BUa</v>
      </c>
      <c r="C196" s="79">
        <f t="shared" si="31"/>
        <v>4</v>
      </c>
      <c r="D196" s="79" t="str">
        <f t="shared" si="28"/>
        <v>01940155</v>
      </c>
      <c r="E196" s="79" t="str">
        <f t="shared" si="29"/>
        <v>4400929510006</v>
      </c>
      <c r="F196" s="79" t="b">
        <f t="shared" si="32"/>
        <v>0</v>
      </c>
      <c r="G196" s="188">
        <f t="shared" si="33"/>
        <v>44561</v>
      </c>
      <c r="H196" s="144">
        <f>VLOOKUP( $A196, Aop!$A$2:$N$415, 4, 0)</f>
        <v>263</v>
      </c>
      <c r="I196" s="79">
        <f t="shared" si="30"/>
        <v>2021</v>
      </c>
      <c r="J196" s="79"/>
      <c r="K196" s="79"/>
      <c r="L196" s="79" t="str">
        <f t="shared" ca="1" si="34"/>
        <v/>
      </c>
      <c r="M196" s="79" t="str">
        <f t="shared" ca="1" si="35"/>
        <v/>
      </c>
    </row>
    <row r="197" spans="1:13" x14ac:dyDescent="0.2">
      <c r="A197" s="144">
        <v>201</v>
      </c>
      <c r="B197" s="144" t="str">
        <f>VLOOKUP( $A197, Aop!$A$2:$N$415, 2, 0)</f>
        <v>BUa</v>
      </c>
      <c r="C197" s="79">
        <f t="shared" si="31"/>
        <v>4</v>
      </c>
      <c r="D197" s="79" t="str">
        <f t="shared" si="28"/>
        <v>01940155</v>
      </c>
      <c r="E197" s="79" t="str">
        <f t="shared" si="29"/>
        <v>4400929510006</v>
      </c>
      <c r="F197" s="79" t="b">
        <f t="shared" si="32"/>
        <v>0</v>
      </c>
      <c r="G197" s="188">
        <f t="shared" si="33"/>
        <v>44561</v>
      </c>
      <c r="H197" s="144">
        <f>VLOOKUP( $A197, Aop!$A$2:$N$415, 4, 0)</f>
        <v>264</v>
      </c>
      <c r="I197" s="79">
        <f t="shared" si="30"/>
        <v>2021</v>
      </c>
      <c r="J197" s="79"/>
      <c r="K197" s="79"/>
      <c r="L197" s="79" t="str">
        <f t="shared" ca="1" si="34"/>
        <v/>
      </c>
      <c r="M197" s="79" t="str">
        <f t="shared" ca="1" si="35"/>
        <v/>
      </c>
    </row>
    <row r="198" spans="1:13" x14ac:dyDescent="0.2">
      <c r="A198" s="144">
        <v>202</v>
      </c>
      <c r="B198" s="144" t="str">
        <f>VLOOKUP( $A198, Aop!$A$2:$N$415, 2, 0)</f>
        <v>BUa</v>
      </c>
      <c r="C198" s="79">
        <f t="shared" si="31"/>
        <v>4</v>
      </c>
      <c r="D198" s="79" t="str">
        <f t="shared" si="28"/>
        <v>01940155</v>
      </c>
      <c r="E198" s="79" t="str">
        <f t="shared" si="29"/>
        <v>4400929510006</v>
      </c>
      <c r="F198" s="79" t="b">
        <f t="shared" si="32"/>
        <v>0</v>
      </c>
      <c r="G198" s="188">
        <f t="shared" si="33"/>
        <v>44561</v>
      </c>
      <c r="H198" s="144">
        <f>VLOOKUP( $A198, Aop!$A$2:$N$415, 4, 0)</f>
        <v>265</v>
      </c>
      <c r="I198" s="79">
        <f t="shared" si="30"/>
        <v>2021</v>
      </c>
      <c r="J198" s="79"/>
      <c r="K198" s="79"/>
      <c r="L198" s="79" t="str">
        <f t="shared" ca="1" si="34"/>
        <v/>
      </c>
      <c r="M198" s="79" t="str">
        <f t="shared" ca="1" si="35"/>
        <v/>
      </c>
    </row>
    <row r="199" spans="1:13" x14ac:dyDescent="0.2">
      <c r="A199" s="144">
        <v>203</v>
      </c>
      <c r="B199" s="144" t="str">
        <f>VLOOKUP( $A199, Aop!$A$2:$N$415, 2, 0)</f>
        <v>BUa</v>
      </c>
      <c r="C199" s="79">
        <f t="shared" si="31"/>
        <v>4</v>
      </c>
      <c r="D199" s="79" t="str">
        <f t="shared" si="28"/>
        <v>01940155</v>
      </c>
      <c r="E199" s="79" t="str">
        <f t="shared" si="29"/>
        <v>4400929510006</v>
      </c>
      <c r="F199" s="79" t="b">
        <f t="shared" si="32"/>
        <v>0</v>
      </c>
      <c r="G199" s="188">
        <f t="shared" si="33"/>
        <v>44561</v>
      </c>
      <c r="H199" s="144">
        <f>VLOOKUP( $A199, Aop!$A$2:$N$415, 4, 0)</f>
        <v>266</v>
      </c>
      <c r="I199" s="79">
        <f t="shared" si="30"/>
        <v>2021</v>
      </c>
      <c r="J199" s="79"/>
      <c r="K199" s="79"/>
      <c r="L199" s="79">
        <f t="shared" ca="1" si="34"/>
        <v>7078</v>
      </c>
      <c r="M199" s="79" t="str">
        <f t="shared" ca="1" si="35"/>
        <v/>
      </c>
    </row>
    <row r="200" spans="1:13" x14ac:dyDescent="0.2">
      <c r="A200" s="144">
        <v>204</v>
      </c>
      <c r="B200" s="144" t="str">
        <f>VLOOKUP( $A200, Aop!$A$2:$N$415, 2, 0)</f>
        <v>BUa</v>
      </c>
      <c r="C200" s="79">
        <f t="shared" si="31"/>
        <v>4</v>
      </c>
      <c r="D200" s="79" t="str">
        <f t="shared" si="28"/>
        <v>01940155</v>
      </c>
      <c r="E200" s="79" t="str">
        <f t="shared" si="29"/>
        <v>4400929510006</v>
      </c>
      <c r="F200" s="79" t="b">
        <f t="shared" si="32"/>
        <v>0</v>
      </c>
      <c r="G200" s="188">
        <f t="shared" si="33"/>
        <v>44561</v>
      </c>
      <c r="H200" s="144">
        <f>VLOOKUP( $A200, Aop!$A$2:$N$415, 4, 0)</f>
        <v>267</v>
      </c>
      <c r="I200" s="79">
        <f t="shared" si="30"/>
        <v>2021</v>
      </c>
      <c r="J200" s="79"/>
      <c r="K200" s="79"/>
      <c r="L200" s="79">
        <f t="shared" ca="1" si="34"/>
        <v>78729</v>
      </c>
      <c r="M200" s="79">
        <f t="shared" ca="1" si="35"/>
        <v>54406</v>
      </c>
    </row>
    <row r="201" spans="1:13" x14ac:dyDescent="0.2">
      <c r="A201" s="144">
        <v>205</v>
      </c>
      <c r="B201" s="144" t="str">
        <f>VLOOKUP( $A201, Aop!$A$2:$N$415, 2, 0)</f>
        <v>BUa</v>
      </c>
      <c r="C201" s="79">
        <f t="shared" si="31"/>
        <v>4</v>
      </c>
      <c r="D201" s="79" t="str">
        <f t="shared" si="28"/>
        <v>01940155</v>
      </c>
      <c r="E201" s="79" t="str">
        <f t="shared" si="29"/>
        <v>4400929510006</v>
      </c>
      <c r="F201" s="79" t="b">
        <f t="shared" si="32"/>
        <v>0</v>
      </c>
      <c r="G201" s="188">
        <f t="shared" si="33"/>
        <v>44561</v>
      </c>
      <c r="H201" s="144">
        <f>VLOOKUP( $A201, Aop!$A$2:$N$415, 4, 0)</f>
        <v>268</v>
      </c>
      <c r="I201" s="79">
        <f t="shared" si="30"/>
        <v>2021</v>
      </c>
      <c r="J201" s="79"/>
      <c r="K201" s="79"/>
      <c r="L201" s="79">
        <f t="shared" ca="1" si="34"/>
        <v>0</v>
      </c>
      <c r="M201" s="79">
        <f t="shared" ca="1" si="35"/>
        <v>0</v>
      </c>
    </row>
    <row r="202" spans="1:13" x14ac:dyDescent="0.2">
      <c r="A202" s="144">
        <v>206</v>
      </c>
      <c r="B202" s="144" t="str">
        <f>VLOOKUP( $A202, Aop!$A$2:$N$415, 2, 0)</f>
        <v>BUa</v>
      </c>
      <c r="C202" s="79">
        <f t="shared" si="31"/>
        <v>4</v>
      </c>
      <c r="D202" s="79" t="str">
        <f t="shared" si="28"/>
        <v>01940155</v>
      </c>
      <c r="E202" s="79" t="str">
        <f t="shared" si="29"/>
        <v>4400929510006</v>
      </c>
      <c r="F202" s="79" t="b">
        <f t="shared" si="32"/>
        <v>0</v>
      </c>
      <c r="G202" s="188">
        <f t="shared" si="33"/>
        <v>44561</v>
      </c>
      <c r="H202" s="144">
        <f>VLOOKUP( $A202, Aop!$A$2:$N$415, 4, 0)</f>
        <v>269</v>
      </c>
      <c r="I202" s="79">
        <f t="shared" si="30"/>
        <v>2021</v>
      </c>
      <c r="J202" s="79"/>
      <c r="K202" s="79"/>
      <c r="L202" s="79">
        <f t="shared" ca="1" si="34"/>
        <v>85720</v>
      </c>
      <c r="M202" s="79">
        <f t="shared" ca="1" si="35"/>
        <v>29929</v>
      </c>
    </row>
    <row r="203" spans="1:13" x14ac:dyDescent="0.2">
      <c r="A203" s="144">
        <v>208</v>
      </c>
      <c r="B203" s="144" t="str">
        <f>VLOOKUP( $A203, Aop!$A$2:$N$415, 2, 0)</f>
        <v>BUa</v>
      </c>
      <c r="C203" s="79">
        <f t="shared" si="31"/>
        <v>4</v>
      </c>
      <c r="D203" s="79" t="str">
        <f t="shared" si="28"/>
        <v>01940155</v>
      </c>
      <c r="E203" s="79" t="str">
        <f t="shared" si="29"/>
        <v>4400929510006</v>
      </c>
      <c r="F203" s="79" t="b">
        <f t="shared" si="32"/>
        <v>0</v>
      </c>
      <c r="G203" s="188">
        <f t="shared" si="33"/>
        <v>44561</v>
      </c>
      <c r="H203" s="144">
        <f>VLOOKUP( $A203, Aop!$A$2:$N$415, 4, 0)</f>
        <v>270</v>
      </c>
      <c r="I203" s="79">
        <f t="shared" si="30"/>
        <v>2021</v>
      </c>
      <c r="J203" s="79"/>
      <c r="K203" s="79"/>
      <c r="L203" s="79">
        <f t="shared" ca="1" si="34"/>
        <v>0</v>
      </c>
      <c r="M203" s="79">
        <f t="shared" ca="1" si="35"/>
        <v>0</v>
      </c>
    </row>
    <row r="204" spans="1:13" x14ac:dyDescent="0.2">
      <c r="A204" s="144">
        <v>209</v>
      </c>
      <c r="B204" s="144" t="str">
        <f>VLOOKUP( $A204, Aop!$A$2:$N$415, 2, 0)</f>
        <v>BUa</v>
      </c>
      <c r="C204" s="79">
        <f t="shared" si="31"/>
        <v>4</v>
      </c>
      <c r="D204" s="79" t="str">
        <f t="shared" si="28"/>
        <v>01940155</v>
      </c>
      <c r="E204" s="79" t="str">
        <f t="shared" si="29"/>
        <v>4400929510006</v>
      </c>
      <c r="F204" s="79" t="b">
        <f t="shared" si="32"/>
        <v>0</v>
      </c>
      <c r="G204" s="188">
        <f t="shared" si="33"/>
        <v>44561</v>
      </c>
      <c r="H204" s="144">
        <f>VLOOKUP( $A204, Aop!$A$2:$N$415, 4, 0)</f>
        <v>271</v>
      </c>
      <c r="I204" s="79">
        <f t="shared" si="30"/>
        <v>2021</v>
      </c>
      <c r="J204" s="79"/>
      <c r="K204" s="79"/>
      <c r="L204" s="79" t="str">
        <f t="shared" ca="1" si="34"/>
        <v/>
      </c>
      <c r="M204" s="79" t="str">
        <f t="shared" ca="1" si="35"/>
        <v/>
      </c>
    </row>
    <row r="205" spans="1:13" x14ac:dyDescent="0.2">
      <c r="A205" s="144">
        <v>210</v>
      </c>
      <c r="B205" s="144" t="str">
        <f>VLOOKUP( $A205, Aop!$A$2:$N$415, 2, 0)</f>
        <v>BUa</v>
      </c>
      <c r="C205" s="79">
        <f t="shared" si="31"/>
        <v>4</v>
      </c>
      <c r="D205" s="79" t="str">
        <f t="shared" si="28"/>
        <v>01940155</v>
      </c>
      <c r="E205" s="79" t="str">
        <f t="shared" si="29"/>
        <v>4400929510006</v>
      </c>
      <c r="F205" s="79" t="b">
        <f t="shared" si="32"/>
        <v>0</v>
      </c>
      <c r="G205" s="188">
        <f t="shared" si="33"/>
        <v>44561</v>
      </c>
      <c r="H205" s="144">
        <f>VLOOKUP( $A205, Aop!$A$2:$N$415, 4, 0)</f>
        <v>272</v>
      </c>
      <c r="I205" s="79">
        <f t="shared" si="30"/>
        <v>2021</v>
      </c>
      <c r="J205" s="79"/>
      <c r="K205" s="79"/>
      <c r="L205" s="79" t="str">
        <f t="shared" ca="1" si="34"/>
        <v/>
      </c>
      <c r="M205" s="79" t="str">
        <f t="shared" ca="1" si="35"/>
        <v/>
      </c>
    </row>
    <row r="206" spans="1:13" x14ac:dyDescent="0.2">
      <c r="A206" s="144">
        <v>211</v>
      </c>
      <c r="B206" s="144" t="str">
        <f>VLOOKUP( $A206, Aop!$A$2:$N$415, 2, 0)</f>
        <v>BUa</v>
      </c>
      <c r="C206" s="79">
        <f t="shared" si="31"/>
        <v>4</v>
      </c>
      <c r="D206" s="79" t="str">
        <f t="shared" si="28"/>
        <v>01940155</v>
      </c>
      <c r="E206" s="79" t="str">
        <f t="shared" si="29"/>
        <v>4400929510006</v>
      </c>
      <c r="F206" s="79" t="b">
        <f t="shared" si="32"/>
        <v>0</v>
      </c>
      <c r="G206" s="188">
        <f t="shared" si="33"/>
        <v>44561</v>
      </c>
      <c r="H206" s="144">
        <f>VLOOKUP( $A206, Aop!$A$2:$N$415, 4, 0)</f>
        <v>273</v>
      </c>
      <c r="I206" s="79">
        <f t="shared" si="30"/>
        <v>2021</v>
      </c>
      <c r="J206" s="79"/>
      <c r="K206" s="79"/>
      <c r="L206" s="79" t="str">
        <f t="shared" ca="1" si="34"/>
        <v/>
      </c>
      <c r="M206" s="79" t="str">
        <f t="shared" ca="1" si="35"/>
        <v/>
      </c>
    </row>
    <row r="207" spans="1:13" x14ac:dyDescent="0.2">
      <c r="A207" s="144">
        <v>212</v>
      </c>
      <c r="B207" s="144" t="str">
        <f>VLOOKUP( $A207, Aop!$A$2:$N$415, 2, 0)</f>
        <v>BUa</v>
      </c>
      <c r="C207" s="79">
        <f t="shared" si="31"/>
        <v>4</v>
      </c>
      <c r="D207" s="79" t="str">
        <f t="shared" si="28"/>
        <v>01940155</v>
      </c>
      <c r="E207" s="79" t="str">
        <f t="shared" si="29"/>
        <v>4400929510006</v>
      </c>
      <c r="F207" s="79" t="b">
        <f t="shared" si="32"/>
        <v>0</v>
      </c>
      <c r="G207" s="188">
        <f t="shared" si="33"/>
        <v>44561</v>
      </c>
      <c r="H207" s="144">
        <f>VLOOKUP( $A207, Aop!$A$2:$N$415, 4, 0)</f>
        <v>274</v>
      </c>
      <c r="I207" s="79">
        <f t="shared" si="30"/>
        <v>2021</v>
      </c>
      <c r="J207" s="79"/>
      <c r="K207" s="79"/>
      <c r="L207" s="79" t="str">
        <f t="shared" ca="1" si="34"/>
        <v/>
      </c>
      <c r="M207" s="79" t="str">
        <f t="shared" ca="1" si="35"/>
        <v/>
      </c>
    </row>
    <row r="208" spans="1:13" x14ac:dyDescent="0.2">
      <c r="A208" s="144">
        <v>213</v>
      </c>
      <c r="B208" s="144" t="str">
        <f>VLOOKUP( $A208, Aop!$A$2:$N$415, 2, 0)</f>
        <v>BUa</v>
      </c>
      <c r="C208" s="79">
        <f t="shared" si="31"/>
        <v>4</v>
      </c>
      <c r="D208" s="79" t="str">
        <f t="shared" si="28"/>
        <v>01940155</v>
      </c>
      <c r="E208" s="79" t="str">
        <f t="shared" si="29"/>
        <v>4400929510006</v>
      </c>
      <c r="F208" s="79" t="b">
        <f t="shared" si="32"/>
        <v>0</v>
      </c>
      <c r="G208" s="188">
        <f t="shared" si="33"/>
        <v>44561</v>
      </c>
      <c r="H208" s="144">
        <f>VLOOKUP( $A208, Aop!$A$2:$N$415, 4, 0)</f>
        <v>275</v>
      </c>
      <c r="I208" s="79">
        <f t="shared" si="30"/>
        <v>2021</v>
      </c>
      <c r="J208" s="79"/>
      <c r="K208" s="79"/>
      <c r="L208" s="79" t="str">
        <f t="shared" ca="1" si="34"/>
        <v/>
      </c>
      <c r="M208" s="79" t="str">
        <f t="shared" ca="1" si="35"/>
        <v/>
      </c>
    </row>
    <row r="209" spans="1:13" x14ac:dyDescent="0.2">
      <c r="A209" s="144">
        <v>214</v>
      </c>
      <c r="B209" s="144" t="str">
        <f>VLOOKUP( $A209, Aop!$A$2:$N$415, 2, 0)</f>
        <v>BUa</v>
      </c>
      <c r="C209" s="79">
        <f t="shared" si="31"/>
        <v>4</v>
      </c>
      <c r="D209" s="79" t="str">
        <f t="shared" si="28"/>
        <v>01940155</v>
      </c>
      <c r="E209" s="79" t="str">
        <f t="shared" si="29"/>
        <v>4400929510006</v>
      </c>
      <c r="F209" s="79" t="b">
        <f t="shared" si="32"/>
        <v>0</v>
      </c>
      <c r="G209" s="188">
        <f t="shared" si="33"/>
        <v>44561</v>
      </c>
      <c r="H209" s="144">
        <f>VLOOKUP( $A209, Aop!$A$2:$N$415, 4, 0)</f>
        <v>276</v>
      </c>
      <c r="I209" s="79">
        <f t="shared" si="30"/>
        <v>2021</v>
      </c>
      <c r="J209" s="79"/>
      <c r="K209" s="79"/>
      <c r="L209" s="79" t="str">
        <f t="shared" ca="1" si="34"/>
        <v/>
      </c>
      <c r="M209" s="79" t="str">
        <f t="shared" ca="1" si="35"/>
        <v/>
      </c>
    </row>
    <row r="210" spans="1:13" x14ac:dyDescent="0.2">
      <c r="A210" s="144">
        <v>215</v>
      </c>
      <c r="B210" s="144" t="str">
        <f>VLOOKUP( $A210, Aop!$A$2:$N$415, 2, 0)</f>
        <v>BUa</v>
      </c>
      <c r="C210" s="79">
        <f t="shared" si="31"/>
        <v>4</v>
      </c>
      <c r="D210" s="79" t="str">
        <f t="shared" si="28"/>
        <v>01940155</v>
      </c>
      <c r="E210" s="79" t="str">
        <f t="shared" si="29"/>
        <v>4400929510006</v>
      </c>
      <c r="F210" s="79" t="b">
        <f t="shared" si="32"/>
        <v>0</v>
      </c>
      <c r="G210" s="188">
        <f t="shared" si="33"/>
        <v>44561</v>
      </c>
      <c r="H210" s="144">
        <f>VLOOKUP( $A210, Aop!$A$2:$N$415, 4, 0)</f>
        <v>277</v>
      </c>
      <c r="I210" s="79">
        <f t="shared" si="30"/>
        <v>2021</v>
      </c>
      <c r="J210" s="79"/>
      <c r="K210" s="79"/>
      <c r="L210" s="79" t="str">
        <f t="shared" ca="1" si="34"/>
        <v/>
      </c>
      <c r="M210" s="79" t="str">
        <f t="shared" ca="1" si="35"/>
        <v/>
      </c>
    </row>
    <row r="211" spans="1:13" x14ac:dyDescent="0.2">
      <c r="A211" s="144">
        <v>216</v>
      </c>
      <c r="B211" s="144" t="str">
        <f>VLOOKUP( $A211, Aop!$A$2:$N$415, 2, 0)</f>
        <v>BUa</v>
      </c>
      <c r="C211" s="79">
        <f t="shared" si="31"/>
        <v>4</v>
      </c>
      <c r="D211" s="79" t="str">
        <f t="shared" si="28"/>
        <v>01940155</v>
      </c>
      <c r="E211" s="79" t="str">
        <f t="shared" si="29"/>
        <v>4400929510006</v>
      </c>
      <c r="F211" s="79" t="b">
        <f t="shared" si="32"/>
        <v>0</v>
      </c>
      <c r="G211" s="188">
        <f t="shared" si="33"/>
        <v>44561</v>
      </c>
      <c r="H211" s="144">
        <f>VLOOKUP( $A211, Aop!$A$2:$N$415, 4, 0)</f>
        <v>278</v>
      </c>
      <c r="I211" s="79">
        <f t="shared" si="30"/>
        <v>2021</v>
      </c>
      <c r="J211" s="79"/>
      <c r="K211" s="79"/>
      <c r="L211" s="79" t="str">
        <f t="shared" ca="1" si="34"/>
        <v/>
      </c>
      <c r="M211" s="79" t="str">
        <f t="shared" ca="1" si="35"/>
        <v/>
      </c>
    </row>
    <row r="212" spans="1:13" x14ac:dyDescent="0.2">
      <c r="A212" s="144">
        <v>217</v>
      </c>
      <c r="B212" s="144" t="str">
        <f>VLOOKUP( $A212, Aop!$A$2:$N$415, 2, 0)</f>
        <v>BUa</v>
      </c>
      <c r="C212" s="79">
        <f t="shared" si="31"/>
        <v>4</v>
      </c>
      <c r="D212" s="79" t="str">
        <f t="shared" si="28"/>
        <v>01940155</v>
      </c>
      <c r="E212" s="79" t="str">
        <f t="shared" si="29"/>
        <v>4400929510006</v>
      </c>
      <c r="F212" s="79" t="b">
        <f t="shared" si="32"/>
        <v>0</v>
      </c>
      <c r="G212" s="188">
        <f t="shared" si="33"/>
        <v>44561</v>
      </c>
      <c r="H212" s="144">
        <f>VLOOKUP( $A212, Aop!$A$2:$N$415, 4, 0)</f>
        <v>279</v>
      </c>
      <c r="I212" s="79">
        <f t="shared" si="30"/>
        <v>2021</v>
      </c>
      <c r="J212" s="79"/>
      <c r="K212" s="79"/>
      <c r="L212" s="79" t="str">
        <f t="shared" ca="1" si="34"/>
        <v/>
      </c>
      <c r="M212" s="79" t="str">
        <f t="shared" ca="1" si="35"/>
        <v/>
      </c>
    </row>
    <row r="213" spans="1:13" x14ac:dyDescent="0.2">
      <c r="A213" s="144">
        <v>218</v>
      </c>
      <c r="B213" s="144" t="str">
        <f>VLOOKUP( $A213, Aop!$A$2:$N$415, 2, 0)</f>
        <v>BUa</v>
      </c>
      <c r="C213" s="79">
        <f t="shared" si="31"/>
        <v>4</v>
      </c>
      <c r="D213" s="79" t="str">
        <f t="shared" si="28"/>
        <v>01940155</v>
      </c>
      <c r="E213" s="79" t="str">
        <f t="shared" si="29"/>
        <v>4400929510006</v>
      </c>
      <c r="F213" s="79" t="b">
        <f t="shared" si="32"/>
        <v>0</v>
      </c>
      <c r="G213" s="188">
        <f t="shared" si="33"/>
        <v>44561</v>
      </c>
      <c r="H213" s="144">
        <f>VLOOKUP( $A213, Aop!$A$2:$N$415, 4, 0)</f>
        <v>280</v>
      </c>
      <c r="I213" s="79">
        <f t="shared" si="30"/>
        <v>2021</v>
      </c>
      <c r="J213" s="79"/>
      <c r="K213" s="79"/>
      <c r="L213" s="79">
        <f t="shared" ca="1" si="34"/>
        <v>0</v>
      </c>
      <c r="M213" s="79">
        <f t="shared" ca="1" si="35"/>
        <v>0</v>
      </c>
    </row>
    <row r="214" spans="1:13" x14ac:dyDescent="0.2">
      <c r="A214" s="144">
        <v>219</v>
      </c>
      <c r="B214" s="144" t="str">
        <f>VLOOKUP( $A214, Aop!$A$2:$N$415, 2, 0)</f>
        <v>BUa</v>
      </c>
      <c r="C214" s="79">
        <f t="shared" si="31"/>
        <v>4</v>
      </c>
      <c r="D214" s="79" t="str">
        <f t="shared" si="28"/>
        <v>01940155</v>
      </c>
      <c r="E214" s="79" t="str">
        <f t="shared" si="29"/>
        <v>4400929510006</v>
      </c>
      <c r="F214" s="79" t="b">
        <f t="shared" si="32"/>
        <v>0</v>
      </c>
      <c r="G214" s="188">
        <f t="shared" si="33"/>
        <v>44561</v>
      </c>
      <c r="H214" s="144">
        <f>VLOOKUP( $A214, Aop!$A$2:$N$415, 4, 0)</f>
        <v>281</v>
      </c>
      <c r="I214" s="79">
        <f t="shared" si="30"/>
        <v>2021</v>
      </c>
      <c r="J214" s="79"/>
      <c r="K214" s="79"/>
      <c r="L214" s="79" t="str">
        <f t="shared" ca="1" si="34"/>
        <v/>
      </c>
      <c r="M214" s="79" t="str">
        <f t="shared" ca="1" si="35"/>
        <v/>
      </c>
    </row>
    <row r="215" spans="1:13" x14ac:dyDescent="0.2">
      <c r="A215" s="144">
        <v>220</v>
      </c>
      <c r="B215" s="144" t="str">
        <f>VLOOKUP( $A215, Aop!$A$2:$N$415, 2, 0)</f>
        <v>BUa</v>
      </c>
      <c r="C215" s="79">
        <f t="shared" si="31"/>
        <v>4</v>
      </c>
      <c r="D215" s="79" t="str">
        <f t="shared" si="28"/>
        <v>01940155</v>
      </c>
      <c r="E215" s="79" t="str">
        <f t="shared" si="29"/>
        <v>4400929510006</v>
      </c>
      <c r="F215" s="79" t="b">
        <f t="shared" si="32"/>
        <v>0</v>
      </c>
      <c r="G215" s="188">
        <f t="shared" si="33"/>
        <v>44561</v>
      </c>
      <c r="H215" s="144">
        <f>VLOOKUP( $A215, Aop!$A$2:$N$415, 4, 0)</f>
        <v>282</v>
      </c>
      <c r="I215" s="79">
        <f t="shared" si="30"/>
        <v>2021</v>
      </c>
      <c r="J215" s="79"/>
      <c r="K215" s="79"/>
      <c r="L215" s="79" t="str">
        <f t="shared" ca="1" si="34"/>
        <v/>
      </c>
      <c r="M215" s="79" t="str">
        <f t="shared" ca="1" si="35"/>
        <v/>
      </c>
    </row>
    <row r="216" spans="1:13" x14ac:dyDescent="0.2">
      <c r="A216" s="144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01940155</v>
      </c>
      <c r="E216" s="79" t="str">
        <f>Podatak_JIB</f>
        <v>4400929510006</v>
      </c>
      <c r="F216" s="79" t="b">
        <f>Konsolidovan_izvjestaj</f>
        <v>0</v>
      </c>
      <c r="G216" s="188">
        <f>Datum_Broj</f>
        <v>44561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4"/>
        <v/>
      </c>
      <c r="M216" s="79" t="str">
        <f t="shared" ca="1" si="35"/>
        <v/>
      </c>
    </row>
    <row r="217" spans="1:13" x14ac:dyDescent="0.2">
      <c r="A217" s="144">
        <v>222</v>
      </c>
      <c r="B217" s="144" t="str">
        <f>VLOOKUP( $A217, Aop!$A$2:$N$415, 2, 0)</f>
        <v>BUa</v>
      </c>
      <c r="C217" s="79">
        <f t="shared" si="31"/>
        <v>4</v>
      </c>
      <c r="D217" s="79" t="str">
        <f t="shared" si="28"/>
        <v>01940155</v>
      </c>
      <c r="E217" s="79" t="str">
        <f t="shared" si="29"/>
        <v>4400929510006</v>
      </c>
      <c r="F217" s="79" t="b">
        <f t="shared" si="32"/>
        <v>0</v>
      </c>
      <c r="G217" s="188">
        <f t="shared" si="33"/>
        <v>44561</v>
      </c>
      <c r="H217" s="144">
        <f>VLOOKUP( $A217, Aop!$A$2:$N$415, 4, 0)</f>
        <v>284</v>
      </c>
      <c r="I217" s="79">
        <f t="shared" si="30"/>
        <v>2021</v>
      </c>
      <c r="J217" s="79"/>
      <c r="K217" s="79"/>
      <c r="L217" s="79" t="str">
        <f t="shared" ca="1" si="34"/>
        <v/>
      </c>
      <c r="M217" s="79" t="str">
        <f t="shared" ca="1" si="35"/>
        <v/>
      </c>
    </row>
    <row r="218" spans="1:13" x14ac:dyDescent="0.2">
      <c r="A218" s="144">
        <v>223</v>
      </c>
      <c r="B218" s="144" t="str">
        <f>VLOOKUP( $A218, Aop!$A$2:$N$415, 2, 0)</f>
        <v>BUa</v>
      </c>
      <c r="C218" s="79">
        <f t="shared" si="31"/>
        <v>4</v>
      </c>
      <c r="D218" s="79" t="str">
        <f t="shared" si="28"/>
        <v>01940155</v>
      </c>
      <c r="E218" s="79" t="str">
        <f t="shared" si="29"/>
        <v>4400929510006</v>
      </c>
      <c r="F218" s="79" t="b">
        <f t="shared" si="32"/>
        <v>0</v>
      </c>
      <c r="G218" s="188">
        <f t="shared" si="33"/>
        <v>44561</v>
      </c>
      <c r="H218" s="144">
        <f>VLOOKUP( $A218, Aop!$A$2:$N$415, 4, 0)</f>
        <v>285</v>
      </c>
      <c r="I218" s="79">
        <f t="shared" si="30"/>
        <v>2021</v>
      </c>
      <c r="J218" s="79"/>
      <c r="K218" s="79"/>
      <c r="L218" s="79" t="str">
        <f t="shared" ca="1" si="34"/>
        <v/>
      </c>
      <c r="M218" s="79" t="str">
        <f t="shared" ca="1" si="35"/>
        <v/>
      </c>
    </row>
    <row r="219" spans="1:13" x14ac:dyDescent="0.2">
      <c r="A219" s="144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01940155</v>
      </c>
      <c r="E219" s="79" t="str">
        <f>Podatak_JIB</f>
        <v>4400929510006</v>
      </c>
      <c r="F219" s="79" t="b">
        <f>Konsolidovan_izvjestaj</f>
        <v>0</v>
      </c>
      <c r="G219" s="188">
        <f>Datum_Broj</f>
        <v>44561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4"/>
        <v/>
      </c>
      <c r="M219" s="79" t="str">
        <f t="shared" ca="1" si="35"/>
        <v/>
      </c>
    </row>
    <row r="220" spans="1:13" x14ac:dyDescent="0.2">
      <c r="A220" s="144">
        <v>225</v>
      </c>
      <c r="B220" s="144" t="str">
        <f>VLOOKUP( $A220, Aop!$A$2:$N$415, 2, 0)</f>
        <v>BUa</v>
      </c>
      <c r="C220" s="79">
        <f t="shared" si="31"/>
        <v>4</v>
      </c>
      <c r="D220" s="79" t="str">
        <f t="shared" si="28"/>
        <v>01940155</v>
      </c>
      <c r="E220" s="79" t="str">
        <f t="shared" si="29"/>
        <v>4400929510006</v>
      </c>
      <c r="F220" s="79" t="b">
        <f t="shared" si="32"/>
        <v>0</v>
      </c>
      <c r="G220" s="188">
        <f t="shared" si="33"/>
        <v>44561</v>
      </c>
      <c r="H220" s="144">
        <f>VLOOKUP( $A220, Aop!$A$2:$N$415, 4, 0)</f>
        <v>287</v>
      </c>
      <c r="I220" s="79">
        <f t="shared" si="30"/>
        <v>2021</v>
      </c>
      <c r="J220" s="79"/>
      <c r="K220" s="79"/>
      <c r="L220" s="79" t="str">
        <f t="shared" ca="1" si="34"/>
        <v/>
      </c>
      <c r="M220" s="79" t="str">
        <f t="shared" ca="1" si="35"/>
        <v/>
      </c>
    </row>
    <row r="221" spans="1:13" x14ac:dyDescent="0.2">
      <c r="A221" s="144">
        <v>226</v>
      </c>
      <c r="B221" s="144" t="str">
        <f>VLOOKUP( $A221, Aop!$A$2:$N$415, 2, 0)</f>
        <v>BUa</v>
      </c>
      <c r="C221" s="79">
        <f t="shared" si="31"/>
        <v>4</v>
      </c>
      <c r="D221" s="79" t="str">
        <f t="shared" si="28"/>
        <v>01940155</v>
      </c>
      <c r="E221" s="79" t="str">
        <f t="shared" si="29"/>
        <v>4400929510006</v>
      </c>
      <c r="F221" s="79" t="b">
        <f t="shared" si="32"/>
        <v>0</v>
      </c>
      <c r="G221" s="188">
        <f t="shared" si="33"/>
        <v>44561</v>
      </c>
      <c r="H221" s="144">
        <f>VLOOKUP( $A221, Aop!$A$2:$N$415, 4, 0)</f>
        <v>288</v>
      </c>
      <c r="I221" s="79">
        <f t="shared" si="30"/>
        <v>2021</v>
      </c>
      <c r="J221" s="79"/>
      <c r="K221" s="79"/>
      <c r="L221" s="79" t="str">
        <f t="shared" ca="1" si="34"/>
        <v/>
      </c>
      <c r="M221" s="79" t="str">
        <f t="shared" ca="1" si="35"/>
        <v/>
      </c>
    </row>
    <row r="222" spans="1:13" x14ac:dyDescent="0.2">
      <c r="A222" s="144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01940155</v>
      </c>
      <c r="E222" s="79" t="str">
        <f>Podatak_JIB</f>
        <v>4400929510006</v>
      </c>
      <c r="F222" s="79" t="b">
        <f>Konsolidovan_izvjestaj</f>
        <v>0</v>
      </c>
      <c r="G222" s="188">
        <f>Datum_Broj</f>
        <v>44561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4"/>
        <v/>
      </c>
      <c r="M222" s="79" t="str">
        <f t="shared" ca="1" si="35"/>
        <v/>
      </c>
    </row>
    <row r="223" spans="1:13" x14ac:dyDescent="0.2">
      <c r="A223" s="144">
        <v>228</v>
      </c>
      <c r="B223" s="144" t="str">
        <f>VLOOKUP( $A223, Aop!$A$2:$N$415, 2, 0)</f>
        <v>BUa</v>
      </c>
      <c r="C223" s="79">
        <f t="shared" si="31"/>
        <v>4</v>
      </c>
      <c r="D223" s="79" t="str">
        <f t="shared" si="28"/>
        <v>01940155</v>
      </c>
      <c r="E223" s="79" t="str">
        <f t="shared" si="29"/>
        <v>4400929510006</v>
      </c>
      <c r="F223" s="79" t="b">
        <f t="shared" si="32"/>
        <v>0</v>
      </c>
      <c r="G223" s="188">
        <f t="shared" si="33"/>
        <v>44561</v>
      </c>
      <c r="H223" s="144">
        <f>VLOOKUP( $A223, Aop!$A$2:$N$415, 4, 0)</f>
        <v>290</v>
      </c>
      <c r="I223" s="79">
        <f t="shared" si="30"/>
        <v>2021</v>
      </c>
      <c r="J223" s="79"/>
      <c r="K223" s="79"/>
      <c r="L223" s="79">
        <f t="shared" ca="1" si="34"/>
        <v>0</v>
      </c>
      <c r="M223" s="79">
        <f t="shared" ca="1" si="35"/>
        <v>0</v>
      </c>
    </row>
    <row r="224" spans="1:13" x14ac:dyDescent="0.2">
      <c r="A224" s="144">
        <v>229</v>
      </c>
      <c r="B224" s="144" t="str">
        <f>VLOOKUP( $A224, Aop!$A$2:$N$415, 2, 0)</f>
        <v>BUa</v>
      </c>
      <c r="C224" s="79">
        <f t="shared" si="31"/>
        <v>4</v>
      </c>
      <c r="D224" s="79" t="str">
        <f t="shared" si="28"/>
        <v>01940155</v>
      </c>
      <c r="E224" s="79" t="str">
        <f t="shared" si="29"/>
        <v>4400929510006</v>
      </c>
      <c r="F224" s="79" t="b">
        <f t="shared" si="32"/>
        <v>0</v>
      </c>
      <c r="G224" s="188">
        <f t="shared" si="33"/>
        <v>44561</v>
      </c>
      <c r="H224" s="144">
        <f>VLOOKUP( $A224, Aop!$A$2:$N$415, 4, 0)</f>
        <v>291</v>
      </c>
      <c r="I224" s="79">
        <f t="shared" si="30"/>
        <v>2021</v>
      </c>
      <c r="J224" s="79"/>
      <c r="K224" s="79"/>
      <c r="L224" s="79">
        <f t="shared" ca="1" si="34"/>
        <v>0</v>
      </c>
      <c r="M224" s="79">
        <f t="shared" ca="1" si="35"/>
        <v>0</v>
      </c>
    </row>
    <row r="225" spans="1:13" x14ac:dyDescent="0.2">
      <c r="A225" s="144">
        <v>230</v>
      </c>
      <c r="B225" s="144" t="str">
        <f>VLOOKUP( $A225, Aop!$A$2:$N$415, 2, 0)</f>
        <v>BUa</v>
      </c>
      <c r="C225" s="79">
        <f t="shared" si="31"/>
        <v>4</v>
      </c>
      <c r="D225" s="79" t="str">
        <f t="shared" si="28"/>
        <v>01940155</v>
      </c>
      <c r="E225" s="79" t="str">
        <f t="shared" si="29"/>
        <v>4400929510006</v>
      </c>
      <c r="F225" s="79" t="b">
        <f t="shared" si="32"/>
        <v>0</v>
      </c>
      <c r="G225" s="188">
        <f t="shared" si="33"/>
        <v>44561</v>
      </c>
      <c r="H225" s="144">
        <f>VLOOKUP( $A225, Aop!$A$2:$N$415, 4, 0)</f>
        <v>292</v>
      </c>
      <c r="I225" s="79">
        <f t="shared" si="30"/>
        <v>2021</v>
      </c>
      <c r="J225" s="79"/>
      <c r="K225" s="79"/>
      <c r="L225" s="79" t="str">
        <f t="shared" ca="1" si="34"/>
        <v/>
      </c>
      <c r="M225" s="79" t="str">
        <f t="shared" ca="1" si="35"/>
        <v/>
      </c>
    </row>
    <row r="226" spans="1:13" x14ac:dyDescent="0.2">
      <c r="A226" s="144">
        <v>231</v>
      </c>
      <c r="B226" s="144" t="str">
        <f>VLOOKUP( $A226, Aop!$A$2:$N$415, 2, 0)</f>
        <v>BUa</v>
      </c>
      <c r="C226" s="79">
        <f t="shared" si="31"/>
        <v>4</v>
      </c>
      <c r="D226" s="79" t="str">
        <f t="shared" si="28"/>
        <v>01940155</v>
      </c>
      <c r="E226" s="79" t="str">
        <f t="shared" si="29"/>
        <v>4400929510006</v>
      </c>
      <c r="F226" s="79" t="b">
        <f t="shared" si="32"/>
        <v>0</v>
      </c>
      <c r="G226" s="188">
        <f t="shared" si="33"/>
        <v>44561</v>
      </c>
      <c r="H226" s="144">
        <f>VLOOKUP( $A226, Aop!$A$2:$N$415, 4, 0)</f>
        <v>293</v>
      </c>
      <c r="I226" s="79">
        <f t="shared" si="30"/>
        <v>2021</v>
      </c>
      <c r="J226" s="79"/>
      <c r="K226" s="79"/>
      <c r="L226" s="79" t="str">
        <f t="shared" ca="1" si="34"/>
        <v/>
      </c>
      <c r="M226" s="79" t="str">
        <f t="shared" ca="1" si="35"/>
        <v/>
      </c>
    </row>
    <row r="227" spans="1:13" x14ac:dyDescent="0.2">
      <c r="A227" s="144">
        <v>233</v>
      </c>
      <c r="B227" s="144" t="str">
        <f>VLOOKUP( $A227, Aop!$A$2:$N$415, 2, 0)</f>
        <v>BUa</v>
      </c>
      <c r="C227" s="79">
        <f t="shared" si="31"/>
        <v>4</v>
      </c>
      <c r="D227" s="79" t="str">
        <f t="shared" si="28"/>
        <v>01940155</v>
      </c>
      <c r="E227" s="79" t="str">
        <f t="shared" si="29"/>
        <v>4400929510006</v>
      </c>
      <c r="F227" s="79" t="b">
        <f t="shared" si="32"/>
        <v>0</v>
      </c>
      <c r="G227" s="188">
        <f t="shared" si="33"/>
        <v>44561</v>
      </c>
      <c r="H227" s="144">
        <f>VLOOKUP( $A227, Aop!$A$2:$N$415, 4, 0)</f>
        <v>294</v>
      </c>
      <c r="I227" s="79">
        <f t="shared" si="30"/>
        <v>2021</v>
      </c>
      <c r="J227" s="79"/>
      <c r="K227" s="79"/>
      <c r="L227" s="79">
        <f t="shared" ca="1" si="34"/>
        <v>535368</v>
      </c>
      <c r="M227" s="79">
        <f t="shared" ca="1" si="35"/>
        <v>12752</v>
      </c>
    </row>
    <row r="228" spans="1:13" x14ac:dyDescent="0.2">
      <c r="A228" s="144">
        <v>234</v>
      </c>
      <c r="B228" s="144" t="str">
        <f>VLOOKUP( $A228, Aop!$A$2:$N$415, 2, 0)</f>
        <v>BUa</v>
      </c>
      <c r="C228" s="79">
        <f t="shared" si="31"/>
        <v>4</v>
      </c>
      <c r="D228" s="79" t="str">
        <f t="shared" si="28"/>
        <v>01940155</v>
      </c>
      <c r="E228" s="79" t="str">
        <f t="shared" si="29"/>
        <v>4400929510006</v>
      </c>
      <c r="F228" s="79" t="b">
        <f t="shared" si="32"/>
        <v>0</v>
      </c>
      <c r="G228" s="188">
        <f t="shared" si="33"/>
        <v>44561</v>
      </c>
      <c r="H228" s="144">
        <f>VLOOKUP( $A228, Aop!$A$2:$N$415, 4, 0)</f>
        <v>295</v>
      </c>
      <c r="I228" s="79">
        <f t="shared" si="30"/>
        <v>2021</v>
      </c>
      <c r="J228" s="79"/>
      <c r="K228" s="79"/>
      <c r="L228" s="79">
        <f t="shared" ca="1" si="34"/>
        <v>0</v>
      </c>
      <c r="M228" s="79">
        <f t="shared" ca="1" si="35"/>
        <v>0</v>
      </c>
    </row>
    <row r="229" spans="1:13" x14ac:dyDescent="0.2">
      <c r="A229" s="144">
        <v>236</v>
      </c>
      <c r="B229" s="144" t="str">
        <f>VLOOKUP( $A229, Aop!$A$2:$N$415, 2, 0)</f>
        <v>BUa</v>
      </c>
      <c r="C229" s="79">
        <f t="shared" si="31"/>
        <v>4</v>
      </c>
      <c r="D229" s="79" t="str">
        <f t="shared" si="28"/>
        <v>01940155</v>
      </c>
      <c r="E229" s="79" t="str">
        <f t="shared" si="29"/>
        <v>4400929510006</v>
      </c>
      <c r="F229" s="79" t="b">
        <f t="shared" si="32"/>
        <v>0</v>
      </c>
      <c r="G229" s="188">
        <f t="shared" si="33"/>
        <v>44561</v>
      </c>
      <c r="H229" s="144">
        <f>VLOOKUP( $A229, Aop!$A$2:$N$415, 4, 0)</f>
        <v>296</v>
      </c>
      <c r="I229" s="79">
        <f t="shared" si="30"/>
        <v>2021</v>
      </c>
      <c r="J229" s="79"/>
      <c r="K229" s="79"/>
      <c r="L229" s="79">
        <f t="shared" ca="1" si="34"/>
        <v>53903</v>
      </c>
      <c r="M229" s="79">
        <f t="shared" ca="1" si="35"/>
        <v>5462</v>
      </c>
    </row>
    <row r="230" spans="1:13" x14ac:dyDescent="0.2">
      <c r="A230" s="144">
        <v>237</v>
      </c>
      <c r="B230" s="144" t="str">
        <f>VLOOKUP( $A230, Aop!$A$2:$N$415, 2, 0)</f>
        <v>BUa</v>
      </c>
      <c r="C230" s="79">
        <f t="shared" si="31"/>
        <v>4</v>
      </c>
      <c r="D230" s="79" t="str">
        <f t="shared" si="28"/>
        <v>01940155</v>
      </c>
      <c r="E230" s="79" t="str">
        <f t="shared" si="29"/>
        <v>4400929510006</v>
      </c>
      <c r="F230" s="79" t="b">
        <f t="shared" si="32"/>
        <v>0</v>
      </c>
      <c r="G230" s="188">
        <f t="shared" si="33"/>
        <v>44561</v>
      </c>
      <c r="H230" s="144">
        <f>VLOOKUP( $A230, Aop!$A$2:$N$415, 4, 0)</f>
        <v>297</v>
      </c>
      <c r="I230" s="79">
        <f t="shared" si="30"/>
        <v>2021</v>
      </c>
      <c r="J230" s="79"/>
      <c r="K230" s="79"/>
      <c r="L230" s="79" t="str">
        <f t="shared" ca="1" si="34"/>
        <v/>
      </c>
      <c r="M230" s="79" t="str">
        <f t="shared" ca="1" si="35"/>
        <v/>
      </c>
    </row>
    <row r="231" spans="1:13" x14ac:dyDescent="0.2">
      <c r="A231" s="144">
        <v>238</v>
      </c>
      <c r="B231" s="144" t="str">
        <f>VLOOKUP( $A231, Aop!$A$2:$N$415, 2, 0)</f>
        <v>BUa</v>
      </c>
      <c r="C231" s="79">
        <f t="shared" si="31"/>
        <v>4</v>
      </c>
      <c r="D231" s="79" t="str">
        <f t="shared" si="28"/>
        <v>01940155</v>
      </c>
      <c r="E231" s="79" t="str">
        <f t="shared" si="29"/>
        <v>4400929510006</v>
      </c>
      <c r="F231" s="79" t="b">
        <f t="shared" si="32"/>
        <v>0</v>
      </c>
      <c r="G231" s="188">
        <f t="shared" si="33"/>
        <v>44561</v>
      </c>
      <c r="H231" s="144">
        <f>VLOOKUP( $A231, Aop!$A$2:$N$415, 4, 0)</f>
        <v>298</v>
      </c>
      <c r="I231" s="79">
        <f t="shared" si="30"/>
        <v>2021</v>
      </c>
      <c r="J231" s="79"/>
      <c r="K231" s="79"/>
      <c r="L231" s="79" t="str">
        <f t="shared" ca="1" si="34"/>
        <v/>
      </c>
      <c r="M231" s="79" t="str">
        <f t="shared" ca="1" si="35"/>
        <v/>
      </c>
    </row>
    <row r="232" spans="1:13" x14ac:dyDescent="0.2">
      <c r="A232" s="144">
        <v>240</v>
      </c>
      <c r="B232" s="144" t="str">
        <f>VLOOKUP( $A232, Aop!$A$2:$N$415, 2, 0)</f>
        <v>BUa</v>
      </c>
      <c r="C232" s="79">
        <f t="shared" si="31"/>
        <v>4</v>
      </c>
      <c r="D232" s="79" t="str">
        <f t="shared" si="28"/>
        <v>01940155</v>
      </c>
      <c r="E232" s="79" t="str">
        <f t="shared" si="29"/>
        <v>4400929510006</v>
      </c>
      <c r="F232" s="79" t="b">
        <f t="shared" si="32"/>
        <v>0</v>
      </c>
      <c r="G232" s="188">
        <f t="shared" si="33"/>
        <v>44561</v>
      </c>
      <c r="H232" s="144">
        <f>VLOOKUP( $A232, Aop!$A$2:$N$415, 4, 0)</f>
        <v>299</v>
      </c>
      <c r="I232" s="79">
        <f t="shared" si="30"/>
        <v>2021</v>
      </c>
      <c r="J232" s="79"/>
      <c r="K232" s="79"/>
      <c r="L232" s="79">
        <f t="shared" ca="1" si="34"/>
        <v>481465</v>
      </c>
      <c r="M232" s="79">
        <f t="shared" ca="1" si="35"/>
        <v>7290</v>
      </c>
    </row>
    <row r="233" spans="1:13" x14ac:dyDescent="0.2">
      <c r="A233" s="144">
        <v>241</v>
      </c>
      <c r="B233" s="144" t="str">
        <f>VLOOKUP( $A233, Aop!$A$2:$N$415, 2, 0)</f>
        <v>BUa</v>
      </c>
      <c r="C233" s="79">
        <f t="shared" si="31"/>
        <v>4</v>
      </c>
      <c r="D233" s="79" t="str">
        <f t="shared" si="28"/>
        <v>01940155</v>
      </c>
      <c r="E233" s="79" t="str">
        <f t="shared" si="29"/>
        <v>4400929510006</v>
      </c>
      <c r="F233" s="79" t="b">
        <f t="shared" si="32"/>
        <v>0</v>
      </c>
      <c r="G233" s="188">
        <f t="shared" si="33"/>
        <v>44561</v>
      </c>
      <c r="H233" s="144">
        <f>VLOOKUP( $A233, Aop!$A$2:$N$415, 4, 0)</f>
        <v>300</v>
      </c>
      <c r="I233" s="79">
        <f t="shared" si="30"/>
        <v>2021</v>
      </c>
      <c r="J233" s="79"/>
      <c r="K233" s="79"/>
      <c r="L233" s="79">
        <f t="shared" ca="1" si="34"/>
        <v>0</v>
      </c>
      <c r="M233" s="79">
        <f t="shared" ca="1" si="35"/>
        <v>0</v>
      </c>
    </row>
    <row r="234" spans="1:13" x14ac:dyDescent="0.2">
      <c r="A234" s="144">
        <v>242</v>
      </c>
      <c r="B234" s="144" t="str">
        <f>VLOOKUP( $A234, Aop!$A$2:$N$415, 2, 0)</f>
        <v>BUa</v>
      </c>
      <c r="C234" s="79">
        <f t="shared" si="31"/>
        <v>4</v>
      </c>
      <c r="D234" s="79" t="str">
        <f t="shared" si="28"/>
        <v>01940155</v>
      </c>
      <c r="E234" s="79" t="str">
        <f t="shared" si="29"/>
        <v>4400929510006</v>
      </c>
      <c r="F234" s="79" t="b">
        <f t="shared" si="32"/>
        <v>0</v>
      </c>
      <c r="G234" s="188">
        <f t="shared" si="33"/>
        <v>44561</v>
      </c>
      <c r="H234" s="144">
        <f>VLOOKUP( $A234, Aop!$A$2:$N$415, 4, 0)</f>
        <v>301</v>
      </c>
      <c r="I234" s="79">
        <f t="shared" si="30"/>
        <v>2021</v>
      </c>
      <c r="J234" s="79"/>
      <c r="K234" s="79"/>
      <c r="L234" s="79">
        <f t="shared" ca="1" si="34"/>
        <v>18265724</v>
      </c>
      <c r="M234" s="79">
        <f t="shared" ca="1" si="35"/>
        <v>12980121</v>
      </c>
    </row>
    <row r="235" spans="1:13" x14ac:dyDescent="0.2">
      <c r="A235" s="144">
        <v>243</v>
      </c>
      <c r="B235" s="144" t="str">
        <f>VLOOKUP( $A235, Aop!$A$2:$N$415, 2, 0)</f>
        <v>BUa</v>
      </c>
      <c r="C235" s="79">
        <f t="shared" si="31"/>
        <v>4</v>
      </c>
      <c r="D235" s="79" t="str">
        <f t="shared" si="28"/>
        <v>01940155</v>
      </c>
      <c r="E235" s="79" t="str">
        <f t="shared" si="29"/>
        <v>4400929510006</v>
      </c>
      <c r="F235" s="79" t="b">
        <f t="shared" si="32"/>
        <v>0</v>
      </c>
      <c r="G235" s="188">
        <f t="shared" si="33"/>
        <v>44561</v>
      </c>
      <c r="H235" s="144">
        <f>VLOOKUP( $A235, Aop!$A$2:$N$415, 4, 0)</f>
        <v>302</v>
      </c>
      <c r="I235" s="79">
        <f t="shared" si="30"/>
        <v>2021</v>
      </c>
      <c r="J235" s="79"/>
      <c r="K235" s="79"/>
      <c r="L235" s="79">
        <f t="shared" ca="1" si="34"/>
        <v>17730356</v>
      </c>
      <c r="M235" s="79">
        <f t="shared" ca="1" si="35"/>
        <v>12967369</v>
      </c>
    </row>
    <row r="236" spans="1:13" x14ac:dyDescent="0.2">
      <c r="A236" s="144">
        <v>244</v>
      </c>
      <c r="B236" s="144" t="str">
        <f>VLOOKUP( $A236, Aop!$A$2:$N$415, 2, 0)</f>
        <v>BUa</v>
      </c>
      <c r="C236" s="79">
        <f t="shared" si="31"/>
        <v>4</v>
      </c>
      <c r="D236" s="79" t="str">
        <f t="shared" si="28"/>
        <v>01940155</v>
      </c>
      <c r="E236" s="79" t="str">
        <f t="shared" si="29"/>
        <v>4400929510006</v>
      </c>
      <c r="F236" s="79" t="b">
        <f t="shared" si="32"/>
        <v>0</v>
      </c>
      <c r="G236" s="188">
        <f t="shared" si="33"/>
        <v>44561</v>
      </c>
      <c r="H236" s="144">
        <f>VLOOKUP( $A236, Aop!$A$2:$N$415, 4, 0)</f>
        <v>303</v>
      </c>
      <c r="I236" s="79">
        <f t="shared" si="30"/>
        <v>2021</v>
      </c>
      <c r="J236" s="79"/>
      <c r="K236" s="79"/>
      <c r="L236" s="79" t="str">
        <f t="shared" ca="1" si="34"/>
        <v/>
      </c>
      <c r="M236" s="79" t="str">
        <f t="shared" ca="1" si="35"/>
        <v/>
      </c>
    </row>
    <row r="237" spans="1:13" x14ac:dyDescent="0.2">
      <c r="A237" s="144">
        <v>245</v>
      </c>
      <c r="B237" s="144" t="str">
        <f>VLOOKUP( $A237, Aop!$A$2:$N$415, 2, 0)</f>
        <v>BUa</v>
      </c>
      <c r="C237" s="79">
        <f t="shared" si="31"/>
        <v>4</v>
      </c>
      <c r="D237" s="79" t="str">
        <f t="shared" si="28"/>
        <v>01940155</v>
      </c>
      <c r="E237" s="79" t="str">
        <f t="shared" si="29"/>
        <v>4400929510006</v>
      </c>
      <c r="F237" s="79" t="b">
        <f t="shared" si="32"/>
        <v>0</v>
      </c>
      <c r="G237" s="188">
        <f t="shared" si="33"/>
        <v>44561</v>
      </c>
      <c r="H237" s="144">
        <f>VLOOKUP( $A237, Aop!$A$2:$N$415, 4, 0)</f>
        <v>304</v>
      </c>
      <c r="I237" s="79">
        <f t="shared" si="30"/>
        <v>2021</v>
      </c>
      <c r="J237" s="79"/>
      <c r="K237" s="79"/>
      <c r="L237" s="79" t="str">
        <f t="shared" ca="1" si="34"/>
        <v/>
      </c>
      <c r="M237" s="79" t="str">
        <f t="shared" ca="1" si="35"/>
        <v/>
      </c>
    </row>
    <row r="238" spans="1:13" x14ac:dyDescent="0.2">
      <c r="A238" s="144">
        <v>246</v>
      </c>
      <c r="B238" s="144" t="str">
        <f>VLOOKUP( $A238, Aop!$A$2:$N$415, 2, 0)</f>
        <v>BUa</v>
      </c>
      <c r="C238" s="79">
        <f t="shared" si="31"/>
        <v>4</v>
      </c>
      <c r="D238" s="79" t="str">
        <f t="shared" si="28"/>
        <v>01940155</v>
      </c>
      <c r="E238" s="79" t="str">
        <f t="shared" si="29"/>
        <v>4400929510006</v>
      </c>
      <c r="F238" s="79" t="b">
        <f t="shared" si="32"/>
        <v>0</v>
      </c>
      <c r="G238" s="188">
        <f t="shared" si="33"/>
        <v>44561</v>
      </c>
      <c r="H238" s="144">
        <f>VLOOKUP( $A238, Aop!$A$2:$N$415, 4, 0)</f>
        <v>305</v>
      </c>
      <c r="I238" s="79">
        <f t="shared" si="30"/>
        <v>2021</v>
      </c>
      <c r="J238" s="79"/>
      <c r="K238" s="79"/>
      <c r="L238" s="79" t="str">
        <f t="shared" ca="1" si="34"/>
        <v/>
      </c>
      <c r="M238" s="79" t="str">
        <f t="shared" ca="1" si="35"/>
        <v/>
      </c>
    </row>
    <row r="239" spans="1:13" x14ac:dyDescent="0.2">
      <c r="A239" s="144">
        <v>247</v>
      </c>
      <c r="B239" s="144" t="str">
        <f>VLOOKUP( $A239, Aop!$A$2:$N$415, 2, 0)</f>
        <v>BUa</v>
      </c>
      <c r="C239" s="79">
        <f t="shared" si="31"/>
        <v>4</v>
      </c>
      <c r="D239" s="79" t="str">
        <f t="shared" si="28"/>
        <v>01940155</v>
      </c>
      <c r="E239" s="79" t="str">
        <f t="shared" si="29"/>
        <v>4400929510006</v>
      </c>
      <c r="F239" s="79" t="b">
        <f t="shared" si="32"/>
        <v>0</v>
      </c>
      <c r="G239" s="188">
        <f t="shared" si="33"/>
        <v>44561</v>
      </c>
      <c r="H239" s="144">
        <f>VLOOKUP( $A239, Aop!$A$2:$N$415, 4, 0)</f>
        <v>306</v>
      </c>
      <c r="I239" s="79">
        <f t="shared" si="30"/>
        <v>2021</v>
      </c>
      <c r="J239" s="79"/>
      <c r="K239" s="79"/>
      <c r="L239" s="79" t="str">
        <f t="shared" ca="1" si="34"/>
        <v/>
      </c>
      <c r="M239" s="79" t="str">
        <f t="shared" ca="1" si="35"/>
        <v/>
      </c>
    </row>
    <row r="240" spans="1:13" x14ac:dyDescent="0.2">
      <c r="A240" s="144">
        <v>248</v>
      </c>
      <c r="B240" s="144" t="str">
        <f>VLOOKUP( $A240, Aop!$A$2:$N$415, 2, 0)</f>
        <v>BUa</v>
      </c>
      <c r="C240" s="79">
        <f t="shared" si="31"/>
        <v>4</v>
      </c>
      <c r="D240" s="79" t="str">
        <f t="shared" si="28"/>
        <v>01940155</v>
      </c>
      <c r="E240" s="79" t="str">
        <f t="shared" si="29"/>
        <v>4400929510006</v>
      </c>
      <c r="F240" s="79" t="b">
        <f t="shared" si="32"/>
        <v>0</v>
      </c>
      <c r="G240" s="188">
        <f t="shared" si="33"/>
        <v>44561</v>
      </c>
      <c r="H240" s="144">
        <f>VLOOKUP( $A240, Aop!$A$2:$N$415, 4, 0)</f>
        <v>307</v>
      </c>
      <c r="I240" s="79">
        <f t="shared" si="30"/>
        <v>2021</v>
      </c>
      <c r="J240" s="79"/>
      <c r="K240" s="79"/>
      <c r="L240" s="79" t="str">
        <f t="shared" ca="1" si="34"/>
        <v/>
      </c>
      <c r="M240" s="79" t="str">
        <f t="shared" ca="1" si="35"/>
        <v/>
      </c>
    </row>
    <row r="241" spans="1:13" x14ac:dyDescent="0.2">
      <c r="A241" s="144">
        <v>249</v>
      </c>
      <c r="B241" s="144" t="str">
        <f>VLOOKUP( $A241, Aop!$A$2:$N$415, 2, 0)</f>
        <v>BUa</v>
      </c>
      <c r="C241" s="79">
        <f t="shared" si="31"/>
        <v>4</v>
      </c>
      <c r="D241" s="79" t="str">
        <f t="shared" si="28"/>
        <v>01940155</v>
      </c>
      <c r="E241" s="79" t="str">
        <f t="shared" si="29"/>
        <v>4400929510006</v>
      </c>
      <c r="F241" s="79" t="b">
        <f t="shared" si="32"/>
        <v>0</v>
      </c>
      <c r="G241" s="188">
        <f t="shared" si="33"/>
        <v>44561</v>
      </c>
      <c r="H241" s="144">
        <f>VLOOKUP( $A241, Aop!$A$2:$N$415, 4, 0)</f>
        <v>308</v>
      </c>
      <c r="I241" s="79">
        <f t="shared" si="30"/>
        <v>2021</v>
      </c>
      <c r="J241" s="79"/>
      <c r="K241" s="79"/>
      <c r="L241" s="79">
        <f t="shared" ca="1" si="34"/>
        <v>77</v>
      </c>
      <c r="M241" s="79">
        <f t="shared" ca="1" si="35"/>
        <v>75</v>
      </c>
    </row>
    <row r="242" spans="1:13" x14ac:dyDescent="0.2">
      <c r="A242" s="144">
        <v>250</v>
      </c>
      <c r="B242" s="144" t="str">
        <f>VLOOKUP( $A242, Aop!$A$2:$N$415, 2, 0)</f>
        <v>BUa</v>
      </c>
      <c r="C242" s="79">
        <f t="shared" si="31"/>
        <v>4</v>
      </c>
      <c r="D242" s="79" t="str">
        <f t="shared" si="28"/>
        <v>01940155</v>
      </c>
      <c r="E242" s="79" t="str">
        <f t="shared" si="29"/>
        <v>4400929510006</v>
      </c>
      <c r="F242" s="79" t="b">
        <f t="shared" si="32"/>
        <v>0</v>
      </c>
      <c r="G242" s="188">
        <f t="shared" si="33"/>
        <v>44561</v>
      </c>
      <c r="H242" s="144">
        <f>VLOOKUP( $A242, Aop!$A$2:$N$415, 4, 0)</f>
        <v>309</v>
      </c>
      <c r="I242" s="79">
        <f t="shared" si="30"/>
        <v>2021</v>
      </c>
      <c r="J242" s="79"/>
      <c r="K242" s="79"/>
      <c r="L242" s="79">
        <f t="shared" ca="1" si="34"/>
        <v>77</v>
      </c>
      <c r="M242" s="79">
        <f t="shared" ca="1" si="35"/>
        <v>75</v>
      </c>
    </row>
    <row r="243" spans="1:13" x14ac:dyDescent="0.2">
      <c r="A243" s="144">
        <v>251</v>
      </c>
      <c r="B243" s="144" t="str">
        <f>VLOOKUP( $A243, Aop!$A$2:$N$415, 2, 0)</f>
        <v>BUb</v>
      </c>
      <c r="C243" s="79">
        <f t="shared" si="31"/>
        <v>4</v>
      </c>
      <c r="D243" s="79" t="str">
        <f t="shared" si="28"/>
        <v>01940155</v>
      </c>
      <c r="E243" s="79" t="str">
        <f t="shared" si="29"/>
        <v>4400929510006</v>
      </c>
      <c r="F243" s="79" t="b">
        <f t="shared" si="32"/>
        <v>0</v>
      </c>
      <c r="G243" s="188">
        <f t="shared" si="33"/>
        <v>44561</v>
      </c>
      <c r="H243" s="144">
        <f>VLOOKUP( $A243, Aop!$A$2:$N$415, 4, 0)</f>
        <v>400</v>
      </c>
      <c r="I243" s="79">
        <f t="shared" si="30"/>
        <v>2021</v>
      </c>
      <c r="J243" s="79"/>
      <c r="K243" s="79"/>
      <c r="L243" s="79">
        <f t="shared" ca="1" si="34"/>
        <v>481465</v>
      </c>
      <c r="M243" s="79">
        <f t="shared" ca="1" si="35"/>
        <v>7290</v>
      </c>
    </row>
    <row r="244" spans="1:13" x14ac:dyDescent="0.2">
      <c r="A244" s="144">
        <v>252</v>
      </c>
      <c r="B244" s="144" t="str">
        <f>VLOOKUP( $A244, Aop!$A$2:$N$415, 2, 0)</f>
        <v>BUb</v>
      </c>
      <c r="C244" s="79">
        <f t="shared" si="31"/>
        <v>4</v>
      </c>
      <c r="D244" s="79" t="str">
        <f t="shared" si="28"/>
        <v>01940155</v>
      </c>
      <c r="E244" s="79" t="str">
        <f t="shared" si="29"/>
        <v>4400929510006</v>
      </c>
      <c r="F244" s="79" t="b">
        <f t="shared" si="32"/>
        <v>0</v>
      </c>
      <c r="G244" s="188">
        <f t="shared" si="33"/>
        <v>44561</v>
      </c>
      <c r="H244" s="144">
        <f>VLOOKUP( $A244, Aop!$A$2:$N$415, 4, 0)</f>
        <v>401</v>
      </c>
      <c r="I244" s="79">
        <f t="shared" si="30"/>
        <v>2021</v>
      </c>
      <c r="J244" s="79"/>
      <c r="K244" s="79"/>
      <c r="L244" s="79">
        <f t="shared" ca="1" si="34"/>
        <v>0</v>
      </c>
      <c r="M244" s="79">
        <f t="shared" ca="1" si="35"/>
        <v>0</v>
      </c>
    </row>
    <row r="245" spans="1:13" x14ac:dyDescent="0.2">
      <c r="A245" s="144">
        <v>253</v>
      </c>
      <c r="B245" s="144" t="str">
        <f>VLOOKUP( $A245, Aop!$A$2:$N$415, 2, 0)</f>
        <v>BUb</v>
      </c>
      <c r="C245" s="79">
        <f t="shared" si="31"/>
        <v>4</v>
      </c>
      <c r="D245" s="79" t="str">
        <f t="shared" si="28"/>
        <v>01940155</v>
      </c>
      <c r="E245" s="79" t="str">
        <f t="shared" si="29"/>
        <v>4400929510006</v>
      </c>
      <c r="F245" s="79" t="b">
        <f t="shared" si="32"/>
        <v>0</v>
      </c>
      <c r="G245" s="188">
        <f t="shared" si="33"/>
        <v>44561</v>
      </c>
      <c r="H245" s="144">
        <f>VLOOKUP( $A245, Aop!$A$2:$N$415, 4, 0)</f>
        <v>402</v>
      </c>
      <c r="I245" s="79">
        <f t="shared" si="30"/>
        <v>2021</v>
      </c>
      <c r="J245" s="79"/>
      <c r="K245" s="79"/>
      <c r="L245" s="79" t="str">
        <f t="shared" ca="1" si="34"/>
        <v/>
      </c>
      <c r="M245" s="79" t="str">
        <f t="shared" ca="1" si="35"/>
        <v/>
      </c>
    </row>
    <row r="246" spans="1:13" x14ac:dyDescent="0.2">
      <c r="A246" s="144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01940155</v>
      </c>
      <c r="E246" s="79" t="str">
        <f>Podatak_JIB</f>
        <v>4400929510006</v>
      </c>
      <c r="F246" s="79" t="b">
        <f>Konsolidovan_izvjestaj</f>
        <v>0</v>
      </c>
      <c r="G246" s="188">
        <f>Datum_Broj</f>
        <v>44561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4"/>
        <v/>
      </c>
      <c r="M246" s="79" t="str">
        <f t="shared" ca="1" si="35"/>
        <v/>
      </c>
    </row>
    <row r="247" spans="1:13" x14ac:dyDescent="0.2">
      <c r="A247" s="144">
        <v>255</v>
      </c>
      <c r="B247" s="144" t="str">
        <f>VLOOKUP( $A247, Aop!$A$2:$N$415, 2, 0)</f>
        <v>BUb</v>
      </c>
      <c r="C247" s="79">
        <f t="shared" si="31"/>
        <v>4</v>
      </c>
      <c r="D247" s="79" t="str">
        <f t="shared" si="28"/>
        <v>01940155</v>
      </c>
      <c r="E247" s="79" t="str">
        <f t="shared" si="29"/>
        <v>4400929510006</v>
      </c>
      <c r="F247" s="79" t="b">
        <f t="shared" si="32"/>
        <v>0</v>
      </c>
      <c r="G247" s="188">
        <f t="shared" si="33"/>
        <v>44561</v>
      </c>
      <c r="H247" s="144">
        <f>VLOOKUP( $A247, Aop!$A$2:$N$415, 4, 0)</f>
        <v>404</v>
      </c>
      <c r="I247" s="79">
        <f t="shared" si="30"/>
        <v>2021</v>
      </c>
      <c r="J247" s="79"/>
      <c r="K247" s="79"/>
      <c r="L247" s="79" t="str">
        <f t="shared" ca="1" si="34"/>
        <v/>
      </c>
      <c r="M247" s="79" t="str">
        <f t="shared" ca="1" si="35"/>
        <v/>
      </c>
    </row>
    <row r="248" spans="1:13" x14ac:dyDescent="0.2">
      <c r="A248" s="144">
        <v>256</v>
      </c>
      <c r="B248" s="144" t="str">
        <f>VLOOKUP( $A248, Aop!$A$2:$N$415, 2, 0)</f>
        <v>BUb</v>
      </c>
      <c r="C248" s="79">
        <f t="shared" si="31"/>
        <v>4</v>
      </c>
      <c r="D248" s="79" t="str">
        <f t="shared" si="28"/>
        <v>01940155</v>
      </c>
      <c r="E248" s="79" t="str">
        <f t="shared" si="29"/>
        <v>4400929510006</v>
      </c>
      <c r="F248" s="79" t="b">
        <f t="shared" si="32"/>
        <v>0</v>
      </c>
      <c r="G248" s="188">
        <f t="shared" si="33"/>
        <v>44561</v>
      </c>
      <c r="H248" s="144">
        <f>VLOOKUP( $A248, Aop!$A$2:$N$415, 4, 0)</f>
        <v>405</v>
      </c>
      <c r="I248" s="79">
        <f t="shared" si="30"/>
        <v>2021</v>
      </c>
      <c r="J248" s="79"/>
      <c r="K248" s="79"/>
      <c r="L248" s="79" t="str">
        <f t="shared" ca="1" si="34"/>
        <v/>
      </c>
      <c r="M248" s="79" t="str">
        <f t="shared" ca="1" si="35"/>
        <v/>
      </c>
    </row>
    <row r="249" spans="1:13" x14ac:dyDescent="0.2">
      <c r="A249" s="144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01940155</v>
      </c>
      <c r="E249" s="79" t="str">
        <f>Podatak_JIB</f>
        <v>4400929510006</v>
      </c>
      <c r="F249" s="79" t="b">
        <f>Konsolidovan_izvjestaj</f>
        <v>0</v>
      </c>
      <c r="G249" s="188">
        <f>Datum_Broj</f>
        <v>44561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4"/>
        <v/>
      </c>
      <c r="M249" s="79" t="str">
        <f t="shared" ca="1" si="35"/>
        <v/>
      </c>
    </row>
    <row r="250" spans="1:13" x14ac:dyDescent="0.2">
      <c r="A250" s="144">
        <v>258</v>
      </c>
      <c r="B250" s="144" t="str">
        <f>VLOOKUP( $A250, Aop!$A$2:$N$415, 2, 0)</f>
        <v>BUb</v>
      </c>
      <c r="C250" s="79">
        <f t="shared" si="31"/>
        <v>4</v>
      </c>
      <c r="D250" s="79" t="str">
        <f t="shared" si="28"/>
        <v>01940155</v>
      </c>
      <c r="E250" s="79" t="str">
        <f t="shared" si="29"/>
        <v>4400929510006</v>
      </c>
      <c r="F250" s="79" t="b">
        <f t="shared" si="32"/>
        <v>0</v>
      </c>
      <c r="G250" s="188">
        <f t="shared" si="33"/>
        <v>44561</v>
      </c>
      <c r="H250" s="144">
        <f>VLOOKUP( $A250, Aop!$A$2:$N$415, 4, 0)</f>
        <v>407</v>
      </c>
      <c r="I250" s="79">
        <f t="shared" si="30"/>
        <v>2021</v>
      </c>
      <c r="J250" s="79"/>
      <c r="K250" s="79"/>
      <c r="L250" s="79" t="str">
        <f t="shared" ca="1" si="34"/>
        <v/>
      </c>
      <c r="M250" s="79" t="str">
        <f t="shared" ca="1" si="35"/>
        <v/>
      </c>
    </row>
    <row r="251" spans="1:13" x14ac:dyDescent="0.2">
      <c r="A251" s="144">
        <v>259</v>
      </c>
      <c r="B251" s="144" t="str">
        <f>VLOOKUP( $A251, Aop!$A$2:$N$415, 2, 0)</f>
        <v>BUb</v>
      </c>
      <c r="C251" s="79">
        <f t="shared" si="31"/>
        <v>4</v>
      </c>
      <c r="D251" s="79" t="str">
        <f t="shared" ref="D251:D308" si="36">Podatak_MB</f>
        <v>01940155</v>
      </c>
      <c r="E251" s="79" t="str">
        <f t="shared" ref="E251:E308" si="37">Podatak_JIB</f>
        <v>4400929510006</v>
      </c>
      <c r="F251" s="79" t="b">
        <f t="shared" si="32"/>
        <v>0</v>
      </c>
      <c r="G251" s="188">
        <f t="shared" si="33"/>
        <v>44561</v>
      </c>
      <c r="H251" s="144">
        <f>VLOOKUP( $A251, Aop!$A$2:$N$415, 4, 0)</f>
        <v>408</v>
      </c>
      <c r="I251" s="79">
        <f t="shared" ref="I251:I308" si="38">Godina</f>
        <v>2021</v>
      </c>
      <c r="J251" s="79"/>
      <c r="K251" s="79"/>
      <c r="L251" s="79">
        <f t="shared" ca="1" si="34"/>
        <v>0</v>
      </c>
      <c r="M251" s="79">
        <f t="shared" ca="1" si="35"/>
        <v>0</v>
      </c>
    </row>
    <row r="252" spans="1:13" x14ac:dyDescent="0.2">
      <c r="A252" s="144">
        <v>260</v>
      </c>
      <c r="B252" s="144" t="str">
        <f>VLOOKUP( $A252, Aop!$A$2:$N$415, 2, 0)</f>
        <v>BUb</v>
      </c>
      <c r="C252" s="79">
        <f t="shared" ref="C252:C309" si="39">ID_Izvjestaj</f>
        <v>4</v>
      </c>
      <c r="D252" s="79" t="str">
        <f t="shared" si="36"/>
        <v>01940155</v>
      </c>
      <c r="E252" s="79" t="str">
        <f t="shared" si="37"/>
        <v>4400929510006</v>
      </c>
      <c r="F252" s="79" t="b">
        <f t="shared" ref="F252:F309" si="40">Konsolidovan_izvjestaj</f>
        <v>0</v>
      </c>
      <c r="G252" s="188">
        <f t="shared" ref="G252:G309" si="41">Datum_Broj</f>
        <v>44561</v>
      </c>
      <c r="H252" s="144">
        <f>VLOOKUP( $A252, Aop!$A$2:$N$415, 4, 0)</f>
        <v>409</v>
      </c>
      <c r="I252" s="79">
        <f t="shared" si="38"/>
        <v>2021</v>
      </c>
      <c r="J252" s="79"/>
      <c r="K252" s="79"/>
      <c r="L252" s="79" t="str">
        <f t="shared" ca="1" si="34"/>
        <v/>
      </c>
      <c r="M252" s="79" t="str">
        <f t="shared" ca="1" si="35"/>
        <v/>
      </c>
    </row>
    <row r="253" spans="1:13" x14ac:dyDescent="0.2">
      <c r="A253" s="144">
        <v>261</v>
      </c>
      <c r="B253" s="144" t="str">
        <f>VLOOKUP( $A253, Aop!$A$2:$N$415, 2, 0)</f>
        <v>BUb</v>
      </c>
      <c r="C253" s="79">
        <f t="shared" si="39"/>
        <v>4</v>
      </c>
      <c r="D253" s="79" t="str">
        <f t="shared" si="36"/>
        <v>01940155</v>
      </c>
      <c r="E253" s="79" t="str">
        <f t="shared" si="37"/>
        <v>4400929510006</v>
      </c>
      <c r="F253" s="79" t="b">
        <f t="shared" si="40"/>
        <v>0</v>
      </c>
      <c r="G253" s="188">
        <f t="shared" si="41"/>
        <v>44561</v>
      </c>
      <c r="H253" s="144">
        <f>VLOOKUP( $A253, Aop!$A$2:$N$415, 4, 0)</f>
        <v>410</v>
      </c>
      <c r="I253" s="79">
        <f t="shared" si="38"/>
        <v>2021</v>
      </c>
      <c r="J253" s="79"/>
      <c r="K253" s="79"/>
      <c r="L253" s="79" t="str">
        <f t="shared" ca="1" si="34"/>
        <v/>
      </c>
      <c r="M253" s="79" t="str">
        <f t="shared" ca="1" si="35"/>
        <v/>
      </c>
    </row>
    <row r="254" spans="1:13" x14ac:dyDescent="0.2">
      <c r="A254" s="144">
        <v>262</v>
      </c>
      <c r="B254" s="144" t="str">
        <f>VLOOKUP( $A254, Aop!$A$2:$N$415, 2, 0)</f>
        <v>BUb</v>
      </c>
      <c r="C254" s="79">
        <f t="shared" si="39"/>
        <v>4</v>
      </c>
      <c r="D254" s="79" t="str">
        <f t="shared" si="36"/>
        <v>01940155</v>
      </c>
      <c r="E254" s="79" t="str">
        <f t="shared" si="37"/>
        <v>4400929510006</v>
      </c>
      <c r="F254" s="79" t="b">
        <f t="shared" si="40"/>
        <v>0</v>
      </c>
      <c r="G254" s="188">
        <f t="shared" si="41"/>
        <v>44561</v>
      </c>
      <c r="H254" s="144">
        <f>VLOOKUP( $A254, Aop!$A$2:$N$415, 4, 0)</f>
        <v>411</v>
      </c>
      <c r="I254" s="79">
        <f t="shared" si="38"/>
        <v>2021</v>
      </c>
      <c r="J254" s="79"/>
      <c r="K254" s="79"/>
      <c r="L254" s="79" t="str">
        <f t="shared" ca="1" si="34"/>
        <v/>
      </c>
      <c r="M254" s="79" t="str">
        <f t="shared" ca="1" si="35"/>
        <v/>
      </c>
    </row>
    <row r="255" spans="1:13" x14ac:dyDescent="0.2">
      <c r="A255" s="144">
        <v>263</v>
      </c>
      <c r="B255" s="144" t="str">
        <f>VLOOKUP( $A255, Aop!$A$2:$N$415, 2, 0)</f>
        <v>BUb</v>
      </c>
      <c r="C255" s="79">
        <f t="shared" si="39"/>
        <v>4</v>
      </c>
      <c r="D255" s="79" t="str">
        <f t="shared" si="36"/>
        <v>01940155</v>
      </c>
      <c r="E255" s="79" t="str">
        <f t="shared" si="37"/>
        <v>4400929510006</v>
      </c>
      <c r="F255" s="79" t="b">
        <f t="shared" si="40"/>
        <v>0</v>
      </c>
      <c r="G255" s="188">
        <f t="shared" si="41"/>
        <v>44561</v>
      </c>
      <c r="H255" s="144">
        <f>VLOOKUP( $A255, Aop!$A$2:$N$415, 4, 0)</f>
        <v>412</v>
      </c>
      <c r="I255" s="79">
        <f t="shared" si="38"/>
        <v>2021</v>
      </c>
      <c r="J255" s="79"/>
      <c r="K255" s="79"/>
      <c r="L255" s="79" t="str">
        <f t="shared" ca="1" si="34"/>
        <v/>
      </c>
      <c r="M255" s="79" t="str">
        <f t="shared" ca="1" si="35"/>
        <v/>
      </c>
    </row>
    <row r="256" spans="1:13" x14ac:dyDescent="0.2">
      <c r="A256" s="144">
        <v>264</v>
      </c>
      <c r="B256" s="144" t="str">
        <f>VLOOKUP( $A256, Aop!$A$2:$N$415, 2, 0)</f>
        <v>BUb</v>
      </c>
      <c r="C256" s="79">
        <f t="shared" si="39"/>
        <v>4</v>
      </c>
      <c r="D256" s="79" t="str">
        <f t="shared" si="36"/>
        <v>01940155</v>
      </c>
      <c r="E256" s="79" t="str">
        <f t="shared" si="37"/>
        <v>4400929510006</v>
      </c>
      <c r="F256" s="79" t="b">
        <f t="shared" si="40"/>
        <v>0</v>
      </c>
      <c r="G256" s="188">
        <f t="shared" si="41"/>
        <v>44561</v>
      </c>
      <c r="H256" s="144">
        <f>VLOOKUP( $A256, Aop!$A$2:$N$415, 4, 0)</f>
        <v>413</v>
      </c>
      <c r="I256" s="79">
        <f t="shared" si="38"/>
        <v>2021</v>
      </c>
      <c r="J256" s="79"/>
      <c r="K256" s="79"/>
      <c r="L256" s="79" t="str">
        <f t="shared" ca="1" si="34"/>
        <v/>
      </c>
      <c r="M256" s="79" t="str">
        <f t="shared" ca="1" si="35"/>
        <v/>
      </c>
    </row>
    <row r="257" spans="1:13" x14ac:dyDescent="0.2">
      <c r="A257" s="144">
        <v>265</v>
      </c>
      <c r="B257" s="144" t="str">
        <f>VLOOKUP( $A257, Aop!$A$2:$N$415, 2, 0)</f>
        <v>BUb</v>
      </c>
      <c r="C257" s="79">
        <f t="shared" si="39"/>
        <v>4</v>
      </c>
      <c r="D257" s="79" t="str">
        <f t="shared" si="36"/>
        <v>01940155</v>
      </c>
      <c r="E257" s="79" t="str">
        <f t="shared" si="37"/>
        <v>4400929510006</v>
      </c>
      <c r="F257" s="79" t="b">
        <f t="shared" si="40"/>
        <v>0</v>
      </c>
      <c r="G257" s="188">
        <f t="shared" si="41"/>
        <v>44561</v>
      </c>
      <c r="H257" s="144">
        <f>VLOOKUP( $A257, Aop!$A$2:$N$415, 4, 0)</f>
        <v>414</v>
      </c>
      <c r="I257" s="79">
        <f t="shared" si="38"/>
        <v>2021</v>
      </c>
      <c r="J257" s="79"/>
      <c r="K257" s="79"/>
      <c r="L257" s="79">
        <f t="shared" ca="1" si="34"/>
        <v>0</v>
      </c>
      <c r="M257" s="79">
        <f t="shared" ca="1" si="35"/>
        <v>0</v>
      </c>
    </row>
    <row r="258" spans="1:13" x14ac:dyDescent="0.2">
      <c r="A258" s="144">
        <v>266</v>
      </c>
      <c r="B258" s="144" t="str">
        <f>VLOOKUP( $A258, Aop!$A$2:$N$415, 2, 0)</f>
        <v>BUb</v>
      </c>
      <c r="C258" s="79">
        <f t="shared" si="39"/>
        <v>4</v>
      </c>
      <c r="D258" s="79" t="str">
        <f t="shared" si="36"/>
        <v>01940155</v>
      </c>
      <c r="E258" s="79" t="str">
        <f t="shared" si="37"/>
        <v>4400929510006</v>
      </c>
      <c r="F258" s="79" t="b">
        <f t="shared" si="40"/>
        <v>0</v>
      </c>
      <c r="G258" s="188">
        <f t="shared" si="41"/>
        <v>44561</v>
      </c>
      <c r="H258" s="144">
        <f>VLOOKUP( $A258, Aop!$A$2:$N$415, 4, 0)</f>
        <v>415</v>
      </c>
      <c r="I258" s="79">
        <f t="shared" si="38"/>
        <v>2021</v>
      </c>
      <c r="J258" s="79"/>
      <c r="K258" s="79"/>
      <c r="L258" s="79" t="str">
        <f t="shared" ref="L258:L321" ca="1" si="42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3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4">
        <v>267</v>
      </c>
      <c r="B259" s="144" t="str">
        <f>VLOOKUP( $A259, Aop!$A$2:$N$415, 2, 0)</f>
        <v>BUb</v>
      </c>
      <c r="C259" s="79">
        <f t="shared" si="39"/>
        <v>4</v>
      </c>
      <c r="D259" s="79" t="str">
        <f t="shared" si="36"/>
        <v>01940155</v>
      </c>
      <c r="E259" s="79" t="str">
        <f t="shared" si="37"/>
        <v>4400929510006</v>
      </c>
      <c r="F259" s="79" t="b">
        <f t="shared" si="40"/>
        <v>0</v>
      </c>
      <c r="G259" s="188">
        <f t="shared" si="41"/>
        <v>44561</v>
      </c>
      <c r="H259" s="144">
        <f>VLOOKUP( $A259, Aop!$A$2:$N$415, 4, 0)</f>
        <v>416</v>
      </c>
      <c r="I259" s="79">
        <f t="shared" si="38"/>
        <v>2021</v>
      </c>
      <c r="J259" s="79"/>
      <c r="K259" s="79"/>
      <c r="L259" s="79">
        <f t="shared" ca="1" si="42"/>
        <v>0</v>
      </c>
      <c r="M259" s="79">
        <f t="shared" ca="1" si="43"/>
        <v>0</v>
      </c>
    </row>
    <row r="260" spans="1:13" x14ac:dyDescent="0.2">
      <c r="A260" s="144">
        <v>269</v>
      </c>
      <c r="B260" s="144" t="str">
        <f>VLOOKUP( $A260, Aop!$A$2:$N$415, 2, 0)</f>
        <v>BUb</v>
      </c>
      <c r="C260" s="79">
        <f t="shared" si="39"/>
        <v>4</v>
      </c>
      <c r="D260" s="79" t="str">
        <f t="shared" si="36"/>
        <v>01940155</v>
      </c>
      <c r="E260" s="79" t="str">
        <f t="shared" si="37"/>
        <v>4400929510006</v>
      </c>
      <c r="F260" s="79" t="b">
        <f t="shared" si="40"/>
        <v>0</v>
      </c>
      <c r="G260" s="188">
        <f t="shared" si="41"/>
        <v>44561</v>
      </c>
      <c r="H260" s="144">
        <f>VLOOKUP( $A260, Aop!$A$2:$N$415, 4, 0)</f>
        <v>417</v>
      </c>
      <c r="I260" s="79">
        <f t="shared" si="38"/>
        <v>2021</v>
      </c>
      <c r="J260" s="79"/>
      <c r="K260" s="79"/>
      <c r="L260" s="79">
        <f t="shared" ca="1" si="42"/>
        <v>481465</v>
      </c>
      <c r="M260" s="79">
        <f t="shared" ca="1" si="43"/>
        <v>7290</v>
      </c>
    </row>
    <row r="261" spans="1:13" x14ac:dyDescent="0.2">
      <c r="A261" s="144">
        <v>270</v>
      </c>
      <c r="B261" s="144" t="str">
        <f>VLOOKUP( $A261, Aop!$A$2:$N$415, 2, 0)</f>
        <v>BUb</v>
      </c>
      <c r="C261" s="79">
        <f t="shared" si="39"/>
        <v>4</v>
      </c>
      <c r="D261" s="79" t="str">
        <f t="shared" si="36"/>
        <v>01940155</v>
      </c>
      <c r="E261" s="79" t="str">
        <f t="shared" si="37"/>
        <v>4400929510006</v>
      </c>
      <c r="F261" s="79" t="b">
        <f t="shared" si="40"/>
        <v>0</v>
      </c>
      <c r="G261" s="188">
        <f t="shared" si="41"/>
        <v>44561</v>
      </c>
      <c r="H261" s="144">
        <f>VLOOKUP( $A261, Aop!$A$2:$N$415, 4, 0)</f>
        <v>418</v>
      </c>
      <c r="I261" s="79">
        <f t="shared" si="38"/>
        <v>2021</v>
      </c>
      <c r="J261" s="79"/>
      <c r="K261" s="79"/>
      <c r="L261" s="79">
        <f t="shared" ca="1" si="42"/>
        <v>0</v>
      </c>
      <c r="M261" s="79">
        <f t="shared" ca="1" si="43"/>
        <v>0</v>
      </c>
    </row>
    <row r="262" spans="1:13" x14ac:dyDescent="0.2">
      <c r="A262" s="144">
        <v>272</v>
      </c>
      <c r="B262" s="144" t="str">
        <f>VLOOKUP( $A262, Aop!$A$2:$N$415, 2, 0)</f>
        <v>BTG</v>
      </c>
      <c r="C262" s="79">
        <f t="shared" si="39"/>
        <v>4</v>
      </c>
      <c r="D262" s="79" t="str">
        <f t="shared" si="36"/>
        <v>01940155</v>
      </c>
      <c r="E262" s="79" t="str">
        <f t="shared" si="37"/>
        <v>4400929510006</v>
      </c>
      <c r="F262" s="79" t="b">
        <f t="shared" si="40"/>
        <v>0</v>
      </c>
      <c r="G262" s="188">
        <f t="shared" si="41"/>
        <v>44561</v>
      </c>
      <c r="H262" s="144">
        <f>VLOOKUP( $A262, Aop!$A$2:$N$415, 4, 0)</f>
        <v>501</v>
      </c>
      <c r="I262" s="79">
        <f t="shared" si="38"/>
        <v>2021</v>
      </c>
      <c r="J262" s="79"/>
      <c r="K262" s="79"/>
      <c r="L262" s="79">
        <f t="shared" ca="1" si="42"/>
        <v>19401842</v>
      </c>
      <c r="M262" s="79">
        <f t="shared" ca="1" si="43"/>
        <v>15061021</v>
      </c>
    </row>
    <row r="263" spans="1:13" x14ac:dyDescent="0.2">
      <c r="A263" s="144">
        <v>273</v>
      </c>
      <c r="B263" s="144" t="str">
        <f>VLOOKUP( $A263, Aop!$A$2:$N$415, 2, 0)</f>
        <v>BTG</v>
      </c>
      <c r="C263" s="79">
        <f t="shared" si="39"/>
        <v>4</v>
      </c>
      <c r="D263" s="79" t="str">
        <f t="shared" si="36"/>
        <v>01940155</v>
      </c>
      <c r="E263" s="79" t="str">
        <f t="shared" si="37"/>
        <v>4400929510006</v>
      </c>
      <c r="F263" s="79" t="b">
        <f t="shared" si="40"/>
        <v>0</v>
      </c>
      <c r="G263" s="188">
        <f t="shared" si="41"/>
        <v>44561</v>
      </c>
      <c r="H263" s="144">
        <f>VLOOKUP( $A263, Aop!$A$2:$N$415, 4, 0)</f>
        <v>502</v>
      </c>
      <c r="I263" s="79">
        <f t="shared" si="38"/>
        <v>2021</v>
      </c>
      <c r="J263" s="79"/>
      <c r="K263" s="79"/>
      <c r="L263" s="79">
        <f t="shared" ca="1" si="42"/>
        <v>19343820</v>
      </c>
      <c r="M263" s="79">
        <f t="shared" ca="1" si="43"/>
        <v>14976065</v>
      </c>
    </row>
    <row r="264" spans="1:13" x14ac:dyDescent="0.2">
      <c r="A264" s="144">
        <v>274</v>
      </c>
      <c r="B264" s="144" t="str">
        <f>VLOOKUP( $A264, Aop!$A$2:$N$415, 2, 0)</f>
        <v>BTG</v>
      </c>
      <c r="C264" s="79">
        <f t="shared" si="39"/>
        <v>4</v>
      </c>
      <c r="D264" s="79" t="str">
        <f t="shared" si="36"/>
        <v>01940155</v>
      </c>
      <c r="E264" s="79" t="str">
        <f t="shared" si="37"/>
        <v>4400929510006</v>
      </c>
      <c r="F264" s="79" t="b">
        <f t="shared" si="40"/>
        <v>0</v>
      </c>
      <c r="G264" s="188">
        <f t="shared" si="41"/>
        <v>44561</v>
      </c>
      <c r="H264" s="144">
        <f>VLOOKUP( $A264, Aop!$A$2:$N$415, 4, 0)</f>
        <v>503</v>
      </c>
      <c r="I264" s="79">
        <f t="shared" si="38"/>
        <v>2021</v>
      </c>
      <c r="J264" s="79"/>
      <c r="K264" s="79"/>
      <c r="L264" s="79">
        <f t="shared" ca="1" si="42"/>
        <v>24268</v>
      </c>
      <c r="M264" s="79">
        <f t="shared" ca="1" si="43"/>
        <v>63114</v>
      </c>
    </row>
    <row r="265" spans="1:13" x14ac:dyDescent="0.2">
      <c r="A265" s="144">
        <v>275</v>
      </c>
      <c r="B265" s="144" t="str">
        <f>VLOOKUP( $A265, Aop!$A$2:$N$415, 2, 0)</f>
        <v>BTG</v>
      </c>
      <c r="C265" s="79">
        <f t="shared" si="39"/>
        <v>4</v>
      </c>
      <c r="D265" s="79" t="str">
        <f t="shared" si="36"/>
        <v>01940155</v>
      </c>
      <c r="E265" s="79" t="str">
        <f t="shared" si="37"/>
        <v>4400929510006</v>
      </c>
      <c r="F265" s="79" t="b">
        <f t="shared" si="40"/>
        <v>0</v>
      </c>
      <c r="G265" s="188">
        <f t="shared" si="41"/>
        <v>44561</v>
      </c>
      <c r="H265" s="144">
        <f>VLOOKUP( $A265, Aop!$A$2:$N$415, 4, 0)</f>
        <v>504</v>
      </c>
      <c r="I265" s="79">
        <f t="shared" si="38"/>
        <v>2021</v>
      </c>
      <c r="J265" s="79"/>
      <c r="K265" s="79"/>
      <c r="L265" s="79">
        <f t="shared" ca="1" si="42"/>
        <v>33754</v>
      </c>
      <c r="M265" s="79">
        <f t="shared" ca="1" si="43"/>
        <v>21842</v>
      </c>
    </row>
    <row r="266" spans="1:13" x14ac:dyDescent="0.2">
      <c r="A266" s="144">
        <v>276</v>
      </c>
      <c r="B266" s="144" t="str">
        <f>VLOOKUP( $A266, Aop!$A$2:$N$415, 2, 0)</f>
        <v>BTG</v>
      </c>
      <c r="C266" s="79">
        <f t="shared" si="39"/>
        <v>4</v>
      </c>
      <c r="D266" s="79" t="str">
        <f t="shared" si="36"/>
        <v>01940155</v>
      </c>
      <c r="E266" s="79" t="str">
        <f t="shared" si="37"/>
        <v>4400929510006</v>
      </c>
      <c r="F266" s="79" t="b">
        <f t="shared" si="40"/>
        <v>0</v>
      </c>
      <c r="G266" s="188">
        <f t="shared" si="41"/>
        <v>44561</v>
      </c>
      <c r="H266" s="144">
        <f>VLOOKUP( $A266, Aop!$A$2:$N$415, 4, 0)</f>
        <v>505</v>
      </c>
      <c r="I266" s="79">
        <f t="shared" si="38"/>
        <v>2021</v>
      </c>
      <c r="J266" s="79"/>
      <c r="K266" s="79"/>
      <c r="L266" s="79">
        <f t="shared" ca="1" si="42"/>
        <v>18194606</v>
      </c>
      <c r="M266" s="79">
        <f t="shared" ca="1" si="43"/>
        <v>14912633</v>
      </c>
    </row>
    <row r="267" spans="1:13" x14ac:dyDescent="0.2">
      <c r="A267" s="144">
        <v>277</v>
      </c>
      <c r="B267" s="144" t="str">
        <f>VLOOKUP( $A267, Aop!$A$2:$N$415, 2, 0)</f>
        <v>BTG</v>
      </c>
      <c r="C267" s="79">
        <f t="shared" si="39"/>
        <v>4</v>
      </c>
      <c r="D267" s="79" t="str">
        <f t="shared" si="36"/>
        <v>01940155</v>
      </c>
      <c r="E267" s="79" t="str">
        <f t="shared" si="37"/>
        <v>4400929510006</v>
      </c>
      <c r="F267" s="79" t="b">
        <f t="shared" si="40"/>
        <v>0</v>
      </c>
      <c r="G267" s="188">
        <f t="shared" si="41"/>
        <v>44561</v>
      </c>
      <c r="H267" s="144">
        <f>VLOOKUP( $A267, Aop!$A$2:$N$415, 4, 0)</f>
        <v>506</v>
      </c>
      <c r="I267" s="79">
        <f t="shared" si="38"/>
        <v>2021</v>
      </c>
      <c r="J267" s="79"/>
      <c r="K267" s="79"/>
      <c r="L267" s="79">
        <f t="shared" ca="1" si="42"/>
        <v>14493112</v>
      </c>
      <c r="M267" s="79">
        <f t="shared" ca="1" si="43"/>
        <v>12044949</v>
      </c>
    </row>
    <row r="268" spans="1:13" x14ac:dyDescent="0.2">
      <c r="A268" s="144">
        <v>278</v>
      </c>
      <c r="B268" s="144" t="str">
        <f>VLOOKUP( $A268, Aop!$A$2:$N$415, 2, 0)</f>
        <v>BTG</v>
      </c>
      <c r="C268" s="79">
        <f t="shared" si="39"/>
        <v>4</v>
      </c>
      <c r="D268" s="79" t="str">
        <f t="shared" si="36"/>
        <v>01940155</v>
      </c>
      <c r="E268" s="79" t="str">
        <f t="shared" si="37"/>
        <v>4400929510006</v>
      </c>
      <c r="F268" s="79" t="b">
        <f t="shared" si="40"/>
        <v>0</v>
      </c>
      <c r="G268" s="188">
        <f t="shared" si="41"/>
        <v>44561</v>
      </c>
      <c r="H268" s="144">
        <f>VLOOKUP( $A268, Aop!$A$2:$N$415, 4, 0)</f>
        <v>507</v>
      </c>
      <c r="I268" s="79">
        <f t="shared" si="38"/>
        <v>2021</v>
      </c>
      <c r="J268" s="79"/>
      <c r="K268" s="79"/>
      <c r="L268" s="79">
        <f t="shared" ca="1" si="42"/>
        <v>1215931</v>
      </c>
      <c r="M268" s="79">
        <f t="shared" ca="1" si="43"/>
        <v>1037444</v>
      </c>
    </row>
    <row r="269" spans="1:13" x14ac:dyDescent="0.2">
      <c r="A269" s="144">
        <v>279</v>
      </c>
      <c r="B269" s="144" t="str">
        <f>VLOOKUP( $A269, Aop!$A$2:$N$415, 2, 0)</f>
        <v>BTG</v>
      </c>
      <c r="C269" s="79">
        <f t="shared" si="39"/>
        <v>4</v>
      </c>
      <c r="D269" s="79" t="str">
        <f t="shared" si="36"/>
        <v>01940155</v>
      </c>
      <c r="E269" s="79" t="str">
        <f t="shared" si="37"/>
        <v>4400929510006</v>
      </c>
      <c r="F269" s="79" t="b">
        <f t="shared" si="40"/>
        <v>0</v>
      </c>
      <c r="G269" s="188">
        <f t="shared" si="41"/>
        <v>44561</v>
      </c>
      <c r="H269" s="144">
        <f>VLOOKUP( $A269, Aop!$A$2:$N$415, 4, 0)</f>
        <v>508</v>
      </c>
      <c r="I269" s="79">
        <f t="shared" si="38"/>
        <v>2021</v>
      </c>
      <c r="J269" s="79"/>
      <c r="K269" s="79"/>
      <c r="L269" s="79">
        <f t="shared" ca="1" si="42"/>
        <v>94643</v>
      </c>
      <c r="M269" s="79">
        <f t="shared" ca="1" si="43"/>
        <v>113571</v>
      </c>
    </row>
    <row r="270" spans="1:13" x14ac:dyDescent="0.2">
      <c r="A270" s="144">
        <v>280</v>
      </c>
      <c r="B270" s="144" t="str">
        <f>VLOOKUP( $A270, Aop!$A$2:$N$415, 2, 0)</f>
        <v>BTG</v>
      </c>
      <c r="C270" s="79">
        <f t="shared" si="39"/>
        <v>4</v>
      </c>
      <c r="D270" s="79" t="str">
        <f t="shared" si="36"/>
        <v>01940155</v>
      </c>
      <c r="E270" s="79" t="str">
        <f t="shared" si="37"/>
        <v>4400929510006</v>
      </c>
      <c r="F270" s="79" t="b">
        <f t="shared" si="40"/>
        <v>0</v>
      </c>
      <c r="G270" s="188">
        <f t="shared" si="41"/>
        <v>44561</v>
      </c>
      <c r="H270" s="144">
        <f>VLOOKUP( $A270, Aop!$A$2:$N$415, 4, 0)</f>
        <v>509</v>
      </c>
      <c r="I270" s="79">
        <f t="shared" si="38"/>
        <v>2021</v>
      </c>
      <c r="J270" s="79"/>
      <c r="K270" s="79"/>
      <c r="L270" s="79">
        <f t="shared" ca="1" si="42"/>
        <v>4862</v>
      </c>
      <c r="M270" s="79">
        <f t="shared" ca="1" si="43"/>
        <v>19882</v>
      </c>
    </row>
    <row r="271" spans="1:13" x14ac:dyDescent="0.2">
      <c r="A271" s="144">
        <v>281</v>
      </c>
      <c r="B271" s="144" t="str">
        <f>VLOOKUP( $A271, Aop!$A$2:$N$415, 2, 0)</f>
        <v>BTG</v>
      </c>
      <c r="C271" s="79">
        <f t="shared" si="39"/>
        <v>4</v>
      </c>
      <c r="D271" s="79" t="str">
        <f t="shared" si="36"/>
        <v>01940155</v>
      </c>
      <c r="E271" s="79" t="str">
        <f t="shared" si="37"/>
        <v>4400929510006</v>
      </c>
      <c r="F271" s="79" t="b">
        <f t="shared" si="40"/>
        <v>0</v>
      </c>
      <c r="G271" s="188">
        <f t="shared" si="41"/>
        <v>44561</v>
      </c>
      <c r="H271" s="144">
        <f>VLOOKUP( $A271, Aop!$A$2:$N$415, 4, 0)</f>
        <v>510</v>
      </c>
      <c r="I271" s="79">
        <f t="shared" si="38"/>
        <v>2021</v>
      </c>
      <c r="J271" s="79"/>
      <c r="K271" s="79"/>
      <c r="L271" s="79">
        <f t="shared" ca="1" si="42"/>
        <v>2386058</v>
      </c>
      <c r="M271" s="79">
        <f t="shared" ca="1" si="43"/>
        <v>1696787</v>
      </c>
    </row>
    <row r="272" spans="1:13" x14ac:dyDescent="0.2">
      <c r="A272" s="144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01940155</v>
      </c>
      <c r="E272" s="79" t="str">
        <f>Podatak_JIB</f>
        <v>4400929510006</v>
      </c>
      <c r="F272" s="79" t="b">
        <f>Konsolidovan_izvjestaj</f>
        <v>0</v>
      </c>
      <c r="G272" s="188">
        <f>Datum_Broj</f>
        <v>44561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2"/>
        <v>1207236</v>
      </c>
      <c r="M272" s="79">
        <f t="shared" ca="1" si="43"/>
        <v>148388</v>
      </c>
    </row>
    <row r="273" spans="1:13" x14ac:dyDescent="0.2">
      <c r="A273" s="144">
        <v>283</v>
      </c>
      <c r="B273" s="144" t="str">
        <f>VLOOKUP( $A273, Aop!$A$2:$N$415, 2, 0)</f>
        <v>BTG</v>
      </c>
      <c r="C273" s="79">
        <f t="shared" si="39"/>
        <v>4</v>
      </c>
      <c r="D273" s="79" t="str">
        <f t="shared" si="36"/>
        <v>01940155</v>
      </c>
      <c r="E273" s="79" t="str">
        <f t="shared" si="37"/>
        <v>4400929510006</v>
      </c>
      <c r="F273" s="79" t="b">
        <f t="shared" si="40"/>
        <v>0</v>
      </c>
      <c r="G273" s="188">
        <f t="shared" si="41"/>
        <v>44561</v>
      </c>
      <c r="H273" s="144">
        <f>VLOOKUP( $A273, Aop!$A$2:$N$415, 4, 0)</f>
        <v>512</v>
      </c>
      <c r="I273" s="79">
        <f t="shared" si="38"/>
        <v>2021</v>
      </c>
      <c r="J273" s="79"/>
      <c r="K273" s="79"/>
      <c r="L273" s="79">
        <f t="shared" ca="1" si="42"/>
        <v>0</v>
      </c>
      <c r="M273" s="79">
        <f t="shared" ca="1" si="43"/>
        <v>0</v>
      </c>
    </row>
    <row r="274" spans="1:13" x14ac:dyDescent="0.2">
      <c r="A274" s="144">
        <v>285</v>
      </c>
      <c r="B274" s="144" t="str">
        <f>VLOOKUP( $A274, Aop!$A$2:$N$415, 2, 0)</f>
        <v>BTG</v>
      </c>
      <c r="C274" s="79">
        <f t="shared" si="39"/>
        <v>4</v>
      </c>
      <c r="D274" s="79" t="str">
        <f t="shared" si="36"/>
        <v>01940155</v>
      </c>
      <c r="E274" s="79" t="str">
        <f t="shared" si="37"/>
        <v>4400929510006</v>
      </c>
      <c r="F274" s="79" t="b">
        <f t="shared" si="40"/>
        <v>0</v>
      </c>
      <c r="G274" s="188">
        <f t="shared" si="41"/>
        <v>44561</v>
      </c>
      <c r="H274" s="144">
        <f>VLOOKUP( $A274, Aop!$A$2:$N$415, 4, 0)</f>
        <v>513</v>
      </c>
      <c r="I274" s="79">
        <f t="shared" si="38"/>
        <v>2021</v>
      </c>
      <c r="J274" s="79"/>
      <c r="K274" s="79"/>
      <c r="L274" s="79">
        <f t="shared" ca="1" si="42"/>
        <v>62034</v>
      </c>
      <c r="M274" s="79">
        <f t="shared" ca="1" si="43"/>
        <v>14465</v>
      </c>
    </row>
    <row r="275" spans="1:13" x14ac:dyDescent="0.2">
      <c r="A275" s="144">
        <v>286</v>
      </c>
      <c r="B275" s="144" t="str">
        <f>VLOOKUP( $A275, Aop!$A$2:$N$415, 2, 0)</f>
        <v>BTG</v>
      </c>
      <c r="C275" s="79">
        <f t="shared" si="39"/>
        <v>4</v>
      </c>
      <c r="D275" s="79" t="str">
        <f t="shared" si="36"/>
        <v>01940155</v>
      </c>
      <c r="E275" s="79" t="str">
        <f t="shared" si="37"/>
        <v>4400929510006</v>
      </c>
      <c r="F275" s="79" t="b">
        <f t="shared" si="40"/>
        <v>0</v>
      </c>
      <c r="G275" s="188">
        <f t="shared" si="41"/>
        <v>44561</v>
      </c>
      <c r="H275" s="144">
        <f>VLOOKUP( $A275, Aop!$A$2:$N$415, 4, 0)</f>
        <v>514</v>
      </c>
      <c r="I275" s="79">
        <f t="shared" si="38"/>
        <v>2021</v>
      </c>
      <c r="J275" s="79"/>
      <c r="K275" s="79"/>
      <c r="L275" s="79" t="str">
        <f t="shared" ca="1" si="42"/>
        <v/>
      </c>
      <c r="M275" s="79" t="str">
        <f t="shared" ca="1" si="43"/>
        <v/>
      </c>
    </row>
    <row r="276" spans="1:13" x14ac:dyDescent="0.2">
      <c r="A276" s="144">
        <v>287</v>
      </c>
      <c r="B276" s="144" t="str">
        <f>VLOOKUP( $A276, Aop!$A$2:$N$415, 2, 0)</f>
        <v>BTG</v>
      </c>
      <c r="C276" s="79">
        <f t="shared" si="39"/>
        <v>4</v>
      </c>
      <c r="D276" s="79" t="str">
        <f t="shared" si="36"/>
        <v>01940155</v>
      </c>
      <c r="E276" s="79" t="str">
        <f t="shared" si="37"/>
        <v>4400929510006</v>
      </c>
      <c r="F276" s="79" t="b">
        <f t="shared" si="40"/>
        <v>0</v>
      </c>
      <c r="G276" s="188">
        <f t="shared" si="41"/>
        <v>44561</v>
      </c>
      <c r="H276" s="144">
        <f>VLOOKUP( $A276, Aop!$A$2:$N$415, 4, 0)</f>
        <v>515</v>
      </c>
      <c r="I276" s="79">
        <f t="shared" si="38"/>
        <v>2021</v>
      </c>
      <c r="J276" s="79"/>
      <c r="K276" s="79"/>
      <c r="L276" s="79" t="str">
        <f t="shared" ca="1" si="42"/>
        <v/>
      </c>
      <c r="M276" s="79" t="str">
        <f t="shared" ca="1" si="43"/>
        <v/>
      </c>
    </row>
    <row r="277" spans="1:13" x14ac:dyDescent="0.2">
      <c r="A277" s="144">
        <v>288</v>
      </c>
      <c r="B277" s="144" t="str">
        <f>VLOOKUP( $A277, Aop!$A$2:$N$415, 2, 0)</f>
        <v>BTG</v>
      </c>
      <c r="C277" s="79">
        <f t="shared" si="39"/>
        <v>4</v>
      </c>
      <c r="D277" s="79" t="str">
        <f t="shared" si="36"/>
        <v>01940155</v>
      </c>
      <c r="E277" s="79" t="str">
        <f t="shared" si="37"/>
        <v>4400929510006</v>
      </c>
      <c r="F277" s="79" t="b">
        <f t="shared" si="40"/>
        <v>0</v>
      </c>
      <c r="G277" s="188">
        <f t="shared" si="41"/>
        <v>44561</v>
      </c>
      <c r="H277" s="144">
        <f>VLOOKUP( $A277, Aop!$A$2:$N$415, 4, 0)</f>
        <v>516</v>
      </c>
      <c r="I277" s="79">
        <f t="shared" si="38"/>
        <v>2021</v>
      </c>
      <c r="J277" s="79"/>
      <c r="K277" s="79"/>
      <c r="L277" s="79">
        <f t="shared" ca="1" si="42"/>
        <v>3755</v>
      </c>
      <c r="M277" s="79">
        <f t="shared" ca="1" si="43"/>
        <v>14465</v>
      </c>
    </row>
    <row r="278" spans="1:13" x14ac:dyDescent="0.2">
      <c r="A278" s="144">
        <v>289</v>
      </c>
      <c r="B278" s="144" t="str">
        <f>VLOOKUP( $A278, Aop!$A$2:$N$415, 2, 0)</f>
        <v>BTG</v>
      </c>
      <c r="C278" s="79">
        <f t="shared" si="39"/>
        <v>4</v>
      </c>
      <c r="D278" s="79" t="str">
        <f t="shared" si="36"/>
        <v>01940155</v>
      </c>
      <c r="E278" s="79" t="str">
        <f t="shared" si="37"/>
        <v>4400929510006</v>
      </c>
      <c r="F278" s="79" t="b">
        <f t="shared" si="40"/>
        <v>0</v>
      </c>
      <c r="G278" s="188">
        <f t="shared" si="41"/>
        <v>44561</v>
      </c>
      <c r="H278" s="144">
        <f>VLOOKUP( $A278, Aop!$A$2:$N$415, 4, 0)</f>
        <v>517</v>
      </c>
      <c r="I278" s="79">
        <f t="shared" si="38"/>
        <v>2021</v>
      </c>
      <c r="J278" s="79"/>
      <c r="K278" s="79"/>
      <c r="L278" s="79" t="str">
        <f t="shared" ca="1" si="42"/>
        <v/>
      </c>
      <c r="M278" s="79" t="str">
        <f t="shared" ca="1" si="43"/>
        <v/>
      </c>
    </row>
    <row r="279" spans="1:13" x14ac:dyDescent="0.2">
      <c r="A279" s="144">
        <v>290</v>
      </c>
      <c r="B279" s="144" t="str">
        <f>VLOOKUP( $A279, Aop!$A$2:$N$415, 2, 0)</f>
        <v>BTG</v>
      </c>
      <c r="C279" s="79">
        <f t="shared" si="39"/>
        <v>4</v>
      </c>
      <c r="D279" s="79" t="str">
        <f t="shared" si="36"/>
        <v>01940155</v>
      </c>
      <c r="E279" s="79" t="str">
        <f t="shared" si="37"/>
        <v>4400929510006</v>
      </c>
      <c r="F279" s="79" t="b">
        <f t="shared" si="40"/>
        <v>0</v>
      </c>
      <c r="G279" s="188">
        <f t="shared" si="41"/>
        <v>44561</v>
      </c>
      <c r="H279" s="144">
        <f>VLOOKUP( $A279, Aop!$A$2:$N$415, 4, 0)</f>
        <v>518</v>
      </c>
      <c r="I279" s="79">
        <f t="shared" si="38"/>
        <v>2021</v>
      </c>
      <c r="J279" s="79"/>
      <c r="K279" s="79"/>
      <c r="L279" s="79">
        <f t="shared" ca="1" si="42"/>
        <v>58279</v>
      </c>
      <c r="M279" s="79" t="str">
        <f t="shared" ca="1" si="43"/>
        <v/>
      </c>
    </row>
    <row r="280" spans="1:13" x14ac:dyDescent="0.2">
      <c r="A280" s="144">
        <v>291</v>
      </c>
      <c r="B280" s="144" t="str">
        <f>VLOOKUP( $A280, Aop!$A$2:$N$415, 2, 0)</f>
        <v>BTG</v>
      </c>
      <c r="C280" s="79">
        <f t="shared" si="39"/>
        <v>4</v>
      </c>
      <c r="D280" s="79" t="str">
        <f t="shared" si="36"/>
        <v>01940155</v>
      </c>
      <c r="E280" s="79" t="str">
        <f t="shared" si="37"/>
        <v>4400929510006</v>
      </c>
      <c r="F280" s="79" t="b">
        <f t="shared" si="40"/>
        <v>0</v>
      </c>
      <c r="G280" s="188">
        <f t="shared" si="41"/>
        <v>44561</v>
      </c>
      <c r="H280" s="144">
        <f>VLOOKUP( $A280, Aop!$A$2:$N$415, 4, 0)</f>
        <v>519</v>
      </c>
      <c r="I280" s="79">
        <f t="shared" si="38"/>
        <v>2021</v>
      </c>
      <c r="J280" s="79"/>
      <c r="K280" s="79"/>
      <c r="L280" s="79" t="str">
        <f t="shared" ca="1" si="42"/>
        <v/>
      </c>
      <c r="M280" s="79" t="str">
        <f t="shared" ca="1" si="43"/>
        <v/>
      </c>
    </row>
    <row r="281" spans="1:13" x14ac:dyDescent="0.2">
      <c r="A281" s="144">
        <v>292</v>
      </c>
      <c r="B281" s="144" t="str">
        <f>VLOOKUP( $A281, Aop!$A$2:$N$415, 2, 0)</f>
        <v>BTG</v>
      </c>
      <c r="C281" s="79">
        <f t="shared" si="39"/>
        <v>4</v>
      </c>
      <c r="D281" s="79" t="str">
        <f t="shared" si="36"/>
        <v>01940155</v>
      </c>
      <c r="E281" s="79" t="str">
        <f t="shared" si="37"/>
        <v>4400929510006</v>
      </c>
      <c r="F281" s="79" t="b">
        <f t="shared" si="40"/>
        <v>0</v>
      </c>
      <c r="G281" s="188">
        <f t="shared" si="41"/>
        <v>44561</v>
      </c>
      <c r="H281" s="144">
        <f>VLOOKUP( $A281, Aop!$A$2:$N$415, 4, 0)</f>
        <v>520</v>
      </c>
      <c r="I281" s="79">
        <f t="shared" si="38"/>
        <v>2021</v>
      </c>
      <c r="J281" s="79"/>
      <c r="K281" s="79"/>
      <c r="L281" s="79">
        <f t="shared" ca="1" si="42"/>
        <v>335629</v>
      </c>
      <c r="M281" s="79">
        <f t="shared" ca="1" si="43"/>
        <v>93322</v>
      </c>
    </row>
    <row r="282" spans="1:13" x14ac:dyDescent="0.2">
      <c r="A282" s="144">
        <v>293</v>
      </c>
      <c r="B282" s="144" t="str">
        <f>VLOOKUP( $A282, Aop!$A$2:$N$415, 2, 0)</f>
        <v>BTG</v>
      </c>
      <c r="C282" s="79">
        <f t="shared" si="39"/>
        <v>4</v>
      </c>
      <c r="D282" s="79" t="str">
        <f t="shared" si="36"/>
        <v>01940155</v>
      </c>
      <c r="E282" s="79" t="str">
        <f t="shared" si="37"/>
        <v>4400929510006</v>
      </c>
      <c r="F282" s="79" t="b">
        <f t="shared" si="40"/>
        <v>0</v>
      </c>
      <c r="G282" s="188">
        <f t="shared" si="41"/>
        <v>44561</v>
      </c>
      <c r="H282" s="144">
        <f>VLOOKUP( $A282, Aop!$A$2:$N$415, 4, 0)</f>
        <v>521</v>
      </c>
      <c r="I282" s="79">
        <f t="shared" si="38"/>
        <v>2021</v>
      </c>
      <c r="J282" s="79"/>
      <c r="K282" s="79"/>
      <c r="L282" s="79" t="str">
        <f t="shared" ca="1" si="42"/>
        <v/>
      </c>
      <c r="M282" s="79" t="str">
        <f t="shared" ca="1" si="43"/>
        <v/>
      </c>
    </row>
    <row r="283" spans="1:13" x14ac:dyDescent="0.2">
      <c r="A283" s="144">
        <v>294</v>
      </c>
      <c r="B283" s="144" t="str">
        <f>VLOOKUP( $A283, Aop!$A$2:$N$415, 2, 0)</f>
        <v>BTG</v>
      </c>
      <c r="C283" s="79">
        <f t="shared" si="39"/>
        <v>4</v>
      </c>
      <c r="D283" s="79" t="str">
        <f t="shared" si="36"/>
        <v>01940155</v>
      </c>
      <c r="E283" s="79" t="str">
        <f t="shared" si="37"/>
        <v>4400929510006</v>
      </c>
      <c r="F283" s="79" t="b">
        <f t="shared" si="40"/>
        <v>0</v>
      </c>
      <c r="G283" s="188">
        <f t="shared" si="41"/>
        <v>44561</v>
      </c>
      <c r="H283" s="144">
        <f>VLOOKUP( $A283, Aop!$A$2:$N$415, 4, 0)</f>
        <v>522</v>
      </c>
      <c r="I283" s="79">
        <f t="shared" si="38"/>
        <v>2021</v>
      </c>
      <c r="J283" s="79"/>
      <c r="K283" s="79"/>
      <c r="L283" s="79" t="str">
        <f t="shared" ca="1" si="42"/>
        <v/>
      </c>
      <c r="M283" s="79" t="str">
        <f t="shared" ca="1" si="43"/>
        <v/>
      </c>
    </row>
    <row r="284" spans="1:13" x14ac:dyDescent="0.2">
      <c r="A284" s="144">
        <v>295</v>
      </c>
      <c r="B284" s="144" t="str">
        <f>VLOOKUP( $A284, Aop!$A$2:$N$415, 2, 0)</f>
        <v>BTG</v>
      </c>
      <c r="C284" s="79">
        <f t="shared" si="39"/>
        <v>4</v>
      </c>
      <c r="D284" s="79" t="str">
        <f t="shared" si="36"/>
        <v>01940155</v>
      </c>
      <c r="E284" s="79" t="str">
        <f t="shared" si="37"/>
        <v>4400929510006</v>
      </c>
      <c r="F284" s="79" t="b">
        <f t="shared" si="40"/>
        <v>0</v>
      </c>
      <c r="G284" s="188">
        <f t="shared" si="41"/>
        <v>44561</v>
      </c>
      <c r="H284" s="144">
        <f>VLOOKUP( $A284, Aop!$A$2:$N$415, 4, 0)</f>
        <v>523</v>
      </c>
      <c r="I284" s="79">
        <f t="shared" si="38"/>
        <v>2021</v>
      </c>
      <c r="J284" s="79"/>
      <c r="K284" s="79"/>
      <c r="L284" s="79">
        <f t="shared" ca="1" si="42"/>
        <v>335629</v>
      </c>
      <c r="M284" s="79">
        <f t="shared" ca="1" si="43"/>
        <v>93322</v>
      </c>
    </row>
    <row r="285" spans="1:13" x14ac:dyDescent="0.2">
      <c r="A285" s="144">
        <v>296</v>
      </c>
      <c r="B285" s="144" t="str">
        <f>VLOOKUP( $A285, Aop!$A$2:$N$415, 2, 0)</f>
        <v>BTG</v>
      </c>
      <c r="C285" s="79">
        <f t="shared" si="39"/>
        <v>4</v>
      </c>
      <c r="D285" s="79" t="str">
        <f t="shared" si="36"/>
        <v>01940155</v>
      </c>
      <c r="E285" s="79" t="str">
        <f t="shared" si="37"/>
        <v>4400929510006</v>
      </c>
      <c r="F285" s="79" t="b">
        <f t="shared" si="40"/>
        <v>0</v>
      </c>
      <c r="G285" s="188">
        <f t="shared" si="41"/>
        <v>44561</v>
      </c>
      <c r="H285" s="144">
        <f>VLOOKUP( $A285, Aop!$A$2:$N$415, 4, 0)</f>
        <v>524</v>
      </c>
      <c r="I285" s="79">
        <f t="shared" si="38"/>
        <v>2021</v>
      </c>
      <c r="J285" s="79"/>
      <c r="K285" s="79"/>
      <c r="L285" s="79" t="str">
        <f t="shared" ca="1" si="42"/>
        <v/>
      </c>
      <c r="M285" s="79" t="str">
        <f t="shared" ca="1" si="43"/>
        <v/>
      </c>
    </row>
    <row r="286" spans="1:13" x14ac:dyDescent="0.2">
      <c r="A286" s="144">
        <v>297</v>
      </c>
      <c r="B286" s="144" t="str">
        <f>VLOOKUP( $A286, Aop!$A$2:$N$415, 2, 0)</f>
        <v>BTG</v>
      </c>
      <c r="C286" s="79">
        <f t="shared" si="39"/>
        <v>4</v>
      </c>
      <c r="D286" s="79" t="str">
        <f t="shared" si="36"/>
        <v>01940155</v>
      </c>
      <c r="E286" s="79" t="str">
        <f t="shared" si="37"/>
        <v>4400929510006</v>
      </c>
      <c r="F286" s="79" t="b">
        <f t="shared" si="40"/>
        <v>0</v>
      </c>
      <c r="G286" s="188">
        <f t="shared" si="41"/>
        <v>44561</v>
      </c>
      <c r="H286" s="144">
        <f>VLOOKUP( $A286, Aop!$A$2:$N$415, 4, 0)</f>
        <v>525</v>
      </c>
      <c r="I286" s="79">
        <f t="shared" si="38"/>
        <v>2021</v>
      </c>
      <c r="J286" s="79"/>
      <c r="K286" s="79"/>
      <c r="L286" s="79">
        <f t="shared" ca="1" si="42"/>
        <v>0</v>
      </c>
      <c r="M286" s="79">
        <f t="shared" ca="1" si="43"/>
        <v>0</v>
      </c>
    </row>
    <row r="287" spans="1:13" x14ac:dyDescent="0.2">
      <c r="A287" s="144">
        <v>298</v>
      </c>
      <c r="B287" s="144" t="str">
        <f>VLOOKUP( $A287, Aop!$A$2:$N$415, 2, 0)</f>
        <v>BTG</v>
      </c>
      <c r="C287" s="79">
        <f t="shared" si="39"/>
        <v>4</v>
      </c>
      <c r="D287" s="79" t="str">
        <f t="shared" si="36"/>
        <v>01940155</v>
      </c>
      <c r="E287" s="79" t="str">
        <f t="shared" si="37"/>
        <v>4400929510006</v>
      </c>
      <c r="F287" s="79" t="b">
        <f t="shared" si="40"/>
        <v>0</v>
      </c>
      <c r="G287" s="188">
        <f t="shared" si="41"/>
        <v>44561</v>
      </c>
      <c r="H287" s="144">
        <f>VLOOKUP( $A287, Aop!$A$2:$N$415, 4, 0)</f>
        <v>526</v>
      </c>
      <c r="I287" s="79">
        <f t="shared" si="38"/>
        <v>2021</v>
      </c>
      <c r="J287" s="79"/>
      <c r="K287" s="79"/>
      <c r="L287" s="79">
        <f t="shared" ca="1" si="42"/>
        <v>273595</v>
      </c>
      <c r="M287" s="79">
        <f t="shared" ca="1" si="43"/>
        <v>78857</v>
      </c>
    </row>
    <row r="288" spans="1:13" x14ac:dyDescent="0.2">
      <c r="A288" s="144">
        <v>300</v>
      </c>
      <c r="B288" s="144" t="str">
        <f>VLOOKUP( $A288, Aop!$A$2:$N$415, 2, 0)</f>
        <v>BTG</v>
      </c>
      <c r="C288" s="79">
        <f t="shared" si="39"/>
        <v>4</v>
      </c>
      <c r="D288" s="79" t="str">
        <f t="shared" si="36"/>
        <v>01940155</v>
      </c>
      <c r="E288" s="79" t="str">
        <f t="shared" si="37"/>
        <v>4400929510006</v>
      </c>
      <c r="F288" s="79" t="b">
        <f t="shared" si="40"/>
        <v>0</v>
      </c>
      <c r="G288" s="188">
        <f t="shared" si="41"/>
        <v>44561</v>
      </c>
      <c r="H288" s="144">
        <f>VLOOKUP( $A288, Aop!$A$2:$N$415, 4, 0)</f>
        <v>527</v>
      </c>
      <c r="I288" s="79">
        <f t="shared" si="38"/>
        <v>2021</v>
      </c>
      <c r="J288" s="79"/>
      <c r="K288" s="79"/>
      <c r="L288" s="79">
        <f t="shared" ca="1" si="42"/>
        <v>14395363</v>
      </c>
      <c r="M288" s="79">
        <f t="shared" ca="1" si="43"/>
        <v>13544086</v>
      </c>
    </row>
    <row r="289" spans="1:13" x14ac:dyDescent="0.2">
      <c r="A289" s="144">
        <v>301</v>
      </c>
      <c r="B289" s="144" t="str">
        <f>VLOOKUP( $A289, Aop!$A$2:$N$415, 2, 0)</f>
        <v>BTG</v>
      </c>
      <c r="C289" s="79">
        <f t="shared" si="39"/>
        <v>4</v>
      </c>
      <c r="D289" s="79" t="str">
        <f t="shared" si="36"/>
        <v>01940155</v>
      </c>
      <c r="E289" s="79" t="str">
        <f t="shared" si="37"/>
        <v>4400929510006</v>
      </c>
      <c r="F289" s="79" t="b">
        <f t="shared" si="40"/>
        <v>0</v>
      </c>
      <c r="G289" s="188">
        <f t="shared" si="41"/>
        <v>44561</v>
      </c>
      <c r="H289" s="144">
        <f>VLOOKUP( $A289, Aop!$A$2:$N$415, 4, 0)</f>
        <v>528</v>
      </c>
      <c r="I289" s="79">
        <f t="shared" si="38"/>
        <v>2021</v>
      </c>
      <c r="J289" s="79"/>
      <c r="K289" s="79"/>
      <c r="L289" s="79" t="str">
        <f t="shared" ca="1" si="42"/>
        <v/>
      </c>
      <c r="M289" s="79" t="str">
        <f t="shared" ca="1" si="43"/>
        <v/>
      </c>
    </row>
    <row r="290" spans="1:13" x14ac:dyDescent="0.2">
      <c r="A290" s="144">
        <v>302</v>
      </c>
      <c r="B290" s="144" t="str">
        <f>VLOOKUP( $A290, Aop!$A$2:$N$415, 2, 0)</f>
        <v>BTG</v>
      </c>
      <c r="C290" s="79">
        <f t="shared" si="39"/>
        <v>4</v>
      </c>
      <c r="D290" s="79" t="str">
        <f t="shared" si="36"/>
        <v>01940155</v>
      </c>
      <c r="E290" s="79" t="str">
        <f t="shared" si="37"/>
        <v>4400929510006</v>
      </c>
      <c r="F290" s="79" t="b">
        <f t="shared" si="40"/>
        <v>0</v>
      </c>
      <c r="G290" s="188">
        <f t="shared" si="41"/>
        <v>44561</v>
      </c>
      <c r="H290" s="144">
        <f>VLOOKUP( $A290, Aop!$A$2:$N$415, 4, 0)</f>
        <v>529</v>
      </c>
      <c r="I290" s="79">
        <f t="shared" si="38"/>
        <v>2021</v>
      </c>
      <c r="J290" s="79"/>
      <c r="K290" s="79"/>
      <c r="L290" s="79">
        <f t="shared" ca="1" si="42"/>
        <v>700000</v>
      </c>
      <c r="M290" s="79">
        <f t="shared" ca="1" si="43"/>
        <v>400000</v>
      </c>
    </row>
    <row r="291" spans="1:13" x14ac:dyDescent="0.2">
      <c r="A291" s="144">
        <v>303</v>
      </c>
      <c r="B291" s="144" t="str">
        <f>VLOOKUP( $A291, Aop!$A$2:$N$415, 2, 0)</f>
        <v>BTG</v>
      </c>
      <c r="C291" s="79">
        <f t="shared" si="39"/>
        <v>4</v>
      </c>
      <c r="D291" s="79" t="str">
        <f t="shared" si="36"/>
        <v>01940155</v>
      </c>
      <c r="E291" s="79" t="str">
        <f t="shared" si="37"/>
        <v>4400929510006</v>
      </c>
      <c r="F291" s="79" t="b">
        <f t="shared" si="40"/>
        <v>0</v>
      </c>
      <c r="G291" s="188">
        <f t="shared" si="41"/>
        <v>44561</v>
      </c>
      <c r="H291" s="144">
        <f>VLOOKUP( $A291, Aop!$A$2:$N$415, 4, 0)</f>
        <v>530</v>
      </c>
      <c r="I291" s="79">
        <f t="shared" si="38"/>
        <v>2021</v>
      </c>
      <c r="J291" s="79"/>
      <c r="K291" s="79"/>
      <c r="L291" s="79">
        <f t="shared" ca="1" si="42"/>
        <v>13584363</v>
      </c>
      <c r="M291" s="79">
        <f t="shared" ca="1" si="43"/>
        <v>13008086</v>
      </c>
    </row>
    <row r="292" spans="1:13" x14ac:dyDescent="0.2">
      <c r="A292" s="144">
        <v>304</v>
      </c>
      <c r="B292" s="144" t="str">
        <f>VLOOKUP( $A292, Aop!$A$2:$N$415, 2, 0)</f>
        <v>BTG</v>
      </c>
      <c r="C292" s="79">
        <f t="shared" si="39"/>
        <v>4</v>
      </c>
      <c r="D292" s="79" t="str">
        <f t="shared" si="36"/>
        <v>01940155</v>
      </c>
      <c r="E292" s="79" t="str">
        <f t="shared" si="37"/>
        <v>4400929510006</v>
      </c>
      <c r="F292" s="79" t="b">
        <f t="shared" si="40"/>
        <v>0</v>
      </c>
      <c r="G292" s="188">
        <f t="shared" si="41"/>
        <v>44561</v>
      </c>
      <c r="H292" s="144">
        <f>VLOOKUP( $A292, Aop!$A$2:$N$415, 4, 0)</f>
        <v>531</v>
      </c>
      <c r="I292" s="79">
        <f t="shared" si="38"/>
        <v>2021</v>
      </c>
      <c r="J292" s="79"/>
      <c r="K292" s="79"/>
      <c r="L292" s="79">
        <f t="shared" ca="1" si="42"/>
        <v>111000</v>
      </c>
      <c r="M292" s="79">
        <f t="shared" ca="1" si="43"/>
        <v>136000</v>
      </c>
    </row>
    <row r="293" spans="1:13" x14ac:dyDescent="0.2">
      <c r="A293" s="144">
        <v>305</v>
      </c>
      <c r="B293" s="144" t="str">
        <f>VLOOKUP( $A293, Aop!$A$2:$N$415, 2, 0)</f>
        <v>BTG</v>
      </c>
      <c r="C293" s="79">
        <f t="shared" si="39"/>
        <v>4</v>
      </c>
      <c r="D293" s="79" t="str">
        <f t="shared" si="36"/>
        <v>01940155</v>
      </c>
      <c r="E293" s="79" t="str">
        <f t="shared" si="37"/>
        <v>4400929510006</v>
      </c>
      <c r="F293" s="79" t="b">
        <f t="shared" si="40"/>
        <v>0</v>
      </c>
      <c r="G293" s="188">
        <f t="shared" si="41"/>
        <v>44561</v>
      </c>
      <c r="H293" s="144">
        <f>VLOOKUP( $A293, Aop!$A$2:$N$415, 4, 0)</f>
        <v>532</v>
      </c>
      <c r="I293" s="79">
        <f t="shared" si="38"/>
        <v>2021</v>
      </c>
      <c r="J293" s="79"/>
      <c r="K293" s="79"/>
      <c r="L293" s="79">
        <f t="shared" ca="1" si="42"/>
        <v>15118393</v>
      </c>
      <c r="M293" s="79">
        <f t="shared" ca="1" si="43"/>
        <v>13605636</v>
      </c>
    </row>
    <row r="294" spans="1:13" x14ac:dyDescent="0.2">
      <c r="A294" s="144">
        <v>306</v>
      </c>
      <c r="B294" s="144" t="str">
        <f>VLOOKUP( $A294, Aop!$A$2:$N$415, 2, 0)</f>
        <v>BTG</v>
      </c>
      <c r="C294" s="79">
        <f t="shared" si="39"/>
        <v>4</v>
      </c>
      <c r="D294" s="79" t="str">
        <f t="shared" si="36"/>
        <v>01940155</v>
      </c>
      <c r="E294" s="79" t="str">
        <f t="shared" si="37"/>
        <v>4400929510006</v>
      </c>
      <c r="F294" s="79" t="b">
        <f t="shared" si="40"/>
        <v>0</v>
      </c>
      <c r="G294" s="188">
        <f t="shared" si="41"/>
        <v>44561</v>
      </c>
      <c r="H294" s="144">
        <f>VLOOKUP( $A294, Aop!$A$2:$N$415, 4, 0)</f>
        <v>533</v>
      </c>
      <c r="I294" s="79">
        <f t="shared" si="38"/>
        <v>2021</v>
      </c>
      <c r="J294" s="79"/>
      <c r="K294" s="79"/>
      <c r="L294" s="79" t="str">
        <f t="shared" ca="1" si="42"/>
        <v/>
      </c>
      <c r="M294" s="79" t="str">
        <f t="shared" ca="1" si="43"/>
        <v/>
      </c>
    </row>
    <row r="295" spans="1:13" x14ac:dyDescent="0.2">
      <c r="A295" s="144">
        <v>307</v>
      </c>
      <c r="B295" s="144" t="str">
        <f>VLOOKUP( $A295, Aop!$A$2:$N$415, 2, 0)</f>
        <v>BTG</v>
      </c>
      <c r="C295" s="79">
        <f t="shared" si="39"/>
        <v>4</v>
      </c>
      <c r="D295" s="79" t="str">
        <f t="shared" si="36"/>
        <v>01940155</v>
      </c>
      <c r="E295" s="79" t="str">
        <f t="shared" si="37"/>
        <v>4400929510006</v>
      </c>
      <c r="F295" s="79" t="b">
        <f t="shared" si="40"/>
        <v>0</v>
      </c>
      <c r="G295" s="188">
        <f t="shared" si="41"/>
        <v>44561</v>
      </c>
      <c r="H295" s="144">
        <f>VLOOKUP( $A295, Aop!$A$2:$N$415, 4, 0)</f>
        <v>534</v>
      </c>
      <c r="I295" s="79">
        <f t="shared" si="38"/>
        <v>2021</v>
      </c>
      <c r="J295" s="79"/>
      <c r="K295" s="79"/>
      <c r="L295" s="79">
        <f t="shared" ca="1" si="42"/>
        <v>659509</v>
      </c>
      <c r="M295" s="79">
        <f t="shared" ca="1" si="43"/>
        <v>436567</v>
      </c>
    </row>
    <row r="296" spans="1:13" x14ac:dyDescent="0.2">
      <c r="A296" s="144">
        <v>308</v>
      </c>
      <c r="B296" s="144" t="str">
        <f>VLOOKUP( $A296, Aop!$A$2:$N$415, 2, 0)</f>
        <v>BTG</v>
      </c>
      <c r="C296" s="79">
        <f t="shared" si="39"/>
        <v>4</v>
      </c>
      <c r="D296" s="79" t="str">
        <f t="shared" si="36"/>
        <v>01940155</v>
      </c>
      <c r="E296" s="79" t="str">
        <f t="shared" si="37"/>
        <v>4400929510006</v>
      </c>
      <c r="F296" s="79" t="b">
        <f t="shared" si="40"/>
        <v>0</v>
      </c>
      <c r="G296" s="188">
        <f t="shared" si="41"/>
        <v>44561</v>
      </c>
      <c r="H296" s="144">
        <f>VLOOKUP( $A296, Aop!$A$2:$N$415, 4, 0)</f>
        <v>535</v>
      </c>
      <c r="I296" s="79">
        <f t="shared" si="38"/>
        <v>2021</v>
      </c>
      <c r="J296" s="79"/>
      <c r="K296" s="79"/>
      <c r="L296" s="79">
        <f t="shared" ca="1" si="42"/>
        <v>14113669</v>
      </c>
      <c r="M296" s="79">
        <f t="shared" ca="1" si="43"/>
        <v>12847637</v>
      </c>
    </row>
    <row r="297" spans="1:13" x14ac:dyDescent="0.2">
      <c r="A297" s="144">
        <v>309</v>
      </c>
      <c r="B297" s="144" t="str">
        <f>VLOOKUP( $A297, Aop!$A$2:$N$415, 2, 0)</f>
        <v>BTG</v>
      </c>
      <c r="C297" s="79">
        <f t="shared" si="39"/>
        <v>4</v>
      </c>
      <c r="D297" s="79" t="str">
        <f t="shared" si="36"/>
        <v>01940155</v>
      </c>
      <c r="E297" s="79" t="str">
        <f t="shared" si="37"/>
        <v>4400929510006</v>
      </c>
      <c r="F297" s="79" t="b">
        <f t="shared" si="40"/>
        <v>0</v>
      </c>
      <c r="G297" s="188">
        <f t="shared" si="41"/>
        <v>44561</v>
      </c>
      <c r="H297" s="144">
        <f>VLOOKUP( $A297, Aop!$A$2:$N$415, 4, 0)</f>
        <v>536</v>
      </c>
      <c r="I297" s="79">
        <f t="shared" si="38"/>
        <v>2021</v>
      </c>
      <c r="J297" s="79"/>
      <c r="K297" s="79"/>
      <c r="L297" s="79">
        <f t="shared" ca="1" si="42"/>
        <v>158693</v>
      </c>
      <c r="M297" s="79">
        <f t="shared" ca="1" si="43"/>
        <v>140255</v>
      </c>
    </row>
    <row r="298" spans="1:13" x14ac:dyDescent="0.2">
      <c r="A298" s="144">
        <v>310</v>
      </c>
      <c r="B298" s="144" t="str">
        <f>VLOOKUP( $A298, Aop!$A$2:$N$415, 2, 0)</f>
        <v>BTG</v>
      </c>
      <c r="C298" s="79">
        <f t="shared" si="39"/>
        <v>4</v>
      </c>
      <c r="D298" s="79" t="str">
        <f t="shared" si="36"/>
        <v>01940155</v>
      </c>
      <c r="E298" s="79" t="str">
        <f t="shared" si="37"/>
        <v>4400929510006</v>
      </c>
      <c r="F298" s="79" t="b">
        <f t="shared" si="40"/>
        <v>0</v>
      </c>
      <c r="G298" s="188">
        <f t="shared" si="41"/>
        <v>44561</v>
      </c>
      <c r="H298" s="144">
        <f>VLOOKUP( $A298, Aop!$A$2:$N$415, 4, 0)</f>
        <v>537</v>
      </c>
      <c r="I298" s="79">
        <f t="shared" si="38"/>
        <v>2021</v>
      </c>
      <c r="J298" s="79"/>
      <c r="K298" s="79"/>
      <c r="L298" s="79">
        <f t="shared" ca="1" si="42"/>
        <v>38522</v>
      </c>
      <c r="M298" s="79">
        <f t="shared" ca="1" si="43"/>
        <v>47677</v>
      </c>
    </row>
    <row r="299" spans="1:13" x14ac:dyDescent="0.2">
      <c r="A299" s="144">
        <v>311</v>
      </c>
      <c r="B299" s="144" t="str">
        <f>VLOOKUP( $A299, Aop!$A$2:$N$415, 2, 0)</f>
        <v>BTG</v>
      </c>
      <c r="C299" s="79">
        <f t="shared" si="39"/>
        <v>4</v>
      </c>
      <c r="D299" s="79" t="str">
        <f t="shared" si="36"/>
        <v>01940155</v>
      </c>
      <c r="E299" s="79" t="str">
        <f t="shared" si="37"/>
        <v>4400929510006</v>
      </c>
      <c r="F299" s="79" t="b">
        <f t="shared" si="40"/>
        <v>0</v>
      </c>
      <c r="G299" s="188">
        <f t="shared" si="41"/>
        <v>44561</v>
      </c>
      <c r="H299" s="144">
        <f>VLOOKUP( $A299, Aop!$A$2:$N$415, 4, 0)</f>
        <v>538</v>
      </c>
      <c r="I299" s="79">
        <f t="shared" si="38"/>
        <v>2021</v>
      </c>
      <c r="J299" s="79"/>
      <c r="K299" s="79"/>
      <c r="L299" s="79">
        <f t="shared" ca="1" si="42"/>
        <v>148000</v>
      </c>
      <c r="M299" s="79">
        <f t="shared" ca="1" si="43"/>
        <v>133500</v>
      </c>
    </row>
    <row r="300" spans="1:13" x14ac:dyDescent="0.2">
      <c r="A300" s="144">
        <v>312</v>
      </c>
      <c r="B300" s="144" t="str">
        <f>VLOOKUP( $A300, Aop!$A$2:$N$415, 2, 0)</f>
        <v>BTG</v>
      </c>
      <c r="C300" s="79">
        <f t="shared" si="39"/>
        <v>4</v>
      </c>
      <c r="D300" s="79" t="str">
        <f t="shared" si="36"/>
        <v>01940155</v>
      </c>
      <c r="E300" s="79" t="str">
        <f t="shared" si="37"/>
        <v>4400929510006</v>
      </c>
      <c r="F300" s="79" t="b">
        <f t="shared" si="40"/>
        <v>0</v>
      </c>
      <c r="G300" s="188">
        <f t="shared" si="41"/>
        <v>44561</v>
      </c>
      <c r="H300" s="144">
        <f>VLOOKUP( $A300, Aop!$A$2:$N$415, 4, 0)</f>
        <v>539</v>
      </c>
      <c r="I300" s="79">
        <f t="shared" si="38"/>
        <v>2021</v>
      </c>
      <c r="J300" s="79"/>
      <c r="K300" s="79"/>
      <c r="L300" s="79">
        <f t="shared" ca="1" si="42"/>
        <v>0</v>
      </c>
      <c r="M300" s="79">
        <f t="shared" ca="1" si="43"/>
        <v>0</v>
      </c>
    </row>
    <row r="301" spans="1:13" x14ac:dyDescent="0.2">
      <c r="A301" s="144">
        <v>313</v>
      </c>
      <c r="B301" s="144" t="str">
        <f>VLOOKUP( $A301, Aop!$A$2:$N$415, 2, 0)</f>
        <v>BTG</v>
      </c>
      <c r="C301" s="79">
        <f t="shared" si="39"/>
        <v>4</v>
      </c>
      <c r="D301" s="79" t="str">
        <f t="shared" si="36"/>
        <v>01940155</v>
      </c>
      <c r="E301" s="79" t="str">
        <f t="shared" si="37"/>
        <v>4400929510006</v>
      </c>
      <c r="F301" s="79" t="b">
        <f t="shared" si="40"/>
        <v>0</v>
      </c>
      <c r="G301" s="188">
        <f t="shared" si="41"/>
        <v>44561</v>
      </c>
      <c r="H301" s="144">
        <f>VLOOKUP( $A301, Aop!$A$2:$N$415, 4, 0)</f>
        <v>540</v>
      </c>
      <c r="I301" s="79">
        <f t="shared" si="38"/>
        <v>2021</v>
      </c>
      <c r="J301" s="79"/>
      <c r="K301" s="79"/>
      <c r="L301" s="79">
        <f t="shared" ca="1" si="42"/>
        <v>723030</v>
      </c>
      <c r="M301" s="79">
        <f t="shared" ca="1" si="43"/>
        <v>61550</v>
      </c>
    </row>
    <row r="302" spans="1:13" x14ac:dyDescent="0.2">
      <c r="A302" s="144">
        <v>314</v>
      </c>
      <c r="B302" s="144" t="str">
        <f>VLOOKUP( $A302, Aop!$A$2:$N$415, 2, 0)</f>
        <v>BTG</v>
      </c>
      <c r="C302" s="79">
        <f t="shared" si="39"/>
        <v>4</v>
      </c>
      <c r="D302" s="79" t="str">
        <f t="shared" si="36"/>
        <v>01940155</v>
      </c>
      <c r="E302" s="79" t="str">
        <f t="shared" si="37"/>
        <v>4400929510006</v>
      </c>
      <c r="F302" s="79" t="b">
        <f t="shared" si="40"/>
        <v>0</v>
      </c>
      <c r="G302" s="188">
        <f t="shared" si="41"/>
        <v>44561</v>
      </c>
      <c r="H302" s="144">
        <f>VLOOKUP( $A302, Aop!$A$2:$N$415, 4, 0)</f>
        <v>541</v>
      </c>
      <c r="I302" s="79">
        <f t="shared" si="38"/>
        <v>2021</v>
      </c>
      <c r="J302" s="79"/>
      <c r="K302" s="79"/>
      <c r="L302" s="79">
        <f t="shared" ca="1" si="42"/>
        <v>33859239</v>
      </c>
      <c r="M302" s="79">
        <f t="shared" ca="1" si="43"/>
        <v>28619572</v>
      </c>
    </row>
    <row r="303" spans="1:13" x14ac:dyDescent="0.2">
      <c r="A303" s="144">
        <v>315</v>
      </c>
      <c r="B303" s="144" t="str">
        <f>VLOOKUP( $A303, Aop!$A$2:$N$415, 2, 0)</f>
        <v>BTG</v>
      </c>
      <c r="C303" s="79">
        <f t="shared" si="39"/>
        <v>4</v>
      </c>
      <c r="D303" s="79" t="str">
        <f t="shared" si="36"/>
        <v>01940155</v>
      </c>
      <c r="E303" s="79" t="str">
        <f t="shared" si="37"/>
        <v>4400929510006</v>
      </c>
      <c r="F303" s="79" t="b">
        <f t="shared" si="40"/>
        <v>0</v>
      </c>
      <c r="G303" s="188">
        <f t="shared" si="41"/>
        <v>44561</v>
      </c>
      <c r="H303" s="144">
        <f>VLOOKUP( $A303, Aop!$A$2:$N$415, 4, 0)</f>
        <v>542</v>
      </c>
      <c r="I303" s="79">
        <f t="shared" si="38"/>
        <v>2021</v>
      </c>
      <c r="J303" s="79"/>
      <c r="K303" s="79"/>
      <c r="L303" s="79">
        <f t="shared" ca="1" si="42"/>
        <v>33648628</v>
      </c>
      <c r="M303" s="79">
        <f t="shared" ca="1" si="43"/>
        <v>28611591</v>
      </c>
    </row>
    <row r="304" spans="1:13" x14ac:dyDescent="0.2">
      <c r="A304" s="144">
        <v>316</v>
      </c>
      <c r="B304" s="144" t="str">
        <f>VLOOKUP( $A304, Aop!$A$2:$N$415, 2, 0)</f>
        <v>BTG</v>
      </c>
      <c r="C304" s="79">
        <f t="shared" si="39"/>
        <v>4</v>
      </c>
      <c r="D304" s="79" t="str">
        <f t="shared" si="36"/>
        <v>01940155</v>
      </c>
      <c r="E304" s="79" t="str">
        <f t="shared" si="37"/>
        <v>4400929510006</v>
      </c>
      <c r="F304" s="79" t="b">
        <f t="shared" si="40"/>
        <v>0</v>
      </c>
      <c r="G304" s="188">
        <f t="shared" si="41"/>
        <v>44561</v>
      </c>
      <c r="H304" s="144">
        <f>VLOOKUP( $A304, Aop!$A$2:$N$415, 4, 0)</f>
        <v>543</v>
      </c>
      <c r="I304" s="79">
        <f t="shared" si="38"/>
        <v>2021</v>
      </c>
      <c r="J304" s="79"/>
      <c r="K304" s="79"/>
      <c r="L304" s="79">
        <f t="shared" ca="1" si="42"/>
        <v>210611</v>
      </c>
      <c r="M304" s="79">
        <f t="shared" ca="1" si="43"/>
        <v>7981</v>
      </c>
    </row>
    <row r="305" spans="1:13" x14ac:dyDescent="0.2">
      <c r="A305" s="144">
        <v>317</v>
      </c>
      <c r="B305" s="144" t="str">
        <f>VLOOKUP( $A305, Aop!$A$2:$N$415, 2, 0)</f>
        <v>BTG</v>
      </c>
      <c r="C305" s="79">
        <f t="shared" si="39"/>
        <v>4</v>
      </c>
      <c r="D305" s="79" t="str">
        <f t="shared" si="36"/>
        <v>01940155</v>
      </c>
      <c r="E305" s="79" t="str">
        <f t="shared" si="37"/>
        <v>4400929510006</v>
      </c>
      <c r="F305" s="79" t="b">
        <f t="shared" si="40"/>
        <v>0</v>
      </c>
      <c r="G305" s="188">
        <f t="shared" si="41"/>
        <v>44561</v>
      </c>
      <c r="H305" s="144">
        <f>VLOOKUP( $A305, Aop!$A$2:$N$415, 4, 0)</f>
        <v>544</v>
      </c>
      <c r="I305" s="79">
        <f t="shared" si="38"/>
        <v>2021</v>
      </c>
      <c r="J305" s="79"/>
      <c r="K305" s="79"/>
      <c r="L305" s="79">
        <f t="shared" ca="1" si="42"/>
        <v>0</v>
      </c>
      <c r="M305" s="79">
        <f t="shared" ca="1" si="43"/>
        <v>0</v>
      </c>
    </row>
    <row r="306" spans="1:13" x14ac:dyDescent="0.2">
      <c r="A306" s="144">
        <v>318</v>
      </c>
      <c r="B306" s="144" t="str">
        <f>VLOOKUP( $A306, Aop!$A$2:$N$415, 2, 0)</f>
        <v>BTG</v>
      </c>
      <c r="C306" s="79">
        <f t="shared" si="39"/>
        <v>4</v>
      </c>
      <c r="D306" s="79" t="str">
        <f t="shared" si="36"/>
        <v>01940155</v>
      </c>
      <c r="E306" s="79" t="str">
        <f t="shared" si="37"/>
        <v>4400929510006</v>
      </c>
      <c r="F306" s="79" t="b">
        <f t="shared" si="40"/>
        <v>0</v>
      </c>
      <c r="G306" s="188">
        <f t="shared" si="41"/>
        <v>44561</v>
      </c>
      <c r="H306" s="144">
        <f>VLOOKUP( $A306, Aop!$A$2:$N$415, 4, 0)</f>
        <v>545</v>
      </c>
      <c r="I306" s="79">
        <f t="shared" si="38"/>
        <v>2021</v>
      </c>
      <c r="J306" s="79"/>
      <c r="K306" s="79"/>
      <c r="L306" s="79">
        <f t="shared" ca="1" si="42"/>
        <v>26133</v>
      </c>
      <c r="M306" s="79">
        <f t="shared" ca="1" si="43"/>
        <v>26318</v>
      </c>
    </row>
    <row r="307" spans="1:13" x14ac:dyDescent="0.2">
      <c r="A307" s="144">
        <v>319</v>
      </c>
      <c r="B307" s="144" t="str">
        <f>VLOOKUP( $A307, Aop!$A$2:$N$415, 2, 0)</f>
        <v>BTG</v>
      </c>
      <c r="C307" s="79">
        <f t="shared" si="39"/>
        <v>4</v>
      </c>
      <c r="D307" s="79" t="str">
        <f t="shared" si="36"/>
        <v>01940155</v>
      </c>
      <c r="E307" s="79" t="str">
        <f t="shared" si="37"/>
        <v>4400929510006</v>
      </c>
      <c r="F307" s="79" t="b">
        <f t="shared" si="40"/>
        <v>0</v>
      </c>
      <c r="G307" s="188">
        <f t="shared" si="41"/>
        <v>44561</v>
      </c>
      <c r="H307" s="144">
        <f>VLOOKUP( $A307, Aop!$A$2:$N$415, 4, 0)</f>
        <v>546</v>
      </c>
      <c r="I307" s="79">
        <f t="shared" si="38"/>
        <v>2021</v>
      </c>
      <c r="J307" s="79"/>
      <c r="K307" s="79"/>
      <c r="L307" s="79" t="str">
        <f t="shared" ca="1" si="42"/>
        <v/>
      </c>
      <c r="M307" s="79">
        <f t="shared" ca="1" si="43"/>
        <v>4076</v>
      </c>
    </row>
    <row r="308" spans="1:13" x14ac:dyDescent="0.2">
      <c r="A308" s="144">
        <v>320</v>
      </c>
      <c r="B308" s="144" t="str">
        <f>VLOOKUP( $A308, Aop!$A$2:$N$415, 2, 0)</f>
        <v>BTG</v>
      </c>
      <c r="C308" s="79">
        <f t="shared" si="39"/>
        <v>4</v>
      </c>
      <c r="D308" s="79" t="str">
        <f t="shared" si="36"/>
        <v>01940155</v>
      </c>
      <c r="E308" s="79" t="str">
        <f t="shared" si="37"/>
        <v>4400929510006</v>
      </c>
      <c r="F308" s="79" t="b">
        <f t="shared" si="40"/>
        <v>0</v>
      </c>
      <c r="G308" s="188">
        <f t="shared" si="41"/>
        <v>44561</v>
      </c>
      <c r="H308" s="144">
        <f>VLOOKUP( $A308, Aop!$A$2:$N$415, 4, 0)</f>
        <v>547</v>
      </c>
      <c r="I308" s="79">
        <f t="shared" si="38"/>
        <v>2021</v>
      </c>
      <c r="J308" s="79"/>
      <c r="K308" s="79"/>
      <c r="L308" s="79">
        <f t="shared" ca="1" si="42"/>
        <v>8192</v>
      </c>
      <c r="M308" s="79">
        <f t="shared" ca="1" si="43"/>
        <v>12242</v>
      </c>
    </row>
    <row r="309" spans="1:13" x14ac:dyDescent="0.2">
      <c r="A309" s="144">
        <v>321</v>
      </c>
      <c r="B309" s="144" t="str">
        <f>VLOOKUP( $A309, Aop!$A$2:$N$415, 2, 0)</f>
        <v>BTG</v>
      </c>
      <c r="C309" s="79">
        <f t="shared" si="39"/>
        <v>4</v>
      </c>
      <c r="D309" s="79" t="str">
        <f t="shared" ref="D309:D354" si="44">Podatak_MB</f>
        <v>01940155</v>
      </c>
      <c r="E309" s="79" t="str">
        <f t="shared" ref="E309:E354" si="45">Podatak_JIB</f>
        <v>4400929510006</v>
      </c>
      <c r="F309" s="79" t="b">
        <f t="shared" si="40"/>
        <v>0</v>
      </c>
      <c r="G309" s="188">
        <f t="shared" si="41"/>
        <v>44561</v>
      </c>
      <c r="H309" s="144">
        <f>VLOOKUP( $A309, Aop!$A$2:$N$415, 4, 0)</f>
        <v>548</v>
      </c>
      <c r="I309" s="79">
        <f t="shared" ref="I309:I354" si="46">Godina</f>
        <v>2021</v>
      </c>
      <c r="J309" s="79"/>
      <c r="K309" s="79"/>
      <c r="L309" s="79">
        <f t="shared" ca="1" si="42"/>
        <v>228552</v>
      </c>
      <c r="M309" s="79">
        <f t="shared" ca="1" si="43"/>
        <v>26133</v>
      </c>
    </row>
    <row r="310" spans="1:13" x14ac:dyDescent="0.2">
      <c r="A310" s="144">
        <v>322</v>
      </c>
      <c r="B310" s="144" t="str">
        <f>VLOOKUP( $A310, Aop!$A$2:$N$415, 2, 0)</f>
        <v>Aneks</v>
      </c>
      <c r="C310" s="79">
        <f t="shared" ref="C310:C354" si="47">ID_Izvjestaj</f>
        <v>4</v>
      </c>
      <c r="D310" s="79" t="str">
        <f t="shared" si="44"/>
        <v>01940155</v>
      </c>
      <c r="E310" s="79" t="str">
        <f t="shared" si="45"/>
        <v>4400929510006</v>
      </c>
      <c r="F310" s="79" t="b">
        <f t="shared" ref="F310:F354" si="48">Konsolidovan_izvjestaj</f>
        <v>0</v>
      </c>
      <c r="G310" s="188">
        <f t="shared" ref="G310:G354" si="49">Datum_Broj</f>
        <v>44561</v>
      </c>
      <c r="H310" s="144">
        <f>VLOOKUP( $A310, Aop!$A$2:$N$415, 4, 0)</f>
        <v>601</v>
      </c>
      <c r="I310" s="79">
        <f t="shared" si="46"/>
        <v>2021</v>
      </c>
      <c r="J310" s="79"/>
      <c r="K310" s="79"/>
      <c r="L310" s="79" t="str">
        <f t="shared" ca="1" si="42"/>
        <v/>
      </c>
      <c r="M310" s="79" t="str">
        <f t="shared" ca="1" si="43"/>
        <v/>
      </c>
    </row>
    <row r="311" spans="1:13" x14ac:dyDescent="0.2">
      <c r="A311" s="144">
        <v>323</v>
      </c>
      <c r="B311" s="144" t="str">
        <f>VLOOKUP( $A311, Aop!$A$2:$N$415, 2, 0)</f>
        <v>Aneks</v>
      </c>
      <c r="C311" s="79">
        <f t="shared" si="47"/>
        <v>4</v>
      </c>
      <c r="D311" s="79" t="str">
        <f t="shared" si="44"/>
        <v>01940155</v>
      </c>
      <c r="E311" s="79" t="str">
        <f t="shared" si="45"/>
        <v>4400929510006</v>
      </c>
      <c r="F311" s="79" t="b">
        <f t="shared" si="48"/>
        <v>0</v>
      </c>
      <c r="G311" s="188">
        <f t="shared" si="49"/>
        <v>44561</v>
      </c>
      <c r="H311" s="144">
        <f>VLOOKUP( $A311, Aop!$A$2:$N$415, 4, 0)</f>
        <v>602</v>
      </c>
      <c r="I311" s="79">
        <f t="shared" si="46"/>
        <v>2021</v>
      </c>
      <c r="J311" s="79"/>
      <c r="K311" s="79"/>
      <c r="L311" s="79">
        <f t="shared" ca="1" si="42"/>
        <v>6004363</v>
      </c>
      <c r="M311" s="79">
        <f t="shared" ca="1" si="43"/>
        <v>4873060</v>
      </c>
    </row>
    <row r="312" spans="1:13" x14ac:dyDescent="0.2">
      <c r="A312" s="144">
        <v>324</v>
      </c>
      <c r="B312" s="144" t="str">
        <f>VLOOKUP( $A312, Aop!$A$2:$N$415, 2, 0)</f>
        <v>Aneks</v>
      </c>
      <c r="C312" s="79">
        <f t="shared" si="47"/>
        <v>4</v>
      </c>
      <c r="D312" s="79" t="str">
        <f t="shared" si="44"/>
        <v>01940155</v>
      </c>
      <c r="E312" s="79" t="str">
        <f t="shared" si="45"/>
        <v>4400929510006</v>
      </c>
      <c r="F312" s="79" t="b">
        <f t="shared" si="48"/>
        <v>0</v>
      </c>
      <c r="G312" s="188">
        <f t="shared" si="49"/>
        <v>44561</v>
      </c>
      <c r="H312" s="144">
        <f>VLOOKUP( $A312, Aop!$A$2:$N$415, 4, 0)</f>
        <v>603</v>
      </c>
      <c r="I312" s="79">
        <f t="shared" si="46"/>
        <v>2021</v>
      </c>
      <c r="J312" s="79"/>
      <c r="K312" s="79"/>
      <c r="L312" s="79">
        <f t="shared" ca="1" si="42"/>
        <v>4120956</v>
      </c>
      <c r="M312" s="79">
        <f t="shared" ca="1" si="43"/>
        <v>3488310</v>
      </c>
    </row>
    <row r="313" spans="1:13" x14ac:dyDescent="0.2">
      <c r="A313" s="144">
        <v>325</v>
      </c>
      <c r="B313" s="144" t="str">
        <f>VLOOKUP( $A313, Aop!$A$2:$N$415, 2, 0)</f>
        <v>Aneks</v>
      </c>
      <c r="C313" s="79">
        <f t="shared" si="47"/>
        <v>4</v>
      </c>
      <c r="D313" s="79" t="str">
        <f t="shared" si="44"/>
        <v>01940155</v>
      </c>
      <c r="E313" s="79" t="str">
        <f t="shared" si="45"/>
        <v>4400929510006</v>
      </c>
      <c r="F313" s="79" t="b">
        <f t="shared" si="48"/>
        <v>0</v>
      </c>
      <c r="G313" s="188">
        <f t="shared" si="49"/>
        <v>44561</v>
      </c>
      <c r="H313" s="144">
        <f>VLOOKUP( $A313, Aop!$A$2:$N$415, 4, 0)</f>
        <v>604</v>
      </c>
      <c r="I313" s="79">
        <f t="shared" si="46"/>
        <v>2021</v>
      </c>
      <c r="J313" s="79"/>
      <c r="K313" s="79"/>
      <c r="L313" s="79">
        <f t="shared" ca="1" si="42"/>
        <v>88451</v>
      </c>
      <c r="M313" s="79">
        <f t="shared" ca="1" si="43"/>
        <v>51090</v>
      </c>
    </row>
    <row r="314" spans="1:13" x14ac:dyDescent="0.2">
      <c r="A314" s="144">
        <v>326</v>
      </c>
      <c r="B314" s="144" t="str">
        <f>VLOOKUP( $A314, Aop!$A$2:$N$415, 2, 0)</f>
        <v>Aneks</v>
      </c>
      <c r="C314" s="79">
        <f t="shared" si="47"/>
        <v>4</v>
      </c>
      <c r="D314" s="79" t="str">
        <f t="shared" si="44"/>
        <v>01940155</v>
      </c>
      <c r="E314" s="79" t="str">
        <f t="shared" si="45"/>
        <v>4400929510006</v>
      </c>
      <c r="F314" s="79" t="b">
        <f t="shared" si="48"/>
        <v>0</v>
      </c>
      <c r="G314" s="188">
        <f t="shared" si="49"/>
        <v>44561</v>
      </c>
      <c r="H314" s="144">
        <f>VLOOKUP( $A314, Aop!$A$2:$N$415, 4, 0)</f>
        <v>605</v>
      </c>
      <c r="I314" s="79">
        <f t="shared" si="46"/>
        <v>2021</v>
      </c>
      <c r="J314" s="79"/>
      <c r="K314" s="79"/>
      <c r="L314" s="79">
        <f t="shared" ca="1" si="42"/>
        <v>1408746</v>
      </c>
      <c r="M314" s="79">
        <f t="shared" ca="1" si="43"/>
        <v>1075408</v>
      </c>
    </row>
    <row r="315" spans="1:13" x14ac:dyDescent="0.2">
      <c r="A315" s="144">
        <v>327</v>
      </c>
      <c r="B315" s="144" t="str">
        <f>VLOOKUP( $A315, Aop!$A$2:$N$415, 2, 0)</f>
        <v>Aneks</v>
      </c>
      <c r="C315" s="79">
        <f t="shared" si="47"/>
        <v>4</v>
      </c>
      <c r="D315" s="79" t="str">
        <f t="shared" si="44"/>
        <v>01940155</v>
      </c>
      <c r="E315" s="79" t="str">
        <f t="shared" si="45"/>
        <v>4400929510006</v>
      </c>
      <c r="F315" s="79" t="b">
        <f t="shared" si="48"/>
        <v>0</v>
      </c>
      <c r="G315" s="188">
        <f t="shared" si="49"/>
        <v>44561</v>
      </c>
      <c r="H315" s="144">
        <f>VLOOKUP( $A315, Aop!$A$2:$N$415, 4, 0)</f>
        <v>606</v>
      </c>
      <c r="I315" s="79">
        <f t="shared" si="46"/>
        <v>2021</v>
      </c>
      <c r="J315" s="79"/>
      <c r="K315" s="79"/>
      <c r="L315" s="79">
        <f t="shared" ca="1" si="42"/>
        <v>386417</v>
      </c>
      <c r="M315" s="79">
        <f t="shared" ca="1" si="43"/>
        <v>320068</v>
      </c>
    </row>
    <row r="316" spans="1:13" x14ac:dyDescent="0.2">
      <c r="A316" s="144">
        <v>328</v>
      </c>
      <c r="B316" s="144" t="str">
        <f>VLOOKUP( $A316, Aop!$A$2:$N$415, 2, 0)</f>
        <v>Aneks</v>
      </c>
      <c r="C316" s="79">
        <f t="shared" si="47"/>
        <v>4</v>
      </c>
      <c r="D316" s="79" t="str">
        <f t="shared" si="44"/>
        <v>01940155</v>
      </c>
      <c r="E316" s="79" t="str">
        <f t="shared" si="45"/>
        <v>4400929510006</v>
      </c>
      <c r="F316" s="79" t="b">
        <f t="shared" si="48"/>
        <v>0</v>
      </c>
      <c r="G316" s="188">
        <f t="shared" si="49"/>
        <v>44561</v>
      </c>
      <c r="H316" s="144">
        <f>VLOOKUP( $A316, Aop!$A$2:$N$415, 4, 0)</f>
        <v>607</v>
      </c>
      <c r="I316" s="79">
        <f t="shared" si="46"/>
        <v>2021</v>
      </c>
      <c r="J316" s="79"/>
      <c r="K316" s="79"/>
      <c r="L316" s="79">
        <f t="shared" ca="1" si="42"/>
        <v>22979</v>
      </c>
      <c r="M316" s="79">
        <f t="shared" ca="1" si="43"/>
        <v>24011</v>
      </c>
    </row>
    <row r="317" spans="1:13" x14ac:dyDescent="0.2">
      <c r="A317" s="144">
        <v>329</v>
      </c>
      <c r="B317" s="144" t="str">
        <f>VLOOKUP( $A317, Aop!$A$2:$N$415, 2, 0)</f>
        <v>Aneks</v>
      </c>
      <c r="C317" s="79">
        <f t="shared" si="47"/>
        <v>4</v>
      </c>
      <c r="D317" s="79" t="str">
        <f t="shared" si="44"/>
        <v>01940155</v>
      </c>
      <c r="E317" s="79" t="str">
        <f t="shared" si="45"/>
        <v>4400929510006</v>
      </c>
      <c r="F317" s="79" t="b">
        <f t="shared" si="48"/>
        <v>0</v>
      </c>
      <c r="G317" s="188">
        <f t="shared" si="49"/>
        <v>44561</v>
      </c>
      <c r="H317" s="144">
        <f>VLOOKUP( $A317, Aop!$A$2:$N$415, 4, 0)</f>
        <v>608</v>
      </c>
      <c r="I317" s="79">
        <f t="shared" si="46"/>
        <v>2021</v>
      </c>
      <c r="J317" s="79"/>
      <c r="K317" s="79"/>
      <c r="L317" s="79">
        <f t="shared" ca="1" si="42"/>
        <v>6681840</v>
      </c>
      <c r="M317" s="79">
        <f t="shared" ca="1" si="43"/>
        <v>5453528</v>
      </c>
    </row>
    <row r="318" spans="1:13" x14ac:dyDescent="0.2">
      <c r="A318" s="144">
        <v>330</v>
      </c>
      <c r="B318" s="144" t="str">
        <f>VLOOKUP( $A318, Aop!$A$2:$N$415, 2, 0)</f>
        <v>Aneks</v>
      </c>
      <c r="C318" s="79">
        <f t="shared" si="47"/>
        <v>4</v>
      </c>
      <c r="D318" s="79" t="str">
        <f t="shared" si="44"/>
        <v>01940155</v>
      </c>
      <c r="E318" s="79" t="str">
        <f t="shared" si="45"/>
        <v>4400929510006</v>
      </c>
      <c r="F318" s="79" t="b">
        <f t="shared" si="48"/>
        <v>0</v>
      </c>
      <c r="G318" s="188">
        <f t="shared" si="49"/>
        <v>44561</v>
      </c>
      <c r="H318" s="144">
        <f>VLOOKUP( $A318, Aop!$A$2:$N$415, 4, 0)</f>
        <v>609</v>
      </c>
      <c r="I318" s="79">
        <f t="shared" si="46"/>
        <v>2021</v>
      </c>
      <c r="J318" s="79"/>
      <c r="K318" s="79"/>
      <c r="L318" s="79">
        <f t="shared" ca="1" si="42"/>
        <v>3493827</v>
      </c>
      <c r="M318" s="79">
        <f t="shared" ca="1" si="43"/>
        <v>2953445</v>
      </c>
    </row>
    <row r="319" spans="1:13" x14ac:dyDescent="0.2">
      <c r="A319" s="144">
        <v>331</v>
      </c>
      <c r="B319" s="144" t="str">
        <f>VLOOKUP( $A319, Aop!$A$2:$N$415, 2, 0)</f>
        <v>Aneks</v>
      </c>
      <c r="C319" s="79">
        <f t="shared" si="47"/>
        <v>4</v>
      </c>
      <c r="D319" s="79" t="str">
        <f t="shared" si="44"/>
        <v>01940155</v>
      </c>
      <c r="E319" s="79" t="str">
        <f t="shared" si="45"/>
        <v>4400929510006</v>
      </c>
      <c r="F319" s="79" t="b">
        <f t="shared" si="48"/>
        <v>0</v>
      </c>
      <c r="G319" s="188">
        <f t="shared" si="49"/>
        <v>44561</v>
      </c>
      <c r="H319" s="144">
        <f>VLOOKUP( $A319, Aop!$A$2:$N$415, 4, 0)</f>
        <v>610</v>
      </c>
      <c r="I319" s="79">
        <f t="shared" si="46"/>
        <v>2021</v>
      </c>
      <c r="J319" s="79"/>
      <c r="K319" s="79"/>
      <c r="L319" s="79">
        <f t="shared" ca="1" si="42"/>
        <v>72267</v>
      </c>
      <c r="M319" s="79">
        <f t="shared" ca="1" si="43"/>
        <v>42053</v>
      </c>
    </row>
    <row r="320" spans="1:13" x14ac:dyDescent="0.2">
      <c r="A320" s="144">
        <v>332</v>
      </c>
      <c r="B320" s="144" t="str">
        <f>VLOOKUP( $A320, Aop!$A$2:$N$415, 2, 0)</f>
        <v>Aneks</v>
      </c>
      <c r="C320" s="79">
        <f t="shared" si="47"/>
        <v>4</v>
      </c>
      <c r="D320" s="79" t="str">
        <f t="shared" si="44"/>
        <v>01940155</v>
      </c>
      <c r="E320" s="79" t="str">
        <f t="shared" si="45"/>
        <v>4400929510006</v>
      </c>
      <c r="F320" s="79" t="b">
        <f t="shared" si="48"/>
        <v>0</v>
      </c>
      <c r="G320" s="188">
        <f t="shared" si="49"/>
        <v>44561</v>
      </c>
      <c r="H320" s="144">
        <f>VLOOKUP( $A320, Aop!$A$2:$N$415, 4, 0)</f>
        <v>611</v>
      </c>
      <c r="I320" s="79">
        <f t="shared" si="46"/>
        <v>2021</v>
      </c>
      <c r="J320" s="79"/>
      <c r="K320" s="79"/>
      <c r="L320" s="79">
        <f t="shared" ca="1" si="42"/>
        <v>7778042</v>
      </c>
      <c r="M320" s="79">
        <f t="shared" ca="1" si="43"/>
        <v>4218003</v>
      </c>
    </row>
    <row r="321" spans="1:13" x14ac:dyDescent="0.2">
      <c r="A321" s="144">
        <v>333</v>
      </c>
      <c r="B321" s="144" t="str">
        <f>VLOOKUP( $A321, Aop!$A$2:$N$415, 2, 0)</f>
        <v>Aneks</v>
      </c>
      <c r="C321" s="79">
        <f t="shared" si="47"/>
        <v>4</v>
      </c>
      <c r="D321" s="79" t="str">
        <f t="shared" si="44"/>
        <v>01940155</v>
      </c>
      <c r="E321" s="79" t="str">
        <f t="shared" si="45"/>
        <v>4400929510006</v>
      </c>
      <c r="F321" s="79" t="b">
        <f t="shared" si="48"/>
        <v>0</v>
      </c>
      <c r="G321" s="188">
        <f t="shared" si="49"/>
        <v>44561</v>
      </c>
      <c r="H321" s="144">
        <f>VLOOKUP( $A321, Aop!$A$2:$N$415, 4, 0)</f>
        <v>612</v>
      </c>
      <c r="I321" s="79">
        <f t="shared" si="46"/>
        <v>2021</v>
      </c>
      <c r="J321" s="79"/>
      <c r="K321" s="79"/>
      <c r="L321" s="79">
        <f t="shared" ca="1" si="42"/>
        <v>85639</v>
      </c>
      <c r="M321" s="79">
        <f t="shared" ca="1" si="43"/>
        <v>105024</v>
      </c>
    </row>
    <row r="322" spans="1:13" x14ac:dyDescent="0.2">
      <c r="A322" s="144">
        <v>334</v>
      </c>
      <c r="B322" s="144" t="str">
        <f>VLOOKUP( $A322, Aop!$A$2:$N$415, 2, 0)</f>
        <v>Aneks</v>
      </c>
      <c r="C322" s="79">
        <f t="shared" si="47"/>
        <v>4</v>
      </c>
      <c r="D322" s="79" t="str">
        <f t="shared" si="44"/>
        <v>01940155</v>
      </c>
      <c r="E322" s="79" t="str">
        <f t="shared" si="45"/>
        <v>4400929510006</v>
      </c>
      <c r="F322" s="79" t="b">
        <f t="shared" si="48"/>
        <v>0</v>
      </c>
      <c r="G322" s="188">
        <f t="shared" si="49"/>
        <v>44561</v>
      </c>
      <c r="H322" s="144">
        <f>VLOOKUP( $A322, Aop!$A$2:$N$415, 4, 0)</f>
        <v>613</v>
      </c>
      <c r="I322" s="79">
        <f t="shared" si="46"/>
        <v>2021</v>
      </c>
      <c r="J322" s="79"/>
      <c r="K322" s="79"/>
      <c r="L322" s="79">
        <f t="shared" ref="L322:L379" ca="1" si="50">IF( VLOOKUP( $H322, INDIRECT( "Lookup_" &amp; $B322), IF( LEFT( $B322, 2) = "BS", R$2, R$1), 0) = "", "", VLOOKUP( $H322, INDIRECT( "Lookup_" &amp; $B322), IF( LEFT( $B322, 2) = "BS", R$2, R$1), 0))</f>
        <v>244347</v>
      </c>
      <c r="M322" s="79">
        <f t="shared" ref="M322:M379" ca="1" si="51">IF( VLOOKUP( $H322, INDIRECT( "Lookup_" &amp; $B322), IF( LEFT( $B322, 2) = "BS", S$2, S$1), 0) = "", "", VLOOKUP( $H322, INDIRECT( "Lookup_" &amp; $B322), IF( LEFT( $B322, 2) = "BS", S$2, S$1), 0))</f>
        <v>192905</v>
      </c>
    </row>
    <row r="323" spans="1:13" x14ac:dyDescent="0.2">
      <c r="A323" s="144">
        <v>335</v>
      </c>
      <c r="B323" s="144" t="str">
        <f>VLOOKUP( $A323, Aop!$A$2:$N$415, 2, 0)</f>
        <v>Aneks</v>
      </c>
      <c r="C323" s="79">
        <f t="shared" si="47"/>
        <v>4</v>
      </c>
      <c r="D323" s="79" t="str">
        <f t="shared" si="44"/>
        <v>01940155</v>
      </c>
      <c r="E323" s="79" t="str">
        <f t="shared" si="45"/>
        <v>4400929510006</v>
      </c>
      <c r="F323" s="79" t="b">
        <f t="shared" si="48"/>
        <v>0</v>
      </c>
      <c r="G323" s="188">
        <f t="shared" si="49"/>
        <v>44561</v>
      </c>
      <c r="H323" s="144">
        <f>VLOOKUP( $A323, Aop!$A$2:$N$415, 4, 0)</f>
        <v>614</v>
      </c>
      <c r="I323" s="79">
        <f t="shared" si="46"/>
        <v>2021</v>
      </c>
      <c r="J323" s="79"/>
      <c r="K323" s="79"/>
      <c r="L323" s="79">
        <f t="shared" ca="1" si="50"/>
        <v>26939</v>
      </c>
      <c r="M323" s="79">
        <f t="shared" ca="1" si="51"/>
        <v>23464</v>
      </c>
    </row>
    <row r="324" spans="1:13" x14ac:dyDescent="0.2">
      <c r="A324" s="144">
        <v>336</v>
      </c>
      <c r="B324" s="144" t="str">
        <f>VLOOKUP( $A324, Aop!$A$2:$N$415, 2, 0)</f>
        <v>Aneks</v>
      </c>
      <c r="C324" s="79">
        <f t="shared" si="47"/>
        <v>4</v>
      </c>
      <c r="D324" s="79" t="str">
        <f t="shared" si="44"/>
        <v>01940155</v>
      </c>
      <c r="E324" s="79" t="str">
        <f t="shared" si="45"/>
        <v>4400929510006</v>
      </c>
      <c r="F324" s="79" t="b">
        <f t="shared" si="48"/>
        <v>0</v>
      </c>
      <c r="G324" s="188">
        <f t="shared" si="49"/>
        <v>44561</v>
      </c>
      <c r="H324" s="144">
        <f>VLOOKUP( $A324, Aop!$A$2:$N$415, 4, 0)</f>
        <v>615</v>
      </c>
      <c r="I324" s="79">
        <f t="shared" si="46"/>
        <v>2021</v>
      </c>
      <c r="J324" s="79"/>
      <c r="K324" s="79"/>
      <c r="L324" s="79">
        <f t="shared" ca="1" si="50"/>
        <v>3331</v>
      </c>
      <c r="M324" s="79">
        <f t="shared" ca="1" si="51"/>
        <v>1613</v>
      </c>
    </row>
    <row r="325" spans="1:13" x14ac:dyDescent="0.2">
      <c r="A325" s="144">
        <v>337</v>
      </c>
      <c r="B325" s="144" t="str">
        <f>VLOOKUP( $A325, Aop!$A$2:$N$415, 2, 0)</f>
        <v>Aneks</v>
      </c>
      <c r="C325" s="79">
        <f t="shared" si="47"/>
        <v>4</v>
      </c>
      <c r="D325" s="79" t="str">
        <f t="shared" si="44"/>
        <v>01940155</v>
      </c>
      <c r="E325" s="79" t="str">
        <f t="shared" si="45"/>
        <v>4400929510006</v>
      </c>
      <c r="F325" s="79" t="b">
        <f t="shared" si="48"/>
        <v>0</v>
      </c>
      <c r="G325" s="188">
        <f t="shared" si="49"/>
        <v>44561</v>
      </c>
      <c r="H325" s="144">
        <f>VLOOKUP( $A325, Aop!$A$2:$N$415, 4, 0)</f>
        <v>616</v>
      </c>
      <c r="I325" s="79">
        <f t="shared" si="46"/>
        <v>2021</v>
      </c>
      <c r="J325" s="79"/>
      <c r="K325" s="79"/>
      <c r="L325" s="79">
        <f t="shared" ca="1" si="50"/>
        <v>52169</v>
      </c>
      <c r="M325" s="79">
        <f t="shared" ca="1" si="51"/>
        <v>51313</v>
      </c>
    </row>
    <row r="326" spans="1:13" x14ac:dyDescent="0.2">
      <c r="A326" s="144">
        <v>338</v>
      </c>
      <c r="B326" s="144" t="str">
        <f>VLOOKUP( $A326, Aop!$A$2:$N$415, 2, 0)</f>
        <v>Aneks</v>
      </c>
      <c r="C326" s="79">
        <f t="shared" si="47"/>
        <v>4</v>
      </c>
      <c r="D326" s="79" t="str">
        <f t="shared" si="44"/>
        <v>01940155</v>
      </c>
      <c r="E326" s="79" t="str">
        <f t="shared" si="45"/>
        <v>4400929510006</v>
      </c>
      <c r="F326" s="79" t="b">
        <f t="shared" si="48"/>
        <v>0</v>
      </c>
      <c r="G326" s="188">
        <f t="shared" si="49"/>
        <v>44561</v>
      </c>
      <c r="H326" s="144">
        <f>VLOOKUP( $A326, Aop!$A$2:$N$415, 4, 0)</f>
        <v>617</v>
      </c>
      <c r="I326" s="79">
        <f t="shared" si="46"/>
        <v>2021</v>
      </c>
      <c r="J326" s="79"/>
      <c r="K326" s="79"/>
      <c r="L326" s="79">
        <f t="shared" ca="1" si="50"/>
        <v>5306</v>
      </c>
      <c r="M326" s="79">
        <f t="shared" ca="1" si="51"/>
        <v>9086</v>
      </c>
    </row>
    <row r="327" spans="1:13" x14ac:dyDescent="0.2">
      <c r="A327" s="144">
        <v>339</v>
      </c>
      <c r="B327" s="144" t="str">
        <f>VLOOKUP( $A327, Aop!$A$2:$N$415, 2, 0)</f>
        <v>Aneks</v>
      </c>
      <c r="C327" s="79">
        <f t="shared" si="47"/>
        <v>4</v>
      </c>
      <c r="D327" s="79" t="str">
        <f t="shared" si="44"/>
        <v>01940155</v>
      </c>
      <c r="E327" s="79" t="str">
        <f t="shared" si="45"/>
        <v>4400929510006</v>
      </c>
      <c r="F327" s="79" t="b">
        <f t="shared" si="48"/>
        <v>0</v>
      </c>
      <c r="G327" s="188">
        <f t="shared" si="49"/>
        <v>44561</v>
      </c>
      <c r="H327" s="144">
        <f>VLOOKUP( $A327, Aop!$A$2:$N$415, 4, 0)</f>
        <v>618</v>
      </c>
      <c r="I327" s="79">
        <f t="shared" si="46"/>
        <v>2021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4">
        <v>340</v>
      </c>
      <c r="B328" s="144" t="str">
        <f>VLOOKUP( $A328, Aop!$A$2:$N$415, 2, 0)</f>
        <v>Aneks</v>
      </c>
      <c r="C328" s="79">
        <f t="shared" si="47"/>
        <v>4</v>
      </c>
      <c r="D328" s="79" t="str">
        <f t="shared" si="44"/>
        <v>01940155</v>
      </c>
      <c r="E328" s="79" t="str">
        <f t="shared" si="45"/>
        <v>4400929510006</v>
      </c>
      <c r="F328" s="79" t="b">
        <f t="shared" si="48"/>
        <v>0</v>
      </c>
      <c r="G328" s="188">
        <f t="shared" si="49"/>
        <v>44561</v>
      </c>
      <c r="H328" s="144">
        <f>VLOOKUP( $A328, Aop!$A$2:$N$415, 4, 0)</f>
        <v>619</v>
      </c>
      <c r="I328" s="79">
        <f t="shared" si="46"/>
        <v>2021</v>
      </c>
      <c r="J328" s="79"/>
      <c r="K328" s="79"/>
      <c r="L328" s="79">
        <f t="shared" ca="1" si="50"/>
        <v>121916</v>
      </c>
      <c r="M328" s="79">
        <f t="shared" ca="1" si="51"/>
        <v>166038</v>
      </c>
    </row>
    <row r="329" spans="1:13" x14ac:dyDescent="0.2">
      <c r="A329" s="144">
        <v>341</v>
      </c>
      <c r="B329" s="144" t="str">
        <f>VLOOKUP( $A329, Aop!$A$2:$N$415, 2, 0)</f>
        <v>Aneks</v>
      </c>
      <c r="C329" s="79">
        <f t="shared" si="47"/>
        <v>4</v>
      </c>
      <c r="D329" s="79" t="str">
        <f t="shared" si="44"/>
        <v>01940155</v>
      </c>
      <c r="E329" s="79" t="str">
        <f t="shared" si="45"/>
        <v>4400929510006</v>
      </c>
      <c r="F329" s="79" t="b">
        <f t="shared" si="48"/>
        <v>0</v>
      </c>
      <c r="G329" s="188">
        <f t="shared" si="49"/>
        <v>44561</v>
      </c>
      <c r="H329" s="144">
        <f>VLOOKUP( $A329, Aop!$A$2:$N$415, 4, 0)</f>
        <v>620</v>
      </c>
      <c r="I329" s="79">
        <f t="shared" si="46"/>
        <v>2021</v>
      </c>
      <c r="J329" s="79"/>
      <c r="K329" s="79"/>
      <c r="L329" s="79">
        <f t="shared" ca="1" si="50"/>
        <v>14040</v>
      </c>
      <c r="M329" s="79">
        <f t="shared" ca="1" si="51"/>
        <v>25219</v>
      </c>
    </row>
    <row r="330" spans="1:13" x14ac:dyDescent="0.2">
      <c r="A330" s="144">
        <v>342</v>
      </c>
      <c r="B330" s="144" t="str">
        <f>VLOOKUP( $A330, Aop!$A$2:$N$415, 2, 0)</f>
        <v>Aneks</v>
      </c>
      <c r="C330" s="79">
        <f t="shared" si="47"/>
        <v>4</v>
      </c>
      <c r="D330" s="79" t="str">
        <f t="shared" si="44"/>
        <v>01940155</v>
      </c>
      <c r="E330" s="79" t="str">
        <f t="shared" si="45"/>
        <v>4400929510006</v>
      </c>
      <c r="F330" s="79" t="b">
        <f t="shared" si="48"/>
        <v>0</v>
      </c>
      <c r="G330" s="188">
        <f t="shared" si="49"/>
        <v>44561</v>
      </c>
      <c r="H330" s="144">
        <f>VLOOKUP( $A330, Aop!$A$2:$N$415, 4, 0)</f>
        <v>621</v>
      </c>
      <c r="I330" s="79">
        <f t="shared" si="46"/>
        <v>2021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4">
        <v>343</v>
      </c>
      <c r="B331" s="144" t="str">
        <f>VLOOKUP( $A331, Aop!$A$2:$N$415, 2, 0)</f>
        <v>Aneks</v>
      </c>
      <c r="C331" s="79">
        <f t="shared" si="47"/>
        <v>4</v>
      </c>
      <c r="D331" s="79" t="str">
        <f t="shared" si="44"/>
        <v>01940155</v>
      </c>
      <c r="E331" s="79" t="str">
        <f t="shared" si="45"/>
        <v>4400929510006</v>
      </c>
      <c r="F331" s="79" t="b">
        <f t="shared" si="48"/>
        <v>0</v>
      </c>
      <c r="G331" s="188">
        <f t="shared" si="49"/>
        <v>44561</v>
      </c>
      <c r="H331" s="144">
        <f>VLOOKUP( $A331, Aop!$A$2:$N$415, 4, 0)</f>
        <v>622</v>
      </c>
      <c r="I331" s="79">
        <f t="shared" si="46"/>
        <v>2021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4">
        <v>344</v>
      </c>
      <c r="B332" s="144" t="str">
        <f>VLOOKUP( $A332, Aop!$A$2:$N$415, 2, 0)</f>
        <v>Aneks</v>
      </c>
      <c r="C332" s="79">
        <f t="shared" si="47"/>
        <v>4</v>
      </c>
      <c r="D332" s="79" t="str">
        <f t="shared" si="44"/>
        <v>01940155</v>
      </c>
      <c r="E332" s="79" t="str">
        <f t="shared" si="45"/>
        <v>4400929510006</v>
      </c>
      <c r="F332" s="79" t="b">
        <f t="shared" si="48"/>
        <v>0</v>
      </c>
      <c r="G332" s="188">
        <f t="shared" si="49"/>
        <v>44561</v>
      </c>
      <c r="H332" s="144">
        <f>VLOOKUP( $A332, Aop!$A$2:$N$415, 4, 0)</f>
        <v>623</v>
      </c>
      <c r="I332" s="79">
        <f t="shared" si="46"/>
        <v>2021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4">
        <v>345</v>
      </c>
      <c r="B333" s="144" t="str">
        <f>VLOOKUP( $A333, Aop!$A$2:$N$415, 2, 0)</f>
        <v>Aneks</v>
      </c>
      <c r="C333" s="79">
        <f t="shared" si="47"/>
        <v>4</v>
      </c>
      <c r="D333" s="79" t="str">
        <f t="shared" si="44"/>
        <v>01940155</v>
      </c>
      <c r="E333" s="79" t="str">
        <f t="shared" si="45"/>
        <v>4400929510006</v>
      </c>
      <c r="F333" s="79" t="b">
        <f t="shared" si="48"/>
        <v>0</v>
      </c>
      <c r="G333" s="188">
        <f t="shared" si="49"/>
        <v>44561</v>
      </c>
      <c r="H333" s="144">
        <f>VLOOKUP( $A333, Aop!$A$2:$N$415, 4, 0)</f>
        <v>624</v>
      </c>
      <c r="I333" s="79">
        <f t="shared" si="46"/>
        <v>2021</v>
      </c>
      <c r="J333" s="79"/>
      <c r="K333" s="79"/>
      <c r="L333" s="79">
        <f t="shared" ca="1" si="50"/>
        <v>10228</v>
      </c>
      <c r="M333" s="79">
        <f t="shared" ca="1" si="51"/>
        <v>42559</v>
      </c>
    </row>
    <row r="334" spans="1:13" x14ac:dyDescent="0.2">
      <c r="A334" s="144">
        <v>346</v>
      </c>
      <c r="B334" s="144" t="str">
        <f>VLOOKUP( $A334, Aop!$A$2:$N$415, 2, 0)</f>
        <v>Aneks</v>
      </c>
      <c r="C334" s="79">
        <f t="shared" si="47"/>
        <v>4</v>
      </c>
      <c r="D334" s="79" t="str">
        <f t="shared" si="44"/>
        <v>01940155</v>
      </c>
      <c r="E334" s="79" t="str">
        <f t="shared" si="45"/>
        <v>4400929510006</v>
      </c>
      <c r="F334" s="79" t="b">
        <f t="shared" si="48"/>
        <v>0</v>
      </c>
      <c r="G334" s="188">
        <f t="shared" si="49"/>
        <v>44561</v>
      </c>
      <c r="H334" s="144">
        <f>VLOOKUP( $A334, Aop!$A$2:$N$415, 4, 0)</f>
        <v>625</v>
      </c>
      <c r="I334" s="79">
        <f t="shared" si="46"/>
        <v>2021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4">
        <v>347</v>
      </c>
      <c r="B335" s="144" t="str">
        <f>VLOOKUP( $A335, Aop!$A$2:$N$415, 2, 0)</f>
        <v>Aneks</v>
      </c>
      <c r="C335" s="79">
        <f t="shared" si="47"/>
        <v>4</v>
      </c>
      <c r="D335" s="79" t="str">
        <f t="shared" si="44"/>
        <v>01940155</v>
      </c>
      <c r="E335" s="79" t="str">
        <f t="shared" si="45"/>
        <v>4400929510006</v>
      </c>
      <c r="F335" s="79" t="b">
        <f t="shared" si="48"/>
        <v>0</v>
      </c>
      <c r="G335" s="188">
        <f t="shared" si="49"/>
        <v>44561</v>
      </c>
      <c r="H335" s="144">
        <f>VLOOKUP( $A335, Aop!$A$2:$N$415, 4, 0)</f>
        <v>626</v>
      </c>
      <c r="I335" s="79">
        <f t="shared" si="46"/>
        <v>2021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4">
        <v>348</v>
      </c>
      <c r="B336" s="144" t="str">
        <f>VLOOKUP( $A336, Aop!$A$2:$N$415, 2, 0)</f>
        <v>Aneks</v>
      </c>
      <c r="C336" s="79">
        <f t="shared" si="47"/>
        <v>4</v>
      </c>
      <c r="D336" s="79" t="str">
        <f t="shared" si="44"/>
        <v>01940155</v>
      </c>
      <c r="E336" s="79" t="str">
        <f t="shared" si="45"/>
        <v>4400929510006</v>
      </c>
      <c r="F336" s="79" t="b">
        <f t="shared" si="48"/>
        <v>0</v>
      </c>
      <c r="G336" s="188">
        <f t="shared" si="49"/>
        <v>44561</v>
      </c>
      <c r="H336" s="144">
        <f>VLOOKUP( $A336, Aop!$A$2:$N$415, 4, 0)</f>
        <v>627</v>
      </c>
      <c r="I336" s="79">
        <f t="shared" si="46"/>
        <v>2021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4">
        <v>349</v>
      </c>
      <c r="B337" s="144" t="str">
        <f>VLOOKUP( $A337, Aop!$A$2:$N$415, 2, 0)</f>
        <v>Aneks</v>
      </c>
      <c r="C337" s="79">
        <f t="shared" si="47"/>
        <v>4</v>
      </c>
      <c r="D337" s="79" t="str">
        <f t="shared" si="44"/>
        <v>01940155</v>
      </c>
      <c r="E337" s="79" t="str">
        <f t="shared" si="45"/>
        <v>4400929510006</v>
      </c>
      <c r="F337" s="79" t="b">
        <f t="shared" si="48"/>
        <v>0</v>
      </c>
      <c r="G337" s="188">
        <f t="shared" si="49"/>
        <v>44561</v>
      </c>
      <c r="H337" s="144">
        <f>VLOOKUP( $A337, Aop!$A$2:$N$415, 4, 0)</f>
        <v>628</v>
      </c>
      <c r="I337" s="79">
        <f t="shared" si="46"/>
        <v>2021</v>
      </c>
      <c r="J337" s="79"/>
      <c r="K337" s="79"/>
      <c r="L337" s="79">
        <f t="shared" ca="1" si="50"/>
        <v>97648</v>
      </c>
      <c r="M337" s="79">
        <f t="shared" ca="1" si="51"/>
        <v>98260</v>
      </c>
    </row>
    <row r="338" spans="1:13" x14ac:dyDescent="0.2">
      <c r="A338" s="144">
        <v>350</v>
      </c>
      <c r="B338" s="144" t="str">
        <f>VLOOKUP( $A338, Aop!$A$2:$N$415, 2, 0)</f>
        <v>Aneks</v>
      </c>
      <c r="C338" s="79">
        <f t="shared" si="47"/>
        <v>4</v>
      </c>
      <c r="D338" s="79" t="str">
        <f t="shared" si="44"/>
        <v>01940155</v>
      </c>
      <c r="E338" s="79" t="str">
        <f t="shared" si="45"/>
        <v>4400929510006</v>
      </c>
      <c r="F338" s="79" t="b">
        <f t="shared" si="48"/>
        <v>0</v>
      </c>
      <c r="G338" s="188">
        <f t="shared" si="49"/>
        <v>44561</v>
      </c>
      <c r="H338" s="144">
        <f>VLOOKUP( $A338, Aop!$A$2:$N$415, 4, 0)</f>
        <v>629</v>
      </c>
      <c r="I338" s="79">
        <f t="shared" si="46"/>
        <v>2021</v>
      </c>
      <c r="J338" s="79"/>
      <c r="K338" s="79"/>
      <c r="L338" s="79">
        <f t="shared" ca="1" si="50"/>
        <v>59779</v>
      </c>
      <c r="M338" s="79">
        <f t="shared" ca="1" si="51"/>
        <v>4076</v>
      </c>
    </row>
    <row r="339" spans="1:13" x14ac:dyDescent="0.2">
      <c r="A339" s="144">
        <v>351</v>
      </c>
      <c r="B339" s="144" t="str">
        <f>VLOOKUP( $A339, Aop!$A$2:$N$415, 2, 0)</f>
        <v>Aneks</v>
      </c>
      <c r="C339" s="79">
        <f t="shared" si="47"/>
        <v>4</v>
      </c>
      <c r="D339" s="79" t="str">
        <f t="shared" si="44"/>
        <v>01940155</v>
      </c>
      <c r="E339" s="79" t="str">
        <f t="shared" si="45"/>
        <v>4400929510006</v>
      </c>
      <c r="F339" s="79" t="b">
        <f t="shared" si="48"/>
        <v>0</v>
      </c>
      <c r="G339" s="188">
        <f t="shared" si="49"/>
        <v>44561</v>
      </c>
      <c r="H339" s="144">
        <f>VLOOKUP( $A339, Aop!$A$2:$N$415, 4, 0)</f>
        <v>630</v>
      </c>
      <c r="I339" s="79">
        <f t="shared" si="46"/>
        <v>2021</v>
      </c>
      <c r="J339" s="79"/>
      <c r="K339" s="79"/>
      <c r="L339" s="79">
        <f t="shared" ca="1" si="50"/>
        <v>58279</v>
      </c>
      <c r="M339" s="79" t="str">
        <f t="shared" ca="1" si="51"/>
        <v/>
      </c>
    </row>
    <row r="340" spans="1:13" x14ac:dyDescent="0.2">
      <c r="A340" s="144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01940155</v>
      </c>
      <c r="E340" s="79" t="str">
        <f>Podatak_JIB</f>
        <v>4400929510006</v>
      </c>
      <c r="F340" s="79" t="b">
        <f>Konsolidovan_izvjestaj</f>
        <v>0</v>
      </c>
      <c r="G340" s="188">
        <f>Datum_Broj</f>
        <v>44561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>
        <f t="shared" ca="1" si="50"/>
        <v>1500</v>
      </c>
      <c r="M340" s="79">
        <f t="shared" ca="1" si="51"/>
        <v>24477</v>
      </c>
    </row>
    <row r="341" spans="1:13" x14ac:dyDescent="0.2">
      <c r="A341" s="144">
        <v>353</v>
      </c>
      <c r="B341" s="144" t="str">
        <f>VLOOKUP( $A341, Aop!$A$2:$N$415, 2, 0)</f>
        <v>Aneks</v>
      </c>
      <c r="C341" s="79">
        <f t="shared" si="47"/>
        <v>4</v>
      </c>
      <c r="D341" s="79" t="str">
        <f t="shared" si="44"/>
        <v>01940155</v>
      </c>
      <c r="E341" s="79" t="str">
        <f t="shared" si="45"/>
        <v>4400929510006</v>
      </c>
      <c r="F341" s="79" t="b">
        <f t="shared" si="48"/>
        <v>0</v>
      </c>
      <c r="G341" s="188">
        <f t="shared" si="49"/>
        <v>44561</v>
      </c>
      <c r="H341" s="144">
        <f>VLOOKUP( $A341, Aop!$A$2:$N$415, 4, 0)</f>
        <v>632</v>
      </c>
      <c r="I341" s="79">
        <f t="shared" si="46"/>
        <v>2021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4">
        <v>354</v>
      </c>
      <c r="B342" s="144" t="str">
        <f>VLOOKUP( $A342, Aop!$A$2:$N$415, 2, 0)</f>
        <v>Aneks</v>
      </c>
      <c r="C342" s="79">
        <f t="shared" si="47"/>
        <v>4</v>
      </c>
      <c r="D342" s="79" t="str">
        <f t="shared" si="44"/>
        <v>01940155</v>
      </c>
      <c r="E342" s="79" t="str">
        <f t="shared" si="45"/>
        <v>4400929510006</v>
      </c>
      <c r="F342" s="79" t="b">
        <f t="shared" si="48"/>
        <v>0</v>
      </c>
      <c r="G342" s="188">
        <f t="shared" si="49"/>
        <v>44561</v>
      </c>
      <c r="H342" s="144">
        <f>VLOOKUP( $A342, Aop!$A$2:$N$415, 4, 0)</f>
        <v>633</v>
      </c>
      <c r="I342" s="79">
        <f t="shared" si="46"/>
        <v>2021</v>
      </c>
      <c r="J342" s="79"/>
      <c r="K342" s="79"/>
      <c r="L342" s="79">
        <f t="shared" ca="1" si="50"/>
        <v>8099058</v>
      </c>
      <c r="M342" s="79">
        <f t="shared" ca="1" si="51"/>
        <v>4521671</v>
      </c>
    </row>
    <row r="343" spans="1:13" x14ac:dyDescent="0.2">
      <c r="A343" s="144">
        <v>355</v>
      </c>
      <c r="B343" s="144" t="str">
        <f>VLOOKUP( $A343, Aop!$A$2:$N$415, 2, 0)</f>
        <v>Aneks</v>
      </c>
      <c r="C343" s="79">
        <f t="shared" si="47"/>
        <v>4</v>
      </c>
      <c r="D343" s="79" t="str">
        <f t="shared" si="44"/>
        <v>01940155</v>
      </c>
      <c r="E343" s="79" t="str">
        <f t="shared" si="45"/>
        <v>4400929510006</v>
      </c>
      <c r="F343" s="79" t="b">
        <f t="shared" si="48"/>
        <v>0</v>
      </c>
      <c r="G343" s="188">
        <f t="shared" si="49"/>
        <v>44561</v>
      </c>
      <c r="H343" s="144">
        <f>VLOOKUP( $A343, Aop!$A$2:$N$415, 4, 0)</f>
        <v>634</v>
      </c>
      <c r="I343" s="79">
        <f t="shared" si="46"/>
        <v>2021</v>
      </c>
      <c r="J343" s="79"/>
      <c r="K343" s="79"/>
      <c r="L343" s="79">
        <f t="shared" ca="1" si="50"/>
        <v>353932</v>
      </c>
      <c r="M343" s="79">
        <f t="shared" ca="1" si="51"/>
        <v>292783</v>
      </c>
    </row>
    <row r="344" spans="1:13" x14ac:dyDescent="0.2">
      <c r="A344" s="144">
        <v>356</v>
      </c>
      <c r="B344" s="144" t="str">
        <f>VLOOKUP( $A344, Aop!$A$2:$N$415, 2, 0)</f>
        <v>Aneks</v>
      </c>
      <c r="C344" s="79">
        <f t="shared" si="47"/>
        <v>4</v>
      </c>
      <c r="D344" s="79" t="str">
        <f t="shared" si="44"/>
        <v>01940155</v>
      </c>
      <c r="E344" s="79" t="str">
        <f t="shared" si="45"/>
        <v>4400929510006</v>
      </c>
      <c r="F344" s="79" t="b">
        <f t="shared" si="48"/>
        <v>0</v>
      </c>
      <c r="G344" s="188">
        <f t="shared" si="49"/>
        <v>44561</v>
      </c>
      <c r="H344" s="144">
        <f>VLOOKUP( $A344, Aop!$A$2:$N$415, 4, 0)</f>
        <v>635</v>
      </c>
      <c r="I344" s="79">
        <f t="shared" si="46"/>
        <v>2021</v>
      </c>
      <c r="J344" s="79"/>
      <c r="K344" s="79"/>
      <c r="L344" s="79">
        <f t="shared" ca="1" si="50"/>
        <v>1370879</v>
      </c>
      <c r="M344" s="79">
        <f t="shared" ca="1" si="51"/>
        <v>1168194</v>
      </c>
    </row>
    <row r="345" spans="1:13" x14ac:dyDescent="0.2">
      <c r="A345" s="144">
        <v>357</v>
      </c>
      <c r="B345" s="144" t="str">
        <f>VLOOKUP( $A345, Aop!$A$2:$N$415, 2, 0)</f>
        <v>Aneks</v>
      </c>
      <c r="C345" s="79">
        <f t="shared" si="47"/>
        <v>4</v>
      </c>
      <c r="D345" s="79" t="str">
        <f t="shared" si="44"/>
        <v>01940155</v>
      </c>
      <c r="E345" s="79" t="str">
        <f t="shared" si="45"/>
        <v>4400929510006</v>
      </c>
      <c r="F345" s="79" t="b">
        <f t="shared" si="48"/>
        <v>0</v>
      </c>
      <c r="G345" s="188">
        <f t="shared" si="49"/>
        <v>44561</v>
      </c>
      <c r="H345" s="144">
        <f>VLOOKUP( $A345, Aop!$A$2:$N$415, 4, 0)</f>
        <v>636</v>
      </c>
      <c r="I345" s="79">
        <f t="shared" si="46"/>
        <v>2021</v>
      </c>
      <c r="J345" s="79"/>
      <c r="K345" s="79"/>
      <c r="L345" s="79">
        <f t="shared" ca="1" si="50"/>
        <v>2256</v>
      </c>
      <c r="M345" s="79">
        <f t="shared" ca="1" si="51"/>
        <v>1800</v>
      </c>
    </row>
    <row r="346" spans="1:13" x14ac:dyDescent="0.2">
      <c r="A346" s="144">
        <v>358</v>
      </c>
      <c r="B346" s="144" t="str">
        <f>VLOOKUP( $A346, Aop!$A$2:$N$415, 2, 0)</f>
        <v>Aneks</v>
      </c>
      <c r="C346" s="79">
        <f t="shared" si="47"/>
        <v>4</v>
      </c>
      <c r="D346" s="79" t="str">
        <f t="shared" si="44"/>
        <v>01940155</v>
      </c>
      <c r="E346" s="79" t="str">
        <f t="shared" si="45"/>
        <v>4400929510006</v>
      </c>
      <c r="F346" s="79" t="b">
        <f t="shared" si="48"/>
        <v>0</v>
      </c>
      <c r="G346" s="188">
        <f t="shared" si="49"/>
        <v>44561</v>
      </c>
      <c r="H346" s="144">
        <f>VLOOKUP( $A346, Aop!$A$2:$N$415, 4, 0)</f>
        <v>637</v>
      </c>
      <c r="I346" s="79">
        <f t="shared" si="46"/>
        <v>2021</v>
      </c>
      <c r="J346" s="79"/>
      <c r="K346" s="79"/>
      <c r="L346" s="79">
        <f t="shared" ca="1" si="50"/>
        <v>198549</v>
      </c>
      <c r="M346" s="79">
        <f t="shared" ca="1" si="51"/>
        <v>124729</v>
      </c>
    </row>
    <row r="347" spans="1:13" x14ac:dyDescent="0.2">
      <c r="A347" s="144">
        <v>359</v>
      </c>
      <c r="B347" s="144" t="str">
        <f>VLOOKUP( $A347, Aop!$A$2:$N$415, 2, 0)</f>
        <v>Aneks</v>
      </c>
      <c r="C347" s="79">
        <f t="shared" si="47"/>
        <v>4</v>
      </c>
      <c r="D347" s="79" t="str">
        <f t="shared" si="44"/>
        <v>01940155</v>
      </c>
      <c r="E347" s="79" t="str">
        <f t="shared" si="45"/>
        <v>4400929510006</v>
      </c>
      <c r="F347" s="79" t="b">
        <f t="shared" si="48"/>
        <v>0</v>
      </c>
      <c r="G347" s="188">
        <f t="shared" si="49"/>
        <v>44561</v>
      </c>
      <c r="H347" s="144">
        <f>VLOOKUP( $A347, Aop!$A$2:$N$415, 4, 0)</f>
        <v>638</v>
      </c>
      <c r="I347" s="79">
        <f t="shared" si="46"/>
        <v>2021</v>
      </c>
      <c r="J347" s="79"/>
      <c r="K347" s="79"/>
      <c r="L347" s="79">
        <f t="shared" ca="1" si="50"/>
        <v>122159</v>
      </c>
      <c r="M347" s="79">
        <f t="shared" ca="1" si="51"/>
        <v>78381</v>
      </c>
    </row>
    <row r="348" spans="1:13" x14ac:dyDescent="0.2">
      <c r="A348" s="144">
        <v>360</v>
      </c>
      <c r="B348" s="144" t="str">
        <f>VLOOKUP( $A348, Aop!$A$2:$N$415, 2, 0)</f>
        <v>Aneks</v>
      </c>
      <c r="C348" s="79">
        <f t="shared" si="47"/>
        <v>4</v>
      </c>
      <c r="D348" s="79" t="str">
        <f t="shared" si="44"/>
        <v>01940155</v>
      </c>
      <c r="E348" s="79" t="str">
        <f t="shared" si="45"/>
        <v>4400929510006</v>
      </c>
      <c r="F348" s="79" t="b">
        <f t="shared" si="48"/>
        <v>0</v>
      </c>
      <c r="G348" s="188">
        <f t="shared" si="49"/>
        <v>44561</v>
      </c>
      <c r="H348" s="144">
        <f>VLOOKUP( $A348, Aop!$A$2:$N$415, 4, 0)</f>
        <v>639</v>
      </c>
      <c r="I348" s="79">
        <f t="shared" si="46"/>
        <v>2021</v>
      </c>
      <c r="J348" s="79"/>
      <c r="K348" s="79"/>
      <c r="L348" s="79">
        <f t="shared" ca="1" si="50"/>
        <v>392323</v>
      </c>
      <c r="M348" s="79">
        <f t="shared" ca="1" si="51"/>
        <v>336717</v>
      </c>
    </row>
    <row r="349" spans="1:13" x14ac:dyDescent="0.2">
      <c r="A349" s="144">
        <v>361</v>
      </c>
      <c r="B349" s="144" t="str">
        <f>VLOOKUP( $A349, Aop!$A$2:$N$415, 2, 0)</f>
        <v>Aneks</v>
      </c>
      <c r="C349" s="79">
        <f t="shared" si="47"/>
        <v>4</v>
      </c>
      <c r="D349" s="79" t="str">
        <f t="shared" si="44"/>
        <v>01940155</v>
      </c>
      <c r="E349" s="79" t="str">
        <f t="shared" si="45"/>
        <v>4400929510006</v>
      </c>
      <c r="F349" s="79" t="b">
        <f t="shared" si="48"/>
        <v>0</v>
      </c>
      <c r="G349" s="188">
        <f t="shared" si="49"/>
        <v>44561</v>
      </c>
      <c r="H349" s="144">
        <f>VLOOKUP( $A349, Aop!$A$2:$N$415, 4, 0)</f>
        <v>640</v>
      </c>
      <c r="I349" s="79">
        <f t="shared" si="46"/>
        <v>2021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4">
        <v>362</v>
      </c>
      <c r="B350" s="144" t="str">
        <f>VLOOKUP( $A350, Aop!$A$2:$N$415, 2, 0)</f>
        <v>Aneks</v>
      </c>
      <c r="C350" s="79">
        <f t="shared" si="47"/>
        <v>4</v>
      </c>
      <c r="D350" s="79" t="str">
        <f t="shared" si="44"/>
        <v>01940155</v>
      </c>
      <c r="E350" s="79" t="str">
        <f t="shared" si="45"/>
        <v>4400929510006</v>
      </c>
      <c r="F350" s="79" t="b">
        <f t="shared" si="48"/>
        <v>0</v>
      </c>
      <c r="G350" s="188">
        <f t="shared" si="49"/>
        <v>44561</v>
      </c>
      <c r="H350" s="144">
        <f>VLOOKUP( $A350, Aop!$A$2:$N$415, 4, 0)</f>
        <v>641</v>
      </c>
      <c r="I350" s="79">
        <f t="shared" si="46"/>
        <v>2021</v>
      </c>
      <c r="J350" s="79"/>
      <c r="K350" s="79"/>
      <c r="L350" s="79">
        <f t="shared" ca="1" si="50"/>
        <v>39956</v>
      </c>
      <c r="M350" s="79">
        <f t="shared" ca="1" si="51"/>
        <v>37629</v>
      </c>
    </row>
    <row r="351" spans="1:13" x14ac:dyDescent="0.2">
      <c r="A351" s="144">
        <v>363</v>
      </c>
      <c r="B351" s="144" t="str">
        <f>VLOOKUP( $A351, Aop!$A$2:$N$415, 2, 0)</f>
        <v>Aneks</v>
      </c>
      <c r="C351" s="79">
        <f t="shared" si="47"/>
        <v>4</v>
      </c>
      <c r="D351" s="79" t="str">
        <f t="shared" si="44"/>
        <v>01940155</v>
      </c>
      <c r="E351" s="79" t="str">
        <f t="shared" si="45"/>
        <v>4400929510006</v>
      </c>
      <c r="F351" s="79" t="b">
        <f t="shared" si="48"/>
        <v>0</v>
      </c>
      <c r="G351" s="188">
        <f t="shared" si="49"/>
        <v>44561</v>
      </c>
      <c r="H351" s="144">
        <f>VLOOKUP( $A351, Aop!$A$2:$N$415, 4, 0)</f>
        <v>642</v>
      </c>
      <c r="I351" s="79">
        <f t="shared" si="46"/>
        <v>2021</v>
      </c>
      <c r="J351" s="79"/>
      <c r="K351" s="79"/>
      <c r="L351" s="79">
        <f t="shared" ca="1" si="50"/>
        <v>165483</v>
      </c>
      <c r="M351" s="79">
        <f t="shared" ca="1" si="51"/>
        <v>146367</v>
      </c>
    </row>
    <row r="352" spans="1:13" x14ac:dyDescent="0.2">
      <c r="A352" s="144">
        <v>364</v>
      </c>
      <c r="B352" s="144" t="str">
        <f>VLOOKUP( $A352, Aop!$A$2:$N$415, 2, 0)</f>
        <v>Aneks</v>
      </c>
      <c r="C352" s="79">
        <f t="shared" si="47"/>
        <v>4</v>
      </c>
      <c r="D352" s="79" t="str">
        <f t="shared" si="44"/>
        <v>01940155</v>
      </c>
      <c r="E352" s="79" t="str">
        <f t="shared" si="45"/>
        <v>4400929510006</v>
      </c>
      <c r="F352" s="79" t="b">
        <f t="shared" si="48"/>
        <v>0</v>
      </c>
      <c r="G352" s="188">
        <f t="shared" si="49"/>
        <v>44561</v>
      </c>
      <c r="H352" s="144">
        <f>VLOOKUP( $A352, Aop!$A$2:$N$415, 4, 0)</f>
        <v>643</v>
      </c>
      <c r="I352" s="79">
        <f t="shared" si="46"/>
        <v>2021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4">
        <v>365</v>
      </c>
      <c r="B353" s="144" t="str">
        <f>VLOOKUP( $A353, Aop!$A$2:$N$415, 2, 0)</f>
        <v>Aneks</v>
      </c>
      <c r="C353" s="79">
        <f t="shared" si="47"/>
        <v>4</v>
      </c>
      <c r="D353" s="79" t="str">
        <f t="shared" si="44"/>
        <v>01940155</v>
      </c>
      <c r="E353" s="79" t="str">
        <f t="shared" si="45"/>
        <v>4400929510006</v>
      </c>
      <c r="F353" s="79" t="b">
        <f t="shared" si="48"/>
        <v>0</v>
      </c>
      <c r="G353" s="188">
        <f t="shared" si="49"/>
        <v>44561</v>
      </c>
      <c r="H353" s="144">
        <f>VLOOKUP( $A353, Aop!$A$2:$N$415, 4, 0)</f>
        <v>644</v>
      </c>
      <c r="I353" s="79">
        <f t="shared" si="46"/>
        <v>2021</v>
      </c>
      <c r="J353" s="79"/>
      <c r="K353" s="79"/>
      <c r="L353" s="79">
        <f t="shared" ca="1" si="50"/>
        <v>73332</v>
      </c>
      <c r="M353" s="79">
        <f t="shared" ca="1" si="51"/>
        <v>63316</v>
      </c>
    </row>
    <row r="354" spans="1:13" x14ac:dyDescent="0.2">
      <c r="A354" s="144">
        <v>366</v>
      </c>
      <c r="B354" s="144" t="str">
        <f>VLOOKUP( $A354, Aop!$A$2:$N$415, 2, 0)</f>
        <v>Aneks</v>
      </c>
      <c r="C354" s="79">
        <f t="shared" si="47"/>
        <v>4</v>
      </c>
      <c r="D354" s="79" t="str">
        <f t="shared" si="44"/>
        <v>01940155</v>
      </c>
      <c r="E354" s="79" t="str">
        <f t="shared" si="45"/>
        <v>4400929510006</v>
      </c>
      <c r="F354" s="79" t="b">
        <f t="shared" si="48"/>
        <v>0</v>
      </c>
      <c r="G354" s="188">
        <f t="shared" si="49"/>
        <v>44561</v>
      </c>
      <c r="H354" s="144">
        <f>VLOOKUP( $A354, Aop!$A$2:$N$415, 4, 0)</f>
        <v>645</v>
      </c>
      <c r="I354" s="79">
        <f t="shared" si="46"/>
        <v>2021</v>
      </c>
      <c r="J354" s="79"/>
      <c r="K354" s="79"/>
      <c r="L354" s="79">
        <f t="shared" ca="1" si="50"/>
        <v>14408</v>
      </c>
      <c r="M354" s="79">
        <f t="shared" ca="1" si="51"/>
        <v>12895</v>
      </c>
    </row>
    <row r="355" spans="1:13" x14ac:dyDescent="0.2">
      <c r="A355" s="144">
        <v>367</v>
      </c>
      <c r="B355" s="144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01940155</v>
      </c>
      <c r="E355" s="79" t="str">
        <f t="shared" ref="E355:E362" si="54">Podatak_JIB</f>
        <v>4400929510006</v>
      </c>
      <c r="F355" s="79" t="b">
        <f t="shared" ref="F355:F362" si="55">Konsolidovan_izvjestaj</f>
        <v>0</v>
      </c>
      <c r="G355" s="188">
        <f t="shared" ref="G355:G362" si="56">Datum_Broj</f>
        <v>44561</v>
      </c>
      <c r="H355" s="79">
        <f>VLOOKUP( $A355, Aop!$A$2:$N$415, 4, 0)</f>
        <v>646</v>
      </c>
      <c r="I355" s="79">
        <f t="shared" ref="I355:I362" si="57">Godina</f>
        <v>2021</v>
      </c>
      <c r="J355" s="79"/>
      <c r="K355" s="79"/>
      <c r="L355" s="79" t="str">
        <f t="shared" ca="1" si="50"/>
        <v/>
      </c>
      <c r="M355" s="79" t="str">
        <f t="shared" ca="1" si="51"/>
        <v/>
      </c>
    </row>
    <row r="356" spans="1:13" x14ac:dyDescent="0.2">
      <c r="A356" s="144">
        <v>368</v>
      </c>
      <c r="B356" s="144" t="str">
        <f>VLOOKUP( $A356, Aop!$A$2:$N$415, 2, 0)</f>
        <v>Aneks</v>
      </c>
      <c r="C356" s="79">
        <f t="shared" si="52"/>
        <v>4</v>
      </c>
      <c r="D356" s="79" t="str">
        <f t="shared" si="53"/>
        <v>01940155</v>
      </c>
      <c r="E356" s="79" t="str">
        <f t="shared" si="54"/>
        <v>4400929510006</v>
      </c>
      <c r="F356" s="79" t="b">
        <f t="shared" si="55"/>
        <v>0</v>
      </c>
      <c r="G356" s="188">
        <f t="shared" si="56"/>
        <v>44561</v>
      </c>
      <c r="H356" s="79">
        <f>VLOOKUP( $A356, Aop!$A$2:$N$415, 4, 0)</f>
        <v>647</v>
      </c>
      <c r="I356" s="79">
        <f t="shared" si="57"/>
        <v>2021</v>
      </c>
      <c r="J356" s="79"/>
      <c r="K356" s="79"/>
      <c r="L356" s="79">
        <f t="shared" ca="1" si="50"/>
        <v>99144</v>
      </c>
      <c r="M356" s="79">
        <f t="shared" ca="1" si="51"/>
        <v>76510</v>
      </c>
    </row>
    <row r="357" spans="1:13" x14ac:dyDescent="0.2">
      <c r="A357" s="144">
        <v>369</v>
      </c>
      <c r="B357" s="144" t="str">
        <f>VLOOKUP( $A357, Aop!$A$2:$N$415, 2, 0)</f>
        <v>Aneks</v>
      </c>
      <c r="C357" s="79">
        <f t="shared" si="52"/>
        <v>4</v>
      </c>
      <c r="D357" s="79" t="str">
        <f t="shared" si="53"/>
        <v>01940155</v>
      </c>
      <c r="E357" s="79" t="str">
        <f t="shared" si="54"/>
        <v>4400929510006</v>
      </c>
      <c r="F357" s="79" t="b">
        <f t="shared" si="55"/>
        <v>0</v>
      </c>
      <c r="G357" s="188">
        <f t="shared" si="56"/>
        <v>44561</v>
      </c>
      <c r="H357" s="79">
        <f>VLOOKUP( $A357, Aop!$A$2:$N$415, 4, 0)</f>
        <v>648</v>
      </c>
      <c r="I357" s="79">
        <f t="shared" si="57"/>
        <v>2021</v>
      </c>
      <c r="J357" s="79"/>
      <c r="K357" s="79"/>
      <c r="L357" s="79" t="str">
        <f t="shared" ca="1" si="50"/>
        <v/>
      </c>
      <c r="M357" s="79" t="str">
        <f t="shared" ca="1" si="51"/>
        <v/>
      </c>
    </row>
    <row r="358" spans="1:13" x14ac:dyDescent="0.2">
      <c r="A358" s="144">
        <v>370</v>
      </c>
      <c r="B358" s="144" t="str">
        <f>VLOOKUP( $A358, Aop!$A$2:$N$415, 2, 0)</f>
        <v>Aneks</v>
      </c>
      <c r="C358" s="79">
        <f t="shared" si="52"/>
        <v>4</v>
      </c>
      <c r="D358" s="79" t="str">
        <f t="shared" si="53"/>
        <v>01940155</v>
      </c>
      <c r="E358" s="79" t="str">
        <f t="shared" si="54"/>
        <v>4400929510006</v>
      </c>
      <c r="F358" s="79" t="b">
        <f t="shared" si="55"/>
        <v>0</v>
      </c>
      <c r="G358" s="188">
        <f t="shared" si="56"/>
        <v>44561</v>
      </c>
      <c r="H358" s="79">
        <f>VLOOKUP( $A358, Aop!$A$2:$N$415, 4, 0)</f>
        <v>649</v>
      </c>
      <c r="I358" s="79">
        <f t="shared" si="57"/>
        <v>2021</v>
      </c>
      <c r="J358" s="79"/>
      <c r="K358" s="79"/>
      <c r="L358" s="79">
        <f t="shared" ca="1" si="50"/>
        <v>200524</v>
      </c>
      <c r="M358" s="79">
        <f t="shared" ca="1" si="51"/>
        <v>185443</v>
      </c>
    </row>
    <row r="359" spans="1:13" x14ac:dyDescent="0.2">
      <c r="A359" s="144">
        <v>371</v>
      </c>
      <c r="B359" s="144" t="str">
        <f>VLOOKUP( $A359, Aop!$A$2:$N$415, 2, 0)</f>
        <v>Aneks</v>
      </c>
      <c r="C359" s="79">
        <f t="shared" si="52"/>
        <v>4</v>
      </c>
      <c r="D359" s="79" t="str">
        <f t="shared" si="53"/>
        <v>01940155</v>
      </c>
      <c r="E359" s="79" t="str">
        <f t="shared" si="54"/>
        <v>4400929510006</v>
      </c>
      <c r="F359" s="79" t="b">
        <f t="shared" si="55"/>
        <v>0</v>
      </c>
      <c r="G359" s="188">
        <f t="shared" si="56"/>
        <v>44561</v>
      </c>
      <c r="H359" s="79">
        <f>VLOOKUP( $A359, Aop!$A$2:$N$415, 4, 0)</f>
        <v>650</v>
      </c>
      <c r="I359" s="79">
        <f t="shared" si="57"/>
        <v>2021</v>
      </c>
      <c r="J359" s="79"/>
      <c r="K359" s="79"/>
      <c r="L359" s="79">
        <f t="shared" ca="1" si="50"/>
        <v>32885</v>
      </c>
      <c r="M359" s="79">
        <f t="shared" ca="1" si="51"/>
        <v>31508</v>
      </c>
    </row>
    <row r="360" spans="1:13" x14ac:dyDescent="0.2">
      <c r="A360" s="144">
        <v>372</v>
      </c>
      <c r="B360" s="144" t="str">
        <f>VLOOKUP( $A360, Aop!$A$2:$N$415, 2, 0)</f>
        <v>Aneks</v>
      </c>
      <c r="C360" s="79">
        <f t="shared" si="52"/>
        <v>4</v>
      </c>
      <c r="D360" s="79" t="str">
        <f t="shared" si="53"/>
        <v>01940155</v>
      </c>
      <c r="E360" s="79" t="str">
        <f t="shared" si="54"/>
        <v>4400929510006</v>
      </c>
      <c r="F360" s="79" t="b">
        <f t="shared" si="55"/>
        <v>0</v>
      </c>
      <c r="G360" s="188">
        <f t="shared" si="56"/>
        <v>44561</v>
      </c>
      <c r="H360" s="79">
        <f>VLOOKUP( $A360, Aop!$A$2:$N$415, 4, 0)</f>
        <v>651</v>
      </c>
      <c r="I360" s="79">
        <f t="shared" si="57"/>
        <v>2021</v>
      </c>
      <c r="J360" s="79"/>
      <c r="K360" s="79"/>
      <c r="L360" s="79">
        <f t="shared" ca="1" si="50"/>
        <v>163</v>
      </c>
      <c r="M360" s="79">
        <f t="shared" ca="1" si="51"/>
        <v>516</v>
      </c>
    </row>
    <row r="361" spans="1:13" x14ac:dyDescent="0.2">
      <c r="A361" s="144">
        <v>373</v>
      </c>
      <c r="B361" s="144" t="str">
        <f>VLOOKUP( $A361, Aop!$A$2:$N$415, 2, 0)</f>
        <v>Aneks</v>
      </c>
      <c r="C361" s="79">
        <f t="shared" si="52"/>
        <v>4</v>
      </c>
      <c r="D361" s="79" t="str">
        <f t="shared" si="53"/>
        <v>01940155</v>
      </c>
      <c r="E361" s="79" t="str">
        <f t="shared" si="54"/>
        <v>4400929510006</v>
      </c>
      <c r="F361" s="79" t="b">
        <f t="shared" si="55"/>
        <v>0</v>
      </c>
      <c r="G361" s="188">
        <f t="shared" si="56"/>
        <v>44561</v>
      </c>
      <c r="H361" s="79">
        <f>VLOOKUP( $A361, Aop!$A$2:$N$415, 4, 0)</f>
        <v>652</v>
      </c>
      <c r="I361" s="79">
        <f t="shared" si="57"/>
        <v>2021</v>
      </c>
      <c r="J361" s="79"/>
      <c r="K361" s="79"/>
      <c r="L361" s="79" t="str">
        <f t="shared" ca="1" si="50"/>
        <v/>
      </c>
      <c r="M361" s="79" t="str">
        <f t="shared" ca="1" si="51"/>
        <v/>
      </c>
    </row>
    <row r="362" spans="1:13" x14ac:dyDescent="0.2">
      <c r="A362" s="144">
        <v>374</v>
      </c>
      <c r="B362" s="144" t="str">
        <f>VLOOKUP( $A362, Aop!$A$2:$N$415, 2, 0)</f>
        <v>Aneks</v>
      </c>
      <c r="C362" s="79">
        <f t="shared" si="52"/>
        <v>4</v>
      </c>
      <c r="D362" s="79" t="str">
        <f t="shared" si="53"/>
        <v>01940155</v>
      </c>
      <c r="E362" s="79" t="str">
        <f t="shared" si="54"/>
        <v>4400929510006</v>
      </c>
      <c r="F362" s="79" t="b">
        <f t="shared" si="55"/>
        <v>0</v>
      </c>
      <c r="G362" s="188">
        <f t="shared" si="56"/>
        <v>44561</v>
      </c>
      <c r="H362" s="79">
        <f>VLOOKUP( $A362, Aop!$A$2:$N$415, 4, 0)</f>
        <v>653</v>
      </c>
      <c r="I362" s="79">
        <f t="shared" si="57"/>
        <v>2021</v>
      </c>
      <c r="J362" s="79"/>
      <c r="K362" s="79"/>
      <c r="L362" s="79">
        <f t="shared" ca="1" si="50"/>
        <v>43728</v>
      </c>
      <c r="M362" s="79">
        <f t="shared" ca="1" si="51"/>
        <v>30242</v>
      </c>
    </row>
    <row r="363" spans="1:13" x14ac:dyDescent="0.2">
      <c r="A363" s="144">
        <v>375</v>
      </c>
      <c r="B363" s="74" t="str">
        <f>VLOOKUP( $A363, Aop!$A$2:$N$415, 2, 0)</f>
        <v>Aneks</v>
      </c>
      <c r="C363" s="74">
        <f t="shared" ref="C363:C379" si="58">ID_Izvjestaj</f>
        <v>4</v>
      </c>
      <c r="D363" s="74" t="str">
        <f t="shared" ref="D363:D379" si="59">Podatak_MB</f>
        <v>01940155</v>
      </c>
      <c r="E363" s="74" t="str">
        <f t="shared" ref="E363:E379" si="60">Podatak_JIB</f>
        <v>4400929510006</v>
      </c>
      <c r="F363" s="74" t="b">
        <f t="shared" ref="F363:F379" si="61">Konsolidovan_izvjestaj</f>
        <v>0</v>
      </c>
      <c r="G363" s="359">
        <f t="shared" ref="G363:G379" si="62">Datum_Broj</f>
        <v>44561</v>
      </c>
      <c r="H363" s="74">
        <f>VLOOKUP( $A363, Aop!$A$2:$N$415, 4, 0)</f>
        <v>654</v>
      </c>
      <c r="I363" s="74">
        <f t="shared" ref="I363:I379" si="63">Godina</f>
        <v>2021</v>
      </c>
      <c r="J363" s="74"/>
      <c r="K363" s="74"/>
      <c r="L363" s="74">
        <f t="shared" ca="1" si="50"/>
        <v>10014</v>
      </c>
      <c r="M363" s="74">
        <f t="shared" ca="1" si="51"/>
        <v>9272</v>
      </c>
    </row>
    <row r="364" spans="1:13" x14ac:dyDescent="0.2">
      <c r="A364" s="144">
        <v>376</v>
      </c>
      <c r="B364" s="74" t="str">
        <f>VLOOKUP( $A364, Aop!$A$2:$N$415, 2, 0)</f>
        <v>Aneks</v>
      </c>
      <c r="C364" s="74">
        <f t="shared" si="58"/>
        <v>4</v>
      </c>
      <c r="D364" s="74" t="str">
        <f t="shared" si="59"/>
        <v>01940155</v>
      </c>
      <c r="E364" s="74" t="str">
        <f t="shared" si="60"/>
        <v>4400929510006</v>
      </c>
      <c r="F364" s="74" t="b">
        <f t="shared" si="61"/>
        <v>0</v>
      </c>
      <c r="G364" s="359">
        <f t="shared" si="62"/>
        <v>44561</v>
      </c>
      <c r="H364" s="74">
        <f>VLOOKUP( $A364, Aop!$A$2:$N$415, 4, 0)</f>
        <v>655</v>
      </c>
      <c r="I364" s="74">
        <f t="shared" si="63"/>
        <v>2021</v>
      </c>
      <c r="J364" s="74"/>
      <c r="K364" s="74"/>
      <c r="L364" s="74">
        <f t="shared" ca="1" si="50"/>
        <v>66417</v>
      </c>
      <c r="M364" s="74">
        <f t="shared" ca="1" si="51"/>
        <v>70798</v>
      </c>
    </row>
    <row r="365" spans="1:13" x14ac:dyDescent="0.2">
      <c r="A365" s="144">
        <v>377</v>
      </c>
      <c r="B365" s="74" t="str">
        <f>VLOOKUP( $A365, Aop!$A$2:$N$415, 2, 0)</f>
        <v>Aneks</v>
      </c>
      <c r="C365" s="74">
        <f t="shared" si="58"/>
        <v>4</v>
      </c>
      <c r="D365" s="74" t="str">
        <f t="shared" si="59"/>
        <v>01940155</v>
      </c>
      <c r="E365" s="74" t="str">
        <f t="shared" si="60"/>
        <v>4400929510006</v>
      </c>
      <c r="F365" s="74" t="b">
        <f t="shared" si="61"/>
        <v>0</v>
      </c>
      <c r="G365" s="359">
        <f t="shared" si="62"/>
        <v>44561</v>
      </c>
      <c r="H365" s="74">
        <f>VLOOKUP( $A365, Aop!$A$2:$N$415, 4, 0)</f>
        <v>656</v>
      </c>
      <c r="I365" s="74">
        <f t="shared" si="63"/>
        <v>2021</v>
      </c>
      <c r="J365" s="74"/>
      <c r="K365" s="74"/>
      <c r="L365" s="74">
        <f t="shared" ca="1" si="50"/>
        <v>10492</v>
      </c>
      <c r="M365" s="74">
        <f t="shared" ca="1" si="51"/>
        <v>11089</v>
      </c>
    </row>
    <row r="366" spans="1:13" x14ac:dyDescent="0.2">
      <c r="A366" s="144">
        <v>378</v>
      </c>
      <c r="B366" s="74" t="str">
        <f>VLOOKUP( $A366, Aop!$A$2:$N$415, 2, 0)</f>
        <v>Aneks</v>
      </c>
      <c r="C366" s="74">
        <f t="shared" si="58"/>
        <v>4</v>
      </c>
      <c r="D366" s="74" t="str">
        <f t="shared" si="59"/>
        <v>01940155</v>
      </c>
      <c r="E366" s="74" t="str">
        <f t="shared" si="60"/>
        <v>4400929510006</v>
      </c>
      <c r="F366" s="74" t="b">
        <f t="shared" si="61"/>
        <v>0</v>
      </c>
      <c r="G366" s="359">
        <f t="shared" si="62"/>
        <v>44561</v>
      </c>
      <c r="H366" s="74">
        <f>VLOOKUP( $A366, Aop!$A$2:$N$415, 4, 0)</f>
        <v>657</v>
      </c>
      <c r="I366" s="74">
        <f t="shared" si="63"/>
        <v>2021</v>
      </c>
      <c r="J366" s="74"/>
      <c r="K366" s="74"/>
      <c r="L366" s="74" t="str">
        <f t="shared" ca="1" si="50"/>
        <v/>
      </c>
      <c r="M366" s="74" t="str">
        <f t="shared" ca="1" si="51"/>
        <v/>
      </c>
    </row>
    <row r="367" spans="1:13" x14ac:dyDescent="0.2">
      <c r="A367" s="144">
        <v>379</v>
      </c>
      <c r="B367" s="74" t="str">
        <f>VLOOKUP( $A367, Aop!$A$2:$N$415, 2, 0)</f>
        <v>Aneks</v>
      </c>
      <c r="C367" s="74">
        <f t="shared" si="58"/>
        <v>4</v>
      </c>
      <c r="D367" s="74" t="str">
        <f t="shared" si="59"/>
        <v>01940155</v>
      </c>
      <c r="E367" s="74" t="str">
        <f t="shared" si="60"/>
        <v>4400929510006</v>
      </c>
      <c r="F367" s="74" t="b">
        <f t="shared" si="61"/>
        <v>0</v>
      </c>
      <c r="G367" s="359">
        <f t="shared" si="62"/>
        <v>44561</v>
      </c>
      <c r="H367" s="74">
        <f>VLOOKUP( $A367, Aop!$A$2:$N$415, 4, 0)</f>
        <v>658</v>
      </c>
      <c r="I367" s="74">
        <f t="shared" si="63"/>
        <v>2021</v>
      </c>
      <c r="J367" s="74"/>
      <c r="K367" s="74"/>
      <c r="L367" s="74">
        <f t="shared" ca="1" si="50"/>
        <v>23711</v>
      </c>
      <c r="M367" s="74">
        <f t="shared" ca="1" si="51"/>
        <v>21176</v>
      </c>
    </row>
    <row r="368" spans="1:13" x14ac:dyDescent="0.2">
      <c r="A368" s="144">
        <v>380</v>
      </c>
      <c r="B368" s="74" t="str">
        <f>VLOOKUP( $A368, Aop!$A$2:$N$415, 2, 0)</f>
        <v>Aneks</v>
      </c>
      <c r="C368" s="74">
        <f t="shared" si="58"/>
        <v>4</v>
      </c>
      <c r="D368" s="74" t="str">
        <f t="shared" si="59"/>
        <v>01940155</v>
      </c>
      <c r="E368" s="74" t="str">
        <f t="shared" si="60"/>
        <v>4400929510006</v>
      </c>
      <c r="F368" s="74" t="b">
        <f t="shared" si="61"/>
        <v>0</v>
      </c>
      <c r="G368" s="359">
        <f t="shared" si="62"/>
        <v>44561</v>
      </c>
      <c r="H368" s="74">
        <f>VLOOKUP( $A368, Aop!$A$2:$N$415, 4, 0)</f>
        <v>659</v>
      </c>
      <c r="I368" s="74">
        <f t="shared" si="63"/>
        <v>2021</v>
      </c>
      <c r="J368" s="74"/>
      <c r="K368" s="74"/>
      <c r="L368" s="74">
        <f t="shared" ca="1" si="50"/>
        <v>13277</v>
      </c>
      <c r="M368" s="74">
        <f t="shared" ca="1" si="51"/>
        <v>11358</v>
      </c>
    </row>
    <row r="369" spans="1:13" x14ac:dyDescent="0.2">
      <c r="A369" s="144">
        <v>381</v>
      </c>
      <c r="B369" s="74" t="str">
        <f>VLOOKUP( $A369, Aop!$A$2:$N$415, 2, 0)</f>
        <v>Aneks</v>
      </c>
      <c r="C369" s="74">
        <f t="shared" si="58"/>
        <v>4</v>
      </c>
      <c r="D369" s="74" t="str">
        <f t="shared" si="59"/>
        <v>01940155</v>
      </c>
      <c r="E369" s="74" t="str">
        <f t="shared" si="60"/>
        <v>4400929510006</v>
      </c>
      <c r="F369" s="74" t="b">
        <f t="shared" si="61"/>
        <v>0</v>
      </c>
      <c r="G369" s="359">
        <f t="shared" si="62"/>
        <v>44561</v>
      </c>
      <c r="H369" s="74">
        <f>VLOOKUP( $A369, Aop!$A$2:$N$415, 4, 0)</f>
        <v>660</v>
      </c>
      <c r="I369" s="74">
        <f t="shared" si="63"/>
        <v>2021</v>
      </c>
      <c r="J369" s="74"/>
      <c r="K369" s="74"/>
      <c r="L369" s="74" t="str">
        <f t="shared" ca="1" si="50"/>
        <v/>
      </c>
      <c r="M369" s="74" t="str">
        <f t="shared" ca="1" si="51"/>
        <v/>
      </c>
    </row>
    <row r="370" spans="1:13" x14ac:dyDescent="0.2">
      <c r="A370" s="144">
        <v>382</v>
      </c>
      <c r="B370" s="74" t="str">
        <f>VLOOKUP( $A370, Aop!$A$2:$N$415, 2, 0)</f>
        <v>Aneks</v>
      </c>
      <c r="C370" s="74">
        <f t="shared" si="58"/>
        <v>4</v>
      </c>
      <c r="D370" s="74" t="str">
        <f t="shared" si="59"/>
        <v>01940155</v>
      </c>
      <c r="E370" s="74" t="str">
        <f t="shared" si="60"/>
        <v>4400929510006</v>
      </c>
      <c r="F370" s="74" t="b">
        <f t="shared" si="61"/>
        <v>0</v>
      </c>
      <c r="G370" s="359">
        <f t="shared" si="62"/>
        <v>44561</v>
      </c>
      <c r="H370" s="74">
        <f>VLOOKUP( $A370, Aop!$A$2:$N$415, 4, 0)</f>
        <v>661</v>
      </c>
      <c r="I370" s="74">
        <f t="shared" si="63"/>
        <v>2021</v>
      </c>
      <c r="J370" s="74"/>
      <c r="K370" s="74"/>
      <c r="L370" s="74">
        <f t="shared" ca="1" si="50"/>
        <v>1789246</v>
      </c>
      <c r="M370" s="74">
        <f t="shared" ca="1" si="51"/>
        <v>1475812</v>
      </c>
    </row>
    <row r="371" spans="1:13" x14ac:dyDescent="0.2">
      <c r="A371" s="144">
        <v>383</v>
      </c>
      <c r="B371" s="74" t="str">
        <f>VLOOKUP( $A371, Aop!$A$2:$N$415, 2, 0)</f>
        <v>Aneks</v>
      </c>
      <c r="C371" s="74">
        <f t="shared" si="58"/>
        <v>4</v>
      </c>
      <c r="D371" s="74" t="str">
        <f t="shared" si="59"/>
        <v>01940155</v>
      </c>
      <c r="E371" s="74" t="str">
        <f t="shared" si="60"/>
        <v>4400929510006</v>
      </c>
      <c r="F371" s="74" t="b">
        <f t="shared" si="61"/>
        <v>0</v>
      </c>
      <c r="G371" s="359">
        <f t="shared" si="62"/>
        <v>44561</v>
      </c>
      <c r="H371" s="74">
        <f>VLOOKUP( $A371, Aop!$A$2:$N$415, 4, 0)</f>
        <v>662</v>
      </c>
      <c r="I371" s="74">
        <f t="shared" si="63"/>
        <v>2021</v>
      </c>
      <c r="J371" s="74"/>
      <c r="K371" s="74"/>
      <c r="L371" s="74">
        <f t="shared" ca="1" si="50"/>
        <v>1758895</v>
      </c>
      <c r="M371" s="74">
        <f t="shared" ca="1" si="51"/>
        <v>1357077</v>
      </c>
    </row>
    <row r="372" spans="1:13" x14ac:dyDescent="0.2">
      <c r="A372" s="144">
        <v>384</v>
      </c>
      <c r="B372" s="74" t="str">
        <f>VLOOKUP( $A372, Aop!$A$2:$N$415, 2, 0)</f>
        <v>Aneks</v>
      </c>
      <c r="C372" s="74">
        <f t="shared" si="58"/>
        <v>4</v>
      </c>
      <c r="D372" s="74" t="str">
        <f t="shared" si="59"/>
        <v>01940155</v>
      </c>
      <c r="E372" s="74" t="str">
        <f t="shared" si="60"/>
        <v>4400929510006</v>
      </c>
      <c r="F372" s="74" t="b">
        <f t="shared" si="61"/>
        <v>0</v>
      </c>
      <c r="G372" s="359">
        <f t="shared" si="62"/>
        <v>44561</v>
      </c>
      <c r="H372" s="74">
        <f>VLOOKUP( $A372, Aop!$A$2:$N$415, 4, 0)</f>
        <v>663</v>
      </c>
      <c r="I372" s="74">
        <f t="shared" si="63"/>
        <v>2021</v>
      </c>
      <c r="J372" s="74"/>
      <c r="K372" s="74"/>
      <c r="L372" s="74">
        <f t="shared" ca="1" si="50"/>
        <v>0</v>
      </c>
      <c r="M372" s="74">
        <f t="shared" ca="1" si="51"/>
        <v>39224</v>
      </c>
    </row>
    <row r="373" spans="1:13" x14ac:dyDescent="0.2">
      <c r="A373" s="144">
        <v>385</v>
      </c>
      <c r="B373" s="74" t="str">
        <f>VLOOKUP( $A373, Aop!$A$2:$N$415, 2, 0)</f>
        <v>Aneks</v>
      </c>
      <c r="C373" s="74">
        <f t="shared" si="58"/>
        <v>4</v>
      </c>
      <c r="D373" s="74" t="str">
        <f t="shared" si="59"/>
        <v>01940155</v>
      </c>
      <c r="E373" s="74" t="str">
        <f t="shared" si="60"/>
        <v>4400929510006</v>
      </c>
      <c r="F373" s="74" t="b">
        <f t="shared" si="61"/>
        <v>0</v>
      </c>
      <c r="G373" s="359">
        <f t="shared" si="62"/>
        <v>44561</v>
      </c>
      <c r="H373" s="74">
        <f>VLOOKUP( $A373, Aop!$A$2:$N$415, 4, 0)</f>
        <v>664</v>
      </c>
      <c r="I373" s="74">
        <f t="shared" si="63"/>
        <v>2021</v>
      </c>
      <c r="J373" s="74"/>
      <c r="K373" s="74"/>
      <c r="L373" s="74" t="str">
        <f t="shared" ca="1" si="50"/>
        <v/>
      </c>
      <c r="M373" s="74" t="str">
        <f t="shared" ca="1" si="51"/>
        <v/>
      </c>
    </row>
    <row r="374" spans="1:13" x14ac:dyDescent="0.2">
      <c r="A374" s="144">
        <v>386</v>
      </c>
      <c r="B374" s="74" t="str">
        <f>VLOOKUP( $A374, Aop!$A$2:$N$415, 2, 0)</f>
        <v>Aneks</v>
      </c>
      <c r="C374" s="74">
        <f t="shared" si="58"/>
        <v>4</v>
      </c>
      <c r="D374" s="74" t="str">
        <f t="shared" si="59"/>
        <v>01940155</v>
      </c>
      <c r="E374" s="74" t="str">
        <f t="shared" si="60"/>
        <v>4400929510006</v>
      </c>
      <c r="F374" s="74" t="b">
        <f t="shared" si="61"/>
        <v>0</v>
      </c>
      <c r="G374" s="359">
        <f t="shared" si="62"/>
        <v>44561</v>
      </c>
      <c r="H374" s="74">
        <f>VLOOKUP( $A374, Aop!$A$2:$N$415, 4, 0)</f>
        <v>665</v>
      </c>
      <c r="I374" s="74">
        <f t="shared" si="63"/>
        <v>2021</v>
      </c>
      <c r="J374" s="74"/>
      <c r="K374" s="74"/>
      <c r="L374" s="74">
        <f t="shared" ca="1" si="50"/>
        <v>1529299</v>
      </c>
      <c r="M374" s="74">
        <f t="shared" ca="1" si="51"/>
        <v>1148702</v>
      </c>
    </row>
    <row r="375" spans="1:13" x14ac:dyDescent="0.2">
      <c r="A375" s="144">
        <v>387</v>
      </c>
      <c r="B375" s="74" t="str">
        <f>VLOOKUP( $A375, Aop!$A$2:$N$415, 2, 0)</f>
        <v>Aneks</v>
      </c>
      <c r="C375" s="74">
        <f t="shared" si="58"/>
        <v>4</v>
      </c>
      <c r="D375" s="74" t="str">
        <f t="shared" si="59"/>
        <v>01940155</v>
      </c>
      <c r="E375" s="74" t="str">
        <f t="shared" si="60"/>
        <v>4400929510006</v>
      </c>
      <c r="F375" s="74" t="b">
        <f t="shared" si="61"/>
        <v>0</v>
      </c>
      <c r="G375" s="359">
        <f t="shared" si="62"/>
        <v>44561</v>
      </c>
      <c r="H375" s="74">
        <f>VLOOKUP( $A375, Aop!$A$2:$N$415, 4, 0)</f>
        <v>666</v>
      </c>
      <c r="I375" s="74">
        <f t="shared" si="63"/>
        <v>2021</v>
      </c>
      <c r="J375" s="74"/>
      <c r="K375" s="74"/>
      <c r="L375" s="74">
        <f t="shared" ca="1" si="50"/>
        <v>1529299</v>
      </c>
      <c r="M375" s="74">
        <f t="shared" ca="1" si="51"/>
        <v>1148702</v>
      </c>
    </row>
    <row r="376" spans="1:13" x14ac:dyDescent="0.2">
      <c r="A376" s="144">
        <v>388</v>
      </c>
      <c r="B376" s="74" t="str">
        <f>VLOOKUP( $A376, Aop!$A$2:$N$415, 2, 0)</f>
        <v>Aneks</v>
      </c>
      <c r="C376" s="74">
        <f t="shared" si="58"/>
        <v>4</v>
      </c>
      <c r="D376" s="74" t="str">
        <f t="shared" si="59"/>
        <v>01940155</v>
      </c>
      <c r="E376" s="74" t="str">
        <f t="shared" si="60"/>
        <v>4400929510006</v>
      </c>
      <c r="F376" s="74" t="b">
        <f t="shared" si="61"/>
        <v>0</v>
      </c>
      <c r="G376" s="359">
        <f t="shared" si="62"/>
        <v>44561</v>
      </c>
      <c r="H376" s="74">
        <f>VLOOKUP( $A376, Aop!$A$2:$N$415, 4, 0)</f>
        <v>667</v>
      </c>
      <c r="I376" s="74">
        <f t="shared" si="63"/>
        <v>2021</v>
      </c>
      <c r="J376" s="74"/>
      <c r="K376" s="74"/>
      <c r="L376" s="74" t="str">
        <f t="shared" ca="1" si="50"/>
        <v/>
      </c>
      <c r="M376" s="74" t="str">
        <f t="shared" ca="1" si="51"/>
        <v/>
      </c>
    </row>
    <row r="377" spans="1:13" x14ac:dyDescent="0.2">
      <c r="A377" s="144">
        <v>389</v>
      </c>
      <c r="B377" s="74" t="str">
        <f>VLOOKUP( $A377, Aop!$A$2:$N$415, 2, 0)</f>
        <v>Aneks</v>
      </c>
      <c r="C377" s="74">
        <f t="shared" si="58"/>
        <v>4</v>
      </c>
      <c r="D377" s="74" t="str">
        <f t="shared" si="59"/>
        <v>01940155</v>
      </c>
      <c r="E377" s="74" t="str">
        <f t="shared" si="60"/>
        <v>4400929510006</v>
      </c>
      <c r="F377" s="74" t="b">
        <f t="shared" si="61"/>
        <v>0</v>
      </c>
      <c r="G377" s="359">
        <f t="shared" si="62"/>
        <v>44561</v>
      </c>
      <c r="H377" s="74">
        <f>VLOOKUP( $A377, Aop!$A$2:$N$415, 4, 0)</f>
        <v>668</v>
      </c>
      <c r="I377" s="74">
        <f t="shared" si="63"/>
        <v>2021</v>
      </c>
      <c r="J377" s="74"/>
      <c r="K377" s="74"/>
      <c r="L377" s="74" t="str">
        <f t="shared" ca="1" si="50"/>
        <v/>
      </c>
      <c r="M377" s="74" t="str">
        <f t="shared" ca="1" si="51"/>
        <v/>
      </c>
    </row>
    <row r="378" spans="1:13" x14ac:dyDescent="0.2">
      <c r="A378" s="144">
        <v>390</v>
      </c>
      <c r="B378" s="74" t="str">
        <f>VLOOKUP( $A378, Aop!$A$2:$N$415, 2, 0)</f>
        <v>Aneks</v>
      </c>
      <c r="C378" s="74">
        <f t="shared" si="58"/>
        <v>4</v>
      </c>
      <c r="D378" s="74" t="str">
        <f t="shared" si="59"/>
        <v>01940155</v>
      </c>
      <c r="E378" s="74" t="str">
        <f t="shared" si="60"/>
        <v>4400929510006</v>
      </c>
      <c r="F378" s="74" t="b">
        <f t="shared" si="61"/>
        <v>0</v>
      </c>
      <c r="G378" s="359">
        <f t="shared" si="62"/>
        <v>44561</v>
      </c>
      <c r="H378" s="74">
        <f>VLOOKUP( $A378, Aop!$A$2:$N$415, 4, 0)</f>
        <v>669</v>
      </c>
      <c r="I378" s="74">
        <f t="shared" si="63"/>
        <v>2021</v>
      </c>
      <c r="J378" s="74"/>
      <c r="K378" s="74"/>
      <c r="L378" s="74" t="str">
        <f t="shared" ca="1" si="50"/>
        <v/>
      </c>
      <c r="M378" s="74" t="str">
        <f t="shared" ca="1" si="51"/>
        <v/>
      </c>
    </row>
    <row r="379" spans="1:13" x14ac:dyDescent="0.2">
      <c r="A379" s="144">
        <v>391</v>
      </c>
      <c r="B379" s="74" t="str">
        <f>VLOOKUP( $A379, Aop!$A$2:$N$415, 2, 0)</f>
        <v>Aneks</v>
      </c>
      <c r="C379" s="74">
        <f t="shared" si="58"/>
        <v>4</v>
      </c>
      <c r="D379" s="74" t="str">
        <f t="shared" si="59"/>
        <v>01940155</v>
      </c>
      <c r="E379" s="74" t="str">
        <f t="shared" si="60"/>
        <v>4400929510006</v>
      </c>
      <c r="F379" s="74" t="b">
        <f t="shared" si="61"/>
        <v>0</v>
      </c>
      <c r="G379" s="359">
        <f t="shared" si="62"/>
        <v>44561</v>
      </c>
      <c r="H379" s="74">
        <f>VLOOKUP( $A379, Aop!$A$2:$N$415, 4, 0)</f>
        <v>670</v>
      </c>
      <c r="I379" s="74">
        <f t="shared" si="63"/>
        <v>2021</v>
      </c>
      <c r="J379" s="74"/>
      <c r="K379" s="74"/>
      <c r="L379" s="74">
        <f t="shared" ca="1" si="50"/>
        <v>147258</v>
      </c>
      <c r="M379" s="74">
        <f t="shared" ca="1" si="51"/>
        <v>146111</v>
      </c>
    </row>
  </sheetData>
  <sheetProtection password="832E" sheet="1" objects="1" scenarios="1"/>
  <phoneticPr fontId="23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7" t="s">
        <v>1364</v>
      </c>
      <c r="B1" s="148" t="s">
        <v>1491</v>
      </c>
      <c r="C1" s="149" t="s">
        <v>1366</v>
      </c>
      <c r="D1" s="149" t="s">
        <v>1191</v>
      </c>
      <c r="E1" s="144" t="s">
        <v>1684</v>
      </c>
      <c r="F1" s="80" t="s">
        <v>1241</v>
      </c>
      <c r="G1" s="150" t="s">
        <v>1418</v>
      </c>
      <c r="H1" s="150" t="s">
        <v>1600</v>
      </c>
      <c r="I1" s="150" t="s">
        <v>1561</v>
      </c>
      <c r="J1" s="150" t="s">
        <v>1562</v>
      </c>
      <c r="K1" s="150" t="s">
        <v>1601</v>
      </c>
      <c r="L1" s="150" t="s">
        <v>1602</v>
      </c>
      <c r="M1" s="150" t="s">
        <v>1603</v>
      </c>
      <c r="N1" s="150" t="s">
        <v>1604</v>
      </c>
      <c r="O1" s="150" t="s">
        <v>1605</v>
      </c>
      <c r="P1" s="150" t="s">
        <v>1606</v>
      </c>
      <c r="Q1" s="150" t="s">
        <v>1607</v>
      </c>
    </row>
    <row r="2" spans="1:17" ht="13.5" thickTop="1" x14ac:dyDescent="0.2">
      <c r="A2" s="145">
        <v>392</v>
      </c>
      <c r="B2" s="146" t="str">
        <f>VLOOKUP( $A2, Aop!$A$2:$N$415, 2, 0)</f>
        <v>BPK</v>
      </c>
      <c r="C2" s="79" t="str">
        <f t="shared" ref="C2:C20" si="0">Podatak_MB</f>
        <v>01940155</v>
      </c>
      <c r="D2" s="79" t="str">
        <f t="shared" ref="D2:D20" si="1">Podatak_JIB</f>
        <v>4400929510006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88">
        <f t="shared" ref="H2:H20" si="4">Datum_Broj</f>
        <v>44561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2833016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341598</v>
      </c>
      <c r="N2" s="74">
        <f t="shared" ref="N2:N20" ca="1" si="10">IF(VLOOKUP($F2,INDIRECT("Lookup_"&amp;$B2),N$1-1,0)="","",VLOOKUP($F2,INDIRECT("Lookup_"&amp;$B2),N$1-1,0))</f>
        <v>240959</v>
      </c>
      <c r="O2" s="74">
        <f t="shared" ref="O2:O20" ca="1" si="11">IF(VLOOKUP($F2,INDIRECT("Lookup_"&amp;$B2),O$1-1,0)="","",VLOOKUP($F2,INDIRECT("Lookup_"&amp;$B2),O$1-1,0))</f>
        <v>3415573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3415573</v>
      </c>
    </row>
    <row r="3" spans="1:17" x14ac:dyDescent="0.2">
      <c r="A3" s="145">
        <v>393</v>
      </c>
      <c r="B3" s="146" t="str">
        <f>VLOOKUP( $A3, Aop!$A$2:$N$415, 2, 0)</f>
        <v>BPK</v>
      </c>
      <c r="C3" s="79" t="str">
        <f t="shared" si="0"/>
        <v>01940155</v>
      </c>
      <c r="D3" s="79" t="str">
        <f t="shared" si="1"/>
        <v>4400929510006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88">
        <f t="shared" si="4"/>
        <v>44561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5">
        <v>394</v>
      </c>
      <c r="B4" s="146" t="str">
        <f>VLOOKUP( $A4, Aop!$A$2:$N$415, 2, 0)</f>
        <v>BPK</v>
      </c>
      <c r="C4" s="79" t="str">
        <f t="shared" si="0"/>
        <v>01940155</v>
      </c>
      <c r="D4" s="79" t="str">
        <f t="shared" si="1"/>
        <v>4400929510006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88">
        <f t="shared" si="4"/>
        <v>44561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5">
        <v>395</v>
      </c>
      <c r="B5" s="146" t="str">
        <f>VLOOKUP( $A5, Aop!$A$2:$N$415, 2, 0)</f>
        <v>BPK</v>
      </c>
      <c r="C5" s="79" t="str">
        <f t="shared" si="0"/>
        <v>01940155</v>
      </c>
      <c r="D5" s="79" t="str">
        <f t="shared" si="1"/>
        <v>4400929510006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88">
        <f t="shared" si="4"/>
        <v>44561</v>
      </c>
      <c r="I5" s="79">
        <f t="shared" si="5"/>
        <v>4</v>
      </c>
      <c r="J5" s="74">
        <f t="shared" ca="1" si="6"/>
        <v>2833016</v>
      </c>
      <c r="K5" s="74">
        <f t="shared" ca="1" si="7"/>
        <v>0</v>
      </c>
      <c r="L5" s="74">
        <f t="shared" ca="1" si="8"/>
        <v>0</v>
      </c>
      <c r="M5" s="74">
        <f t="shared" ca="1" si="9"/>
        <v>341598</v>
      </c>
      <c r="N5" s="74">
        <f t="shared" ca="1" si="10"/>
        <v>240959</v>
      </c>
      <c r="O5" s="74">
        <f t="shared" ca="1" si="11"/>
        <v>3415573</v>
      </c>
      <c r="P5" s="74">
        <f t="shared" ca="1" si="12"/>
        <v>0</v>
      </c>
      <c r="Q5" s="74">
        <f t="shared" ca="1" si="13"/>
        <v>3415573</v>
      </c>
    </row>
    <row r="6" spans="1:17" x14ac:dyDescent="0.2">
      <c r="A6" s="145">
        <v>396</v>
      </c>
      <c r="B6" s="146" t="str">
        <f>VLOOKUP( $A6, Aop!$A$2:$N$415, 2, 0)</f>
        <v>BPK</v>
      </c>
      <c r="C6" s="79" t="str">
        <f t="shared" si="0"/>
        <v>01940155</v>
      </c>
      <c r="D6" s="79" t="str">
        <f t="shared" si="1"/>
        <v>4400929510006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88">
        <f t="shared" si="4"/>
        <v>44561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5">
        <v>397</v>
      </c>
      <c r="B7" s="146" t="str">
        <f>VLOOKUP( $A7, Aop!$A$2:$N$415, 2, 0)</f>
        <v>BPK</v>
      </c>
      <c r="C7" s="79" t="str">
        <f t="shared" si="0"/>
        <v>01940155</v>
      </c>
      <c r="D7" s="79" t="str">
        <f t="shared" si="1"/>
        <v>4400929510006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88">
        <f t="shared" si="4"/>
        <v>44561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5">
        <v>398</v>
      </c>
      <c r="B8" s="146" t="str">
        <f>VLOOKUP( $A8, Aop!$A$2:$N$415, 2, 0)</f>
        <v>BPK</v>
      </c>
      <c r="C8" s="79" t="str">
        <f t="shared" si="0"/>
        <v>01940155</v>
      </c>
      <c r="D8" s="79" t="str">
        <f t="shared" si="1"/>
        <v>4400929510006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88">
        <f t="shared" si="4"/>
        <v>44561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5">
        <v>399</v>
      </c>
      <c r="B9" s="146" t="str">
        <f>VLOOKUP( $A9, Aop!$A$2:$N$415, 2, 0)</f>
        <v>BPK</v>
      </c>
      <c r="C9" s="79" t="str">
        <f t="shared" si="0"/>
        <v>01940155</v>
      </c>
      <c r="D9" s="79" t="str">
        <f t="shared" si="1"/>
        <v>4400929510006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88">
        <f t="shared" si="4"/>
        <v>44561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7290</v>
      </c>
      <c r="O9" s="74">
        <f t="shared" ca="1" si="11"/>
        <v>7290</v>
      </c>
      <c r="P9" s="74" t="str">
        <f t="shared" ca="1" si="12"/>
        <v/>
      </c>
      <c r="Q9" s="74">
        <f t="shared" ca="1" si="13"/>
        <v>7290</v>
      </c>
    </row>
    <row r="10" spans="1:17" x14ac:dyDescent="0.2">
      <c r="A10" s="145">
        <v>400</v>
      </c>
      <c r="B10" s="146" t="str">
        <f>VLOOKUP( $A10, Aop!$A$2:$N$415, 2, 0)</f>
        <v>BPK</v>
      </c>
      <c r="C10" s="79" t="str">
        <f t="shared" si="0"/>
        <v>01940155</v>
      </c>
      <c r="D10" s="79" t="str">
        <f t="shared" si="1"/>
        <v>4400929510006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88">
        <f t="shared" si="4"/>
        <v>44561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5">
        <v>401</v>
      </c>
      <c r="B11" s="146" t="str">
        <f>VLOOKUP( $A11, Aop!$A$2:$N$415, 2, 0)</f>
        <v>BPK</v>
      </c>
      <c r="C11" s="79" t="str">
        <f t="shared" si="0"/>
        <v>01940155</v>
      </c>
      <c r="D11" s="79" t="str">
        <f t="shared" si="1"/>
        <v>4400929510006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88">
        <f t="shared" si="4"/>
        <v>44561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5">
        <v>402</v>
      </c>
      <c r="B12" s="146" t="str">
        <f>VLOOKUP( $A12, Aop!$A$2:$N$415, 2, 0)</f>
        <v>BPK</v>
      </c>
      <c r="C12" s="79" t="str">
        <f t="shared" si="0"/>
        <v>01940155</v>
      </c>
      <c r="D12" s="79" t="str">
        <f t="shared" si="1"/>
        <v>4400929510006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88">
        <f t="shared" si="4"/>
        <v>44561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>
        <f t="shared" ca="1" si="9"/>
        <v>-58296</v>
      </c>
      <c r="N12" s="74">
        <f t="shared" ca="1" si="10"/>
        <v>-75653</v>
      </c>
      <c r="O12" s="74">
        <f t="shared" ca="1" si="11"/>
        <v>-133949</v>
      </c>
      <c r="P12" s="74" t="str">
        <f t="shared" ca="1" si="12"/>
        <v/>
      </c>
      <c r="Q12" s="74">
        <f t="shared" ca="1" si="13"/>
        <v>-133949</v>
      </c>
    </row>
    <row r="13" spans="1:17" x14ac:dyDescent="0.2">
      <c r="A13" s="145">
        <v>403</v>
      </c>
      <c r="B13" s="146" t="str">
        <f>VLOOKUP( $A13, Aop!$A$2:$N$415, 2, 0)</f>
        <v>BPK</v>
      </c>
      <c r="C13" s="79" t="str">
        <f t="shared" si="0"/>
        <v>01940155</v>
      </c>
      <c r="D13" s="79" t="str">
        <f t="shared" si="1"/>
        <v>4400929510006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88">
        <f t="shared" si="4"/>
        <v>44561</v>
      </c>
      <c r="I13" s="79">
        <f t="shared" si="5"/>
        <v>4</v>
      </c>
      <c r="J13" s="74">
        <f t="shared" ca="1" si="6"/>
        <v>2833016</v>
      </c>
      <c r="K13" s="74">
        <f t="shared" ca="1" si="7"/>
        <v>0</v>
      </c>
      <c r="L13" s="74">
        <f t="shared" ca="1" si="8"/>
        <v>0</v>
      </c>
      <c r="M13" s="74">
        <f t="shared" ca="1" si="9"/>
        <v>283302</v>
      </c>
      <c r="N13" s="74">
        <f t="shared" ca="1" si="10"/>
        <v>172596</v>
      </c>
      <c r="O13" s="74">
        <f t="shared" ca="1" si="11"/>
        <v>3288914</v>
      </c>
      <c r="P13" s="74">
        <f t="shared" ca="1" si="12"/>
        <v>0</v>
      </c>
      <c r="Q13" s="74">
        <f t="shared" ca="1" si="13"/>
        <v>3288914</v>
      </c>
    </row>
    <row r="14" spans="1:17" x14ac:dyDescent="0.2">
      <c r="A14" s="145">
        <v>404</v>
      </c>
      <c r="B14" s="146" t="str">
        <f>VLOOKUP( $A14, Aop!$A$2:$N$415, 2, 0)</f>
        <v>BPK</v>
      </c>
      <c r="C14" s="79" t="str">
        <f t="shared" si="0"/>
        <v>01940155</v>
      </c>
      <c r="D14" s="79" t="str">
        <f t="shared" si="1"/>
        <v>4400929510006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88">
        <f t="shared" si="4"/>
        <v>44561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5">
        <v>405</v>
      </c>
      <c r="B15" s="146" t="str">
        <f>VLOOKUP( $A15, Aop!$A$2:$N$415, 2, 0)</f>
        <v>BPK</v>
      </c>
      <c r="C15" s="79" t="str">
        <f t="shared" si="0"/>
        <v>01940155</v>
      </c>
      <c r="D15" s="79" t="str">
        <f t="shared" si="1"/>
        <v>4400929510006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88">
        <f t="shared" si="4"/>
        <v>44561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5">
        <v>406</v>
      </c>
      <c r="B16" s="146" t="str">
        <f>VLOOKUP( $A16, Aop!$A$2:$N$415, 2, 0)</f>
        <v>BPK</v>
      </c>
      <c r="C16" s="79" t="str">
        <f t="shared" si="0"/>
        <v>01940155</v>
      </c>
      <c r="D16" s="79" t="str">
        <f t="shared" si="1"/>
        <v>4400929510006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88">
        <f t="shared" si="4"/>
        <v>44561</v>
      </c>
      <c r="I16" s="79">
        <f t="shared" si="5"/>
        <v>4</v>
      </c>
      <c r="J16" s="74">
        <f t="shared" ca="1" si="6"/>
        <v>2833016</v>
      </c>
      <c r="K16" s="74">
        <f t="shared" ca="1" si="7"/>
        <v>0</v>
      </c>
      <c r="L16" s="74">
        <f t="shared" ca="1" si="8"/>
        <v>0</v>
      </c>
      <c r="M16" s="74">
        <f t="shared" ca="1" si="9"/>
        <v>283302</v>
      </c>
      <c r="N16" s="74">
        <f t="shared" ca="1" si="10"/>
        <v>172596</v>
      </c>
      <c r="O16" s="74">
        <f t="shared" ca="1" si="11"/>
        <v>3288914</v>
      </c>
      <c r="P16" s="74">
        <f t="shared" ca="1" si="12"/>
        <v>0</v>
      </c>
      <c r="Q16" s="74">
        <f t="shared" ca="1" si="13"/>
        <v>3288914</v>
      </c>
    </row>
    <row r="17" spans="1:17" x14ac:dyDescent="0.2">
      <c r="A17" s="145">
        <v>407</v>
      </c>
      <c r="B17" s="146" t="str">
        <f>VLOOKUP( $A17, Aop!$A$2:$N$415, 2, 0)</f>
        <v>BPK</v>
      </c>
      <c r="C17" s="79" t="str">
        <f t="shared" si="0"/>
        <v>01940155</v>
      </c>
      <c r="D17" s="79" t="str">
        <f t="shared" si="1"/>
        <v>4400929510006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88">
        <f t="shared" si="4"/>
        <v>44561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5">
        <v>408</v>
      </c>
      <c r="B18" s="146" t="str">
        <f>VLOOKUP( $A18, Aop!$A$2:$N$415, 2, 0)</f>
        <v>BPK</v>
      </c>
      <c r="C18" s="79" t="str">
        <f t="shared" si="0"/>
        <v>01940155</v>
      </c>
      <c r="D18" s="79" t="str">
        <f t="shared" si="1"/>
        <v>4400929510006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88">
        <f t="shared" si="4"/>
        <v>44561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5">
        <v>409</v>
      </c>
      <c r="B19" s="146" t="str">
        <f>VLOOKUP( $A19, Aop!$A$2:$N$415, 2, 0)</f>
        <v>BPK</v>
      </c>
      <c r="C19" s="79" t="str">
        <f t="shared" si="0"/>
        <v>01940155</v>
      </c>
      <c r="D19" s="79" t="str">
        <f t="shared" si="1"/>
        <v>4400929510006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88">
        <f t="shared" si="4"/>
        <v>44561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5">
        <v>410</v>
      </c>
      <c r="B20" s="151" t="str">
        <f>VLOOKUP( $A20, Aop!$A$2:$N$415, 2, 0)</f>
        <v>BPK</v>
      </c>
      <c r="C20" s="79" t="str">
        <f t="shared" si="0"/>
        <v>01940155</v>
      </c>
      <c r="D20" s="79" t="str">
        <f t="shared" si="1"/>
        <v>4400929510006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88">
        <f t="shared" si="4"/>
        <v>44561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481465</v>
      </c>
      <c r="O20" s="74">
        <f t="shared" ca="1" si="11"/>
        <v>481465</v>
      </c>
      <c r="P20" s="74" t="str">
        <f t="shared" ca="1" si="12"/>
        <v/>
      </c>
      <c r="Q20" s="74">
        <f t="shared" ca="1" si="13"/>
        <v>481465</v>
      </c>
    </row>
    <row r="21" spans="1:17" x14ac:dyDescent="0.2">
      <c r="A21" s="145">
        <v>411</v>
      </c>
      <c r="B21" s="360" t="str">
        <f>VLOOKUP( $A21, Aop!$A$2:$N$415, 2, 0)</f>
        <v>BPK</v>
      </c>
      <c r="C21" s="74" t="str">
        <f>Podatak_MB</f>
        <v>01940155</v>
      </c>
      <c r="D21" s="74" t="str">
        <f>Podatak_JIB</f>
        <v>4400929510006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59">
        <f>Datum_Broj</f>
        <v>44561</v>
      </c>
      <c r="I21" s="74">
        <f>ID_Izvjestaj</f>
        <v>4</v>
      </c>
      <c r="J21" s="74" t="str">
        <f t="shared" ref="J21:Q24" ca="1" si="14">IF(VLOOKUP($F21,INDIRECT("Lookup_"&amp;$B21),J$1-1,0)="","",VLOOKUP($F21,INDIRECT("Lookup_"&amp;$B21),J$1-1,0))</f>
        <v/>
      </c>
      <c r="K21" s="74" t="str">
        <f t="shared" ca="1" si="14"/>
        <v/>
      </c>
      <c r="L21" s="74" t="str">
        <f t="shared" ca="1" si="14"/>
        <v/>
      </c>
      <c r="M21" s="74" t="str">
        <f t="shared" ca="1" si="14"/>
        <v/>
      </c>
      <c r="N21" s="74" t="str">
        <f t="shared" ca="1" si="14"/>
        <v/>
      </c>
      <c r="O21" s="74">
        <f t="shared" ca="1" si="14"/>
        <v>0</v>
      </c>
      <c r="P21" s="74" t="str">
        <f t="shared" ca="1" si="14"/>
        <v/>
      </c>
      <c r="Q21" s="74">
        <f t="shared" ca="1" si="14"/>
        <v>0</v>
      </c>
    </row>
    <row r="22" spans="1:17" x14ac:dyDescent="0.2">
      <c r="A22" s="145">
        <v>412</v>
      </c>
      <c r="B22" s="360" t="str">
        <f>VLOOKUP( $A22, Aop!$A$2:$N$415, 2, 0)</f>
        <v>BPK</v>
      </c>
      <c r="C22" s="74" t="str">
        <f>Podatak_MB</f>
        <v>01940155</v>
      </c>
      <c r="D22" s="74" t="str">
        <f>Podatak_JIB</f>
        <v>4400929510006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59">
        <f>Datum_Broj</f>
        <v>44561</v>
      </c>
      <c r="I22" s="74">
        <f>ID_Izvjestaj</f>
        <v>4</v>
      </c>
      <c r="J22" s="74" t="str">
        <f t="shared" ca="1" si="14"/>
        <v/>
      </c>
      <c r="K22" s="74" t="str">
        <f t="shared" ca="1" si="14"/>
        <v/>
      </c>
      <c r="L22" s="74" t="str">
        <f t="shared" ca="1" si="14"/>
        <v/>
      </c>
      <c r="M22" s="74" t="str">
        <f t="shared" ca="1" si="14"/>
        <v/>
      </c>
      <c r="N22" s="74" t="str">
        <f t="shared" ca="1" si="14"/>
        <v/>
      </c>
      <c r="O22" s="74">
        <f t="shared" ca="1" si="14"/>
        <v>0</v>
      </c>
      <c r="P22" s="74" t="str">
        <f t="shared" ca="1" si="14"/>
        <v/>
      </c>
      <c r="Q22" s="74">
        <f t="shared" ca="1" si="14"/>
        <v>0</v>
      </c>
    </row>
    <row r="23" spans="1:17" x14ac:dyDescent="0.2">
      <c r="A23" s="145">
        <v>413</v>
      </c>
      <c r="B23" s="360" t="str">
        <f>VLOOKUP( $A23, Aop!$A$2:$N$415, 2, 0)</f>
        <v>BPK</v>
      </c>
      <c r="C23" s="74" t="str">
        <f>Podatak_MB</f>
        <v>01940155</v>
      </c>
      <c r="D23" s="74" t="str">
        <f>Podatak_JIB</f>
        <v>4400929510006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59">
        <f>Datum_Broj</f>
        <v>44561</v>
      </c>
      <c r="I23" s="74">
        <f>ID_Izvjestaj</f>
        <v>4</v>
      </c>
      <c r="J23" s="74" t="str">
        <f t="shared" ca="1" si="14"/>
        <v/>
      </c>
      <c r="K23" s="74" t="str">
        <f t="shared" ca="1" si="14"/>
        <v/>
      </c>
      <c r="L23" s="74" t="str">
        <f t="shared" ca="1" si="14"/>
        <v/>
      </c>
      <c r="M23" s="74" t="str">
        <f t="shared" ca="1" si="14"/>
        <v/>
      </c>
      <c r="N23" s="74">
        <f t="shared" ca="1" si="14"/>
        <v>-42495</v>
      </c>
      <c r="O23" s="74">
        <f t="shared" ca="1" si="14"/>
        <v>-42495</v>
      </c>
      <c r="P23" s="74" t="str">
        <f t="shared" ca="1" si="14"/>
        <v/>
      </c>
      <c r="Q23" s="74">
        <f t="shared" ca="1" si="14"/>
        <v>-42495</v>
      </c>
    </row>
    <row r="24" spans="1:17" x14ac:dyDescent="0.2">
      <c r="A24" s="145">
        <v>414</v>
      </c>
      <c r="B24" s="360" t="str">
        <f>VLOOKUP( $A24, Aop!$A$2:$N$415, 2, 0)</f>
        <v>BPK</v>
      </c>
      <c r="C24" s="74" t="str">
        <f>Podatak_MB</f>
        <v>01940155</v>
      </c>
      <c r="D24" s="74" t="str">
        <f>Podatak_JIB</f>
        <v>4400929510006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59">
        <f>Datum_Broj</f>
        <v>44561</v>
      </c>
      <c r="I24" s="74">
        <f>ID_Izvjestaj</f>
        <v>4</v>
      </c>
      <c r="J24" s="74">
        <f t="shared" ca="1" si="14"/>
        <v>2833016</v>
      </c>
      <c r="K24" s="74">
        <f t="shared" ca="1" si="14"/>
        <v>0</v>
      </c>
      <c r="L24" s="74">
        <f t="shared" ca="1" si="14"/>
        <v>0</v>
      </c>
      <c r="M24" s="74">
        <f t="shared" ca="1" si="14"/>
        <v>283302</v>
      </c>
      <c r="N24" s="74">
        <f t="shared" ca="1" si="14"/>
        <v>611566</v>
      </c>
      <c r="O24" s="74">
        <f t="shared" ca="1" si="14"/>
        <v>3727884</v>
      </c>
      <c r="P24" s="74">
        <f t="shared" ca="1" si="14"/>
        <v>0</v>
      </c>
      <c r="Q24" s="74">
        <f t="shared" ca="1" si="14"/>
        <v>3727884</v>
      </c>
    </row>
  </sheetData>
  <sheetProtection password="832E" sheet="1" objects="1" scenarios="1"/>
  <phoneticPr fontId="23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F23" sqref="F23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5" t="s">
        <v>287</v>
      </c>
      <c r="C1" s="255" t="s">
        <v>1241</v>
      </c>
      <c r="D1" s="255" t="s">
        <v>288</v>
      </c>
      <c r="E1" s="255" t="s">
        <v>289</v>
      </c>
      <c r="F1" s="255" t="s">
        <v>290</v>
      </c>
      <c r="G1" s="255" t="s">
        <v>291</v>
      </c>
      <c r="H1" s="255" t="s">
        <v>292</v>
      </c>
      <c r="I1" s="255" t="s">
        <v>293</v>
      </c>
      <c r="J1" s="255" t="s">
        <v>294</v>
      </c>
      <c r="K1" s="255" t="s">
        <v>295</v>
      </c>
      <c r="L1" s="367" t="s">
        <v>1364</v>
      </c>
      <c r="M1" s="367" t="s">
        <v>1491</v>
      </c>
      <c r="P1" s="368" t="s">
        <v>302</v>
      </c>
    </row>
    <row r="2" spans="2:16" x14ac:dyDescent="0.2">
      <c r="B2" s="8">
        <f>VLOOKUP( APIF_Import!$M2, Podesavanja!$N$3:$Q$9, 4, 0)</f>
        <v>1</v>
      </c>
      <c r="C2" s="363">
        <f>VLOOKUP( APIF_Import!$L2, Aop!$A$2:$N$415, 4, 0)</f>
        <v>1</v>
      </c>
      <c r="D2" s="364" t="str">
        <f ca="1">IF( ISNA( VLOOKUP( APIF_Import!$M2 &amp; APIF_Import!$D$1,Podesavanja!$AA$3:$AD$24, 4, 0)), "", SUBSTITUTE( VALUE( VLOOKUP( APIF_Import!$C2, INDIRECT( "Lookup_" &amp; APIF_Import!$M2), VLOOKUP( APIF_Import!$M2 &amp; APIF_Import!$D$1,Podesavanja!$AA$3:$AD$24, 4, 0), 0)), ".", ","))</f>
        <v>6598841</v>
      </c>
      <c r="E2" s="364" t="str">
        <f ca="1">IF( ISNA( VLOOKUP( APIF_Import!$M2 &amp; APIF_Import!$E$1,Podesavanja!$AA$3:$AD$24, 4, 0)), "", SUBSTITUTE( VALUE( VLOOKUP( APIF_Import!$C2, INDIRECT( "Lookup_" &amp; APIF_Import!$M2), VLOOKUP( APIF_Import!$M2 &amp; APIF_Import!$E$1,Podesavanja!$AA$3:$AD$24, 4, 0), 0)), ".", ","))</f>
        <v>2958196</v>
      </c>
      <c r="F2" s="364">
        <f ca="1">IF( ISNA( VLOOKUP( APIF_Import!$M2 &amp; APIF_Import!$F$1,Podesavanja!$AA$3:$AD$24, 4, 0)), "", VLOOKUP( APIF_Import!$C2, INDIRECT( "Lookup_" &amp; APIF_Import!$M2), VLOOKUP( APIF_Import!$M2 &amp; APIF_Import!$F$1,Podesavanja!$AA$3:$AD$24, 4, 0), 0))</f>
        <v>3640645</v>
      </c>
      <c r="G2" s="364">
        <f ca="1">IF( ISNA( VLOOKUP( APIF_Import!$M2 &amp; APIF_Import!$G$1,Podesavanja!$AA$3:$AD$24, 4, 0)), "", VLOOKUP( APIF_Import!$C2, INDIRECT( "Lookup_" &amp; APIF_Import!$M2), VLOOKUP( APIF_Import!$M2 &amp; APIF_Import!$G$1,Podesavanja!$AA$3:$AD$24, 4, 0), 0))</f>
        <v>3637659</v>
      </c>
      <c r="H2" s="364" t="str">
        <f ca="1">IF( ISNA( VLOOKUP( APIF_Import!$M2 &amp; APIF_Import!$H$1,Podesavanja!$AA$3:$AD$24, 4, 0)), "", VLOOKUP( APIF_Import!$C2, INDIRECT( "Lookup_" &amp; APIF_Import!$M2), VLOOKUP( APIF_Import!$M2 &amp; APIF_Import!$H$1,Podesavanja!$AA$3:$AD$24, 4, 0), 0))</f>
        <v/>
      </c>
      <c r="I2" s="364" t="str">
        <f ca="1">IF( ISNA( VLOOKUP( APIF_Import!$M2 &amp; APIF_Import!$I$1,Podesavanja!$AA$3:$AD$24, 4, 0)), "", VLOOKUP( APIF_Import!$C2, INDIRECT( "Lookup_" &amp; APIF_Import!$M2), VLOOKUP( APIF_Import!$M2 &amp; APIF_Import!$I$1,Podesavanja!$AA$3:$AD$24, 4, 0), 0))</f>
        <v/>
      </c>
      <c r="J2" s="364" t="str">
        <f ca="1">IF( ISNA( VLOOKUP( APIF_Import!$M2 &amp; APIF_Import!$J$1,Podesavanja!$AA$3:$AD$24, 4, 0)), "", VLOOKUP( APIF_Import!$C2, INDIRECT( "Lookup_" &amp; APIF_Import!$M2), VLOOKUP( APIF_Import!$M2 &amp; APIF_Import!$J$1,Podesavanja!$AA$3:$AD$24, 4, 0), 0))</f>
        <v/>
      </c>
      <c r="K2" s="364" t="str">
        <f ca="1">IF( ISNA( VLOOKUP( APIF_Import!$M2 &amp; APIF_Import!$K$1,Podesavanja!$AA$3:$AD$24, 4, 0)), "", VLOOKUP( APIF_Import!$C2, INDIRECT( "Lookup_" &amp; APIF_Import!$M2), VLOOKUP( APIF_Import!$M2 &amp; APIF_Import!$K$1,Podesavanja!$AA$3:$AD$24, 4, 0), 0))</f>
        <v/>
      </c>
      <c r="L2" s="8">
        <v>2</v>
      </c>
      <c r="M2" s="8" t="str">
        <f>VLOOKUP( APIF_Import!$L2, Aop!$A$2:$N$415, 2, 0)</f>
        <v>BSa</v>
      </c>
      <c r="O2" s="8">
        <v>1</v>
      </c>
      <c r="P2" s="8" t="s">
        <v>305</v>
      </c>
    </row>
    <row r="3" spans="2:16" x14ac:dyDescent="0.2">
      <c r="B3" s="8">
        <f>VLOOKUP( APIF_Import!$M3, Podesavanja!$N$3:$Q$9, 4, 0)</f>
        <v>1</v>
      </c>
      <c r="C3" s="363">
        <f>VLOOKUP( APIF_Import!$L3, Aop!$A$2:$N$415, 4, 0)</f>
        <v>2</v>
      </c>
      <c r="D3" s="364" t="str">
        <f ca="1">IF( ISNA( VLOOKUP( APIF_Import!$M3 &amp; APIF_Import!$D$1,Podesavanja!$AA$3:$AD$24, 4, 0)), "", SUBSTITUTE( VALUE( VLOOKUP( APIF_Import!$C3, INDIRECT( "Lookup_" &amp; APIF_Import!$M3), VLOOKUP( APIF_Import!$M3 &amp; APIF_Import!$D$1,Podesavanja!$AA$3:$AD$24, 4, 0), 0)), ".", ","))</f>
        <v>0</v>
      </c>
      <c r="E3" s="364" t="str">
        <f ca="1">IF( ISNA( VLOOKUP( APIF_Import!$M3 &amp; APIF_Import!$E$1,Podesavanja!$AA$3:$AD$24, 4, 0)), "", SUBSTITUTE( VALUE( VLOOKUP( APIF_Import!$C3, INDIRECT( "Lookup_" &amp; APIF_Import!$M3), VLOOKUP( APIF_Import!$M3 &amp; APIF_Import!$E$1,Podesavanja!$AA$3:$AD$24, 4, 0), 0)), ".", ","))</f>
        <v>0</v>
      </c>
      <c r="F3" s="364">
        <f ca="1">IF( ISNA( VLOOKUP( APIF_Import!$M3 &amp; APIF_Import!$F$1,Podesavanja!$AA$3:$AD$24, 4, 0)), "", VLOOKUP( APIF_Import!$C3, INDIRECT( "Lookup_" &amp; APIF_Import!$M3), VLOOKUP( APIF_Import!$M3 &amp; APIF_Import!$F$1,Podesavanja!$AA$3:$AD$24, 4, 0), 0))</f>
        <v>0</v>
      </c>
      <c r="G3" s="364">
        <f ca="1">IF( ISNA( VLOOKUP( APIF_Import!$M3 &amp; APIF_Import!$G$1,Podesavanja!$AA$3:$AD$24, 4, 0)), "", VLOOKUP( APIF_Import!$C3, INDIRECT( "Lookup_" &amp; APIF_Import!$M3), VLOOKUP( APIF_Import!$M3 &amp; APIF_Import!$G$1,Podesavanja!$AA$3:$AD$24, 4, 0), 0))</f>
        <v>0</v>
      </c>
      <c r="H3" s="364" t="str">
        <f ca="1">IF( ISNA( VLOOKUP( APIF_Import!$M3 &amp; APIF_Import!$H$1,Podesavanja!$AA$3:$AD$24, 4, 0)), "", VLOOKUP( APIF_Import!$C3, INDIRECT( "Lookup_" &amp; APIF_Import!$M3), VLOOKUP( APIF_Import!$M3 &amp; APIF_Import!$H$1,Podesavanja!$AA$3:$AD$24, 4, 0), 0))</f>
        <v/>
      </c>
      <c r="I3" s="364" t="str">
        <f ca="1">IF( ISNA( VLOOKUP( APIF_Import!$M3 &amp; APIF_Import!$I$1,Podesavanja!$AA$3:$AD$24, 4, 0)), "", VLOOKUP( APIF_Import!$C3, INDIRECT( "Lookup_" &amp; APIF_Import!$M3), VLOOKUP( APIF_Import!$M3 &amp; APIF_Import!$I$1,Podesavanja!$AA$3:$AD$24, 4, 0), 0))</f>
        <v/>
      </c>
      <c r="J3" s="364" t="str">
        <f ca="1">IF( ISNA( VLOOKUP( APIF_Import!$M3 &amp; APIF_Import!$J$1,Podesavanja!$AA$3:$AD$24, 4, 0)), "", VLOOKUP( APIF_Import!$C3, INDIRECT( "Lookup_" &amp; APIF_Import!$M3), VLOOKUP( APIF_Import!$M3 &amp; APIF_Import!$J$1,Podesavanja!$AA$3:$AD$24, 4, 0), 0))</f>
        <v/>
      </c>
      <c r="K3" s="364" t="str">
        <f ca="1">IF( ISNA( VLOOKUP( APIF_Import!$M3 &amp; APIF_Import!$K$1,Podesavanja!$AA$3:$AD$24, 4, 0)), "", VLOOKUP( APIF_Import!$C3, INDIRECT( "Lookup_" &amp; APIF_Import!$M3), VLOOKUP( APIF_Import!$M3 &amp; APIF_Import!$K$1,Podesavanja!$AA$3:$AD$24, 4, 0), 0))</f>
        <v/>
      </c>
      <c r="L3" s="8">
        <v>3</v>
      </c>
      <c r="M3" s="8" t="s">
        <v>297</v>
      </c>
    </row>
    <row r="4" spans="2:16" x14ac:dyDescent="0.2">
      <c r="B4" s="8">
        <f>VLOOKUP( APIF_Import!$M4, Podesavanja!$N$3:$Q$9, 4, 0)</f>
        <v>1</v>
      </c>
      <c r="C4" s="363">
        <f>VLOOKUP( APIF_Import!$L4, Aop!$A$2:$N$415, 4, 0)</f>
        <v>3</v>
      </c>
      <c r="D4" s="364" t="str">
        <f ca="1">IF( ISNA( VLOOKUP( APIF_Import!$M4 &amp; APIF_Import!$D$1,Podesavanja!$AA$3:$AD$24, 4, 0)), "", SUBSTITUTE( VALUE( VLOOKUP( APIF_Import!$C4, INDIRECT( "Lookup_" &amp; APIF_Import!$M4), VLOOKUP( APIF_Import!$M4 &amp; APIF_Import!$D$1,Podesavanja!$AA$3:$AD$24, 4, 0), 0)), ".", ","))</f>
        <v>0</v>
      </c>
      <c r="E4" s="364" t="str">
        <f ca="1">IF( ISNA( VLOOKUP( APIF_Import!$M4 &amp; APIF_Import!$E$1,Podesavanja!$AA$3:$AD$24, 4, 0)), "", SUBSTITUTE( VALUE( VLOOKUP( APIF_Import!$C4, INDIRECT( "Lookup_" &amp; APIF_Import!$M4), VLOOKUP( APIF_Import!$M4 &amp; APIF_Import!$E$1,Podesavanja!$AA$3:$AD$24, 4, 0), 0)), ".", ","))</f>
        <v>0</v>
      </c>
      <c r="F4" s="364">
        <f ca="1">IF( ISNA( VLOOKUP( APIF_Import!$M4 &amp; APIF_Import!$F$1,Podesavanja!$AA$3:$AD$24, 4, 0)), "", VLOOKUP( APIF_Import!$C4, INDIRECT( "Lookup_" &amp; APIF_Import!$M4), VLOOKUP( APIF_Import!$M4 &amp; APIF_Import!$F$1,Podesavanja!$AA$3:$AD$24, 4, 0), 0))</f>
        <v>0</v>
      </c>
      <c r="G4" s="364">
        <f ca="1">IF( ISNA( VLOOKUP( APIF_Import!$M4 &amp; APIF_Import!$G$1,Podesavanja!$AA$3:$AD$24, 4, 0)), "", VLOOKUP( APIF_Import!$C4, INDIRECT( "Lookup_" &amp; APIF_Import!$M4), VLOOKUP( APIF_Import!$M4 &amp; APIF_Import!$G$1,Podesavanja!$AA$3:$AD$24, 4, 0), 0))</f>
        <v>0</v>
      </c>
      <c r="H4" s="364" t="str">
        <f ca="1">IF( ISNA( VLOOKUP( APIF_Import!$M4 &amp; APIF_Import!$H$1,Podesavanja!$AA$3:$AD$24, 4, 0)), "", VLOOKUP( APIF_Import!$C4, INDIRECT( "Lookup_" &amp; APIF_Import!$M4), VLOOKUP( APIF_Import!$M4 &amp; APIF_Import!$H$1,Podesavanja!$AA$3:$AD$24, 4, 0), 0))</f>
        <v/>
      </c>
      <c r="I4" s="364" t="str">
        <f ca="1">IF( ISNA( VLOOKUP( APIF_Import!$M4 &amp; APIF_Import!$I$1,Podesavanja!$AA$3:$AD$24, 4, 0)), "", VLOOKUP( APIF_Import!$C4, INDIRECT( "Lookup_" &amp; APIF_Import!$M4), VLOOKUP( APIF_Import!$M4 &amp; APIF_Import!$I$1,Podesavanja!$AA$3:$AD$24, 4, 0), 0))</f>
        <v/>
      </c>
      <c r="J4" s="364" t="str">
        <f ca="1">IF( ISNA( VLOOKUP( APIF_Import!$M4 &amp; APIF_Import!$J$1,Podesavanja!$AA$3:$AD$24, 4, 0)), "", VLOOKUP( APIF_Import!$C4, INDIRECT( "Lookup_" &amp; APIF_Import!$M4), VLOOKUP( APIF_Import!$M4 &amp; APIF_Import!$J$1,Podesavanja!$AA$3:$AD$24, 4, 0), 0))</f>
        <v/>
      </c>
      <c r="K4" s="364" t="str">
        <f ca="1">IF( ISNA( VLOOKUP( APIF_Import!$M4 &amp; APIF_Import!$K$1,Podesavanja!$AA$3:$AD$24, 4, 0)), "", VLOOKUP( APIF_Import!$C4, INDIRECT( "Lookup_" &amp; APIF_Import!$M4), VLOOKUP( APIF_Import!$M4 &amp; APIF_Import!$K$1,Podesavanja!$AA$3:$AD$24, 4, 0), 0))</f>
        <v/>
      </c>
      <c r="L4" s="8">
        <v>4</v>
      </c>
      <c r="M4" s="8" t="s">
        <v>297</v>
      </c>
    </row>
    <row r="5" spans="2:16" x14ac:dyDescent="0.2">
      <c r="B5" s="8">
        <f>VLOOKUP( APIF_Import!$M5, Podesavanja!$N$3:$Q$9, 4, 0)</f>
        <v>1</v>
      </c>
      <c r="C5" s="363">
        <f>VLOOKUP( APIF_Import!$L5, Aop!$A$2:$N$415, 4, 0)</f>
        <v>4</v>
      </c>
      <c r="D5" s="364" t="str">
        <f ca="1">IF( ISNA( VLOOKUP( APIF_Import!$M5 &amp; APIF_Import!$D$1,Podesavanja!$AA$3:$AD$24, 4, 0)), "", SUBSTITUTE( VALUE( VLOOKUP( APIF_Import!$C5, INDIRECT( "Lookup_" &amp; APIF_Import!$M5), VLOOKUP( APIF_Import!$M5 &amp; APIF_Import!$D$1,Podesavanja!$AA$3:$AD$24, 4, 0), 0)), ".", ","))</f>
        <v>0</v>
      </c>
      <c r="E5" s="364" t="str">
        <f ca="1">IF( ISNA( VLOOKUP( APIF_Import!$M5 &amp; APIF_Import!$E$1,Podesavanja!$AA$3:$AD$24, 4, 0)), "", SUBSTITUTE( VALUE( VLOOKUP( APIF_Import!$C5, INDIRECT( "Lookup_" &amp; APIF_Import!$M5), VLOOKUP( APIF_Import!$M5 &amp; APIF_Import!$E$1,Podesavanja!$AA$3:$AD$24, 4, 0), 0)), ".", ","))</f>
        <v>0</v>
      </c>
      <c r="F5" s="364">
        <f ca="1">IF( ISNA( VLOOKUP( APIF_Import!$M5 &amp; APIF_Import!$F$1,Podesavanja!$AA$3:$AD$24, 4, 0)), "", VLOOKUP( APIF_Import!$C5, INDIRECT( "Lookup_" &amp; APIF_Import!$M5), VLOOKUP( APIF_Import!$M5 &amp; APIF_Import!$F$1,Podesavanja!$AA$3:$AD$24, 4, 0), 0))</f>
        <v>0</v>
      </c>
      <c r="G5" s="364">
        <f ca="1">IF( ISNA( VLOOKUP( APIF_Import!$M5 &amp; APIF_Import!$G$1,Podesavanja!$AA$3:$AD$24, 4, 0)), "", VLOOKUP( APIF_Import!$C5, INDIRECT( "Lookup_" &amp; APIF_Import!$M5), VLOOKUP( APIF_Import!$M5 &amp; APIF_Import!$G$1,Podesavanja!$AA$3:$AD$24, 4, 0), 0))</f>
        <v>0</v>
      </c>
      <c r="H5" s="364" t="str">
        <f ca="1">IF( ISNA( VLOOKUP( APIF_Import!$M5 &amp; APIF_Import!$H$1,Podesavanja!$AA$3:$AD$24, 4, 0)), "", VLOOKUP( APIF_Import!$C5, INDIRECT( "Lookup_" &amp; APIF_Import!$M5), VLOOKUP( APIF_Import!$M5 &amp; APIF_Import!$H$1,Podesavanja!$AA$3:$AD$24, 4, 0), 0))</f>
        <v/>
      </c>
      <c r="I5" s="364" t="str">
        <f ca="1">IF( ISNA( VLOOKUP( APIF_Import!$M5 &amp; APIF_Import!$I$1,Podesavanja!$AA$3:$AD$24, 4, 0)), "", VLOOKUP( APIF_Import!$C5, INDIRECT( "Lookup_" &amp; APIF_Import!$M5), VLOOKUP( APIF_Import!$M5 &amp; APIF_Import!$I$1,Podesavanja!$AA$3:$AD$24, 4, 0), 0))</f>
        <v/>
      </c>
      <c r="J5" s="364" t="str">
        <f ca="1">IF( ISNA( VLOOKUP( APIF_Import!$M5 &amp; APIF_Import!$J$1,Podesavanja!$AA$3:$AD$24, 4, 0)), "", VLOOKUP( APIF_Import!$C5, INDIRECT( "Lookup_" &amp; APIF_Import!$M5), VLOOKUP( APIF_Import!$M5 &amp; APIF_Import!$J$1,Podesavanja!$AA$3:$AD$24, 4, 0), 0))</f>
        <v/>
      </c>
      <c r="K5" s="364" t="str">
        <f ca="1">IF( ISNA( VLOOKUP( APIF_Import!$M5 &amp; APIF_Import!$K$1,Podesavanja!$AA$3:$AD$24, 4, 0)), "", VLOOKUP( APIF_Import!$C5, INDIRECT( "Lookup_" &amp; APIF_Import!$M5), VLOOKUP( APIF_Import!$M5 &amp; APIF_Import!$K$1,Podesavanja!$AA$3:$AD$24, 4, 0), 0))</f>
        <v/>
      </c>
      <c r="L5" s="8">
        <v>5</v>
      </c>
      <c r="M5" s="8" t="s">
        <v>297</v>
      </c>
    </row>
    <row r="6" spans="2:16" x14ac:dyDescent="0.2">
      <c r="B6" s="8">
        <f>VLOOKUP( APIF_Import!$M6, Podesavanja!$N$3:$Q$9, 4, 0)</f>
        <v>1</v>
      </c>
      <c r="C6" s="363">
        <f>VLOOKUP( APIF_Import!$L6, Aop!$A$2:$N$415, 4, 0)</f>
        <v>5</v>
      </c>
      <c r="D6" s="364" t="str">
        <f ca="1">IF( ISNA( VLOOKUP( APIF_Import!$M6 &amp; APIF_Import!$D$1,Podesavanja!$AA$3:$AD$24, 4, 0)), "", SUBSTITUTE( VALUE( VLOOKUP( APIF_Import!$C6, INDIRECT( "Lookup_" &amp; APIF_Import!$M6), VLOOKUP( APIF_Import!$M6 &amp; APIF_Import!$D$1,Podesavanja!$AA$3:$AD$24, 4, 0), 0)), ".", ","))</f>
        <v>0</v>
      </c>
      <c r="E6" s="364" t="str">
        <f ca="1">IF( ISNA( VLOOKUP( APIF_Import!$M6 &amp; APIF_Import!$E$1,Podesavanja!$AA$3:$AD$24, 4, 0)), "", SUBSTITUTE( VALUE( VLOOKUP( APIF_Import!$C6, INDIRECT( "Lookup_" &amp; APIF_Import!$M6), VLOOKUP( APIF_Import!$M6 &amp; APIF_Import!$E$1,Podesavanja!$AA$3:$AD$24, 4, 0), 0)), ".", ","))</f>
        <v>0</v>
      </c>
      <c r="F6" s="364">
        <f ca="1">IF( ISNA( VLOOKUP( APIF_Import!$M6 &amp; APIF_Import!$F$1,Podesavanja!$AA$3:$AD$24, 4, 0)), "", VLOOKUP( APIF_Import!$C6, INDIRECT( "Lookup_" &amp; APIF_Import!$M6), VLOOKUP( APIF_Import!$M6 &amp; APIF_Import!$F$1,Podesavanja!$AA$3:$AD$24, 4, 0), 0))</f>
        <v>0</v>
      </c>
      <c r="G6" s="364">
        <f ca="1">IF( ISNA( VLOOKUP( APIF_Import!$M6 &amp; APIF_Import!$G$1,Podesavanja!$AA$3:$AD$24, 4, 0)), "", VLOOKUP( APIF_Import!$C6, INDIRECT( "Lookup_" &amp; APIF_Import!$M6), VLOOKUP( APIF_Import!$M6 &amp; APIF_Import!$G$1,Podesavanja!$AA$3:$AD$24, 4, 0), 0))</f>
        <v>0</v>
      </c>
      <c r="H6" s="364" t="str">
        <f ca="1">IF( ISNA( VLOOKUP( APIF_Import!$M6 &amp; APIF_Import!$H$1,Podesavanja!$AA$3:$AD$24, 4, 0)), "", VLOOKUP( APIF_Import!$C6, INDIRECT( "Lookup_" &amp; APIF_Import!$M6), VLOOKUP( APIF_Import!$M6 &amp; APIF_Import!$H$1,Podesavanja!$AA$3:$AD$24, 4, 0), 0))</f>
        <v/>
      </c>
      <c r="I6" s="364" t="str">
        <f ca="1">IF( ISNA( VLOOKUP( APIF_Import!$M6 &amp; APIF_Import!$I$1,Podesavanja!$AA$3:$AD$24, 4, 0)), "", VLOOKUP( APIF_Import!$C6, INDIRECT( "Lookup_" &amp; APIF_Import!$M6), VLOOKUP( APIF_Import!$M6 &amp; APIF_Import!$I$1,Podesavanja!$AA$3:$AD$24, 4, 0), 0))</f>
        <v/>
      </c>
      <c r="J6" s="364" t="str">
        <f ca="1">IF( ISNA( VLOOKUP( APIF_Import!$M6 &amp; APIF_Import!$J$1,Podesavanja!$AA$3:$AD$24, 4, 0)), "", VLOOKUP( APIF_Import!$C6, INDIRECT( "Lookup_" &amp; APIF_Import!$M6), VLOOKUP( APIF_Import!$M6 &amp; APIF_Import!$J$1,Podesavanja!$AA$3:$AD$24, 4, 0), 0))</f>
        <v/>
      </c>
      <c r="K6" s="364" t="str">
        <f ca="1">IF( ISNA( VLOOKUP( APIF_Import!$M6 &amp; APIF_Import!$K$1,Podesavanja!$AA$3:$AD$24, 4, 0)), "", VLOOKUP( APIF_Import!$C6, INDIRECT( "Lookup_" &amp; APIF_Import!$M6), VLOOKUP( APIF_Import!$M6 &amp; APIF_Import!$K$1,Podesavanja!$AA$3:$AD$24, 4, 0), 0))</f>
        <v/>
      </c>
      <c r="L6" s="8">
        <v>6</v>
      </c>
      <c r="M6" s="8" t="s">
        <v>297</v>
      </c>
    </row>
    <row r="7" spans="2:16" x14ac:dyDescent="0.2">
      <c r="B7" s="8">
        <f>VLOOKUP( APIF_Import!$M7, Podesavanja!$N$3:$Q$9, 4, 0)</f>
        <v>1</v>
      </c>
      <c r="C7" s="363">
        <f>VLOOKUP( APIF_Import!$L7, Aop!$A$2:$N$415, 4, 0)</f>
        <v>6</v>
      </c>
      <c r="D7" s="364" t="str">
        <f ca="1">IF( ISNA( VLOOKUP( APIF_Import!$M7 &amp; APIF_Import!$D$1,Podesavanja!$AA$3:$AD$24, 4, 0)), "", SUBSTITUTE( VALUE( VLOOKUP( APIF_Import!$C7, INDIRECT( "Lookup_" &amp; APIF_Import!$M7), VLOOKUP( APIF_Import!$M7 &amp; APIF_Import!$D$1,Podesavanja!$AA$3:$AD$24, 4, 0), 0)), ".", ","))</f>
        <v>0</v>
      </c>
      <c r="E7" s="364" t="str">
        <f ca="1">IF( ISNA( VLOOKUP( APIF_Import!$M7 &amp; APIF_Import!$E$1,Podesavanja!$AA$3:$AD$24, 4, 0)), "", SUBSTITUTE( VALUE( VLOOKUP( APIF_Import!$C7, INDIRECT( "Lookup_" &amp; APIF_Import!$M7), VLOOKUP( APIF_Import!$M7 &amp; APIF_Import!$E$1,Podesavanja!$AA$3:$AD$24, 4, 0), 0)), ".", ","))</f>
        <v>0</v>
      </c>
      <c r="F7" s="364">
        <f ca="1">IF( ISNA( VLOOKUP( APIF_Import!$M7 &amp; APIF_Import!$F$1,Podesavanja!$AA$3:$AD$24, 4, 0)), "", VLOOKUP( APIF_Import!$C7, INDIRECT( "Lookup_" &amp; APIF_Import!$M7), VLOOKUP( APIF_Import!$M7 &amp; APIF_Import!$F$1,Podesavanja!$AA$3:$AD$24, 4, 0), 0))</f>
        <v>0</v>
      </c>
      <c r="G7" s="364">
        <f ca="1">IF( ISNA( VLOOKUP( APIF_Import!$M7 &amp; APIF_Import!$G$1,Podesavanja!$AA$3:$AD$24, 4, 0)), "", VLOOKUP( APIF_Import!$C7, INDIRECT( "Lookup_" &amp; APIF_Import!$M7), VLOOKUP( APIF_Import!$M7 &amp; APIF_Import!$G$1,Podesavanja!$AA$3:$AD$24, 4, 0), 0))</f>
        <v>0</v>
      </c>
      <c r="H7" s="364" t="str">
        <f ca="1">IF( ISNA( VLOOKUP( APIF_Import!$M7 &amp; APIF_Import!$H$1,Podesavanja!$AA$3:$AD$24, 4, 0)), "", VLOOKUP( APIF_Import!$C7, INDIRECT( "Lookup_" &amp; APIF_Import!$M7), VLOOKUP( APIF_Import!$M7 &amp; APIF_Import!$H$1,Podesavanja!$AA$3:$AD$24, 4, 0), 0))</f>
        <v/>
      </c>
      <c r="I7" s="364" t="str">
        <f ca="1">IF( ISNA( VLOOKUP( APIF_Import!$M7 &amp; APIF_Import!$I$1,Podesavanja!$AA$3:$AD$24, 4, 0)), "", VLOOKUP( APIF_Import!$C7, INDIRECT( "Lookup_" &amp; APIF_Import!$M7), VLOOKUP( APIF_Import!$M7 &amp; APIF_Import!$I$1,Podesavanja!$AA$3:$AD$24, 4, 0), 0))</f>
        <v/>
      </c>
      <c r="J7" s="364" t="str">
        <f ca="1">IF( ISNA( VLOOKUP( APIF_Import!$M7 &amp; APIF_Import!$J$1,Podesavanja!$AA$3:$AD$24, 4, 0)), "", VLOOKUP( APIF_Import!$C7, INDIRECT( "Lookup_" &amp; APIF_Import!$M7), VLOOKUP( APIF_Import!$M7 &amp; APIF_Import!$J$1,Podesavanja!$AA$3:$AD$24, 4, 0), 0))</f>
        <v/>
      </c>
      <c r="K7" s="364" t="str">
        <f ca="1">IF( ISNA( VLOOKUP( APIF_Import!$M7 &amp; APIF_Import!$K$1,Podesavanja!$AA$3:$AD$24, 4, 0)), "", VLOOKUP( APIF_Import!$C7, INDIRECT( "Lookup_" &amp; APIF_Import!$M7), VLOOKUP( APIF_Import!$M7 &amp; APIF_Import!$K$1,Podesavanja!$AA$3:$AD$24, 4, 0), 0))</f>
        <v/>
      </c>
      <c r="L7" s="8">
        <v>7</v>
      </c>
      <c r="M7" s="8" t="s">
        <v>297</v>
      </c>
    </row>
    <row r="8" spans="2:16" x14ac:dyDescent="0.2">
      <c r="B8" s="8">
        <f>VLOOKUP( APIF_Import!$M8, Podesavanja!$N$3:$Q$9, 4, 0)</f>
        <v>1</v>
      </c>
      <c r="C8" s="363">
        <f>VLOOKUP( APIF_Import!$L8, Aop!$A$2:$N$415, 4, 0)</f>
        <v>7</v>
      </c>
      <c r="D8" s="364" t="str">
        <f ca="1">IF( ISNA( VLOOKUP( APIF_Import!$M8 &amp; APIF_Import!$D$1,Podesavanja!$AA$3:$AD$24, 4, 0)), "", SUBSTITUTE( VALUE( VLOOKUP( APIF_Import!$C8, INDIRECT( "Lookup_" &amp; APIF_Import!$M8), VLOOKUP( APIF_Import!$M8 &amp; APIF_Import!$D$1,Podesavanja!$AA$3:$AD$24, 4, 0), 0)), ".", ","))</f>
        <v>0</v>
      </c>
      <c r="E8" s="364" t="str">
        <f ca="1">IF( ISNA( VLOOKUP( APIF_Import!$M8 &amp; APIF_Import!$E$1,Podesavanja!$AA$3:$AD$24, 4, 0)), "", SUBSTITUTE( VALUE( VLOOKUP( APIF_Import!$C8, INDIRECT( "Lookup_" &amp; APIF_Import!$M8), VLOOKUP( APIF_Import!$M8 &amp; APIF_Import!$E$1,Podesavanja!$AA$3:$AD$24, 4, 0), 0)), ".", ","))</f>
        <v>0</v>
      </c>
      <c r="F8" s="364">
        <f ca="1">IF( ISNA( VLOOKUP( APIF_Import!$M8 &amp; APIF_Import!$F$1,Podesavanja!$AA$3:$AD$24, 4, 0)), "", VLOOKUP( APIF_Import!$C8, INDIRECT( "Lookup_" &amp; APIF_Import!$M8), VLOOKUP( APIF_Import!$M8 &amp; APIF_Import!$F$1,Podesavanja!$AA$3:$AD$24, 4, 0), 0))</f>
        <v>0</v>
      </c>
      <c r="G8" s="364">
        <f ca="1">IF( ISNA( VLOOKUP( APIF_Import!$M8 &amp; APIF_Import!$G$1,Podesavanja!$AA$3:$AD$24, 4, 0)), "", VLOOKUP( APIF_Import!$C8, INDIRECT( "Lookup_" &amp; APIF_Import!$M8), VLOOKUP( APIF_Import!$M8 &amp; APIF_Import!$G$1,Podesavanja!$AA$3:$AD$24, 4, 0), 0))</f>
        <v>0</v>
      </c>
      <c r="H8" s="364" t="str">
        <f ca="1">IF( ISNA( VLOOKUP( APIF_Import!$M8 &amp; APIF_Import!$H$1,Podesavanja!$AA$3:$AD$24, 4, 0)), "", VLOOKUP( APIF_Import!$C8, INDIRECT( "Lookup_" &amp; APIF_Import!$M8), VLOOKUP( APIF_Import!$M8 &amp; APIF_Import!$H$1,Podesavanja!$AA$3:$AD$24, 4, 0), 0))</f>
        <v/>
      </c>
      <c r="I8" s="364" t="str">
        <f ca="1">IF( ISNA( VLOOKUP( APIF_Import!$M8 &amp; APIF_Import!$I$1,Podesavanja!$AA$3:$AD$24, 4, 0)), "", VLOOKUP( APIF_Import!$C8, INDIRECT( "Lookup_" &amp; APIF_Import!$M8), VLOOKUP( APIF_Import!$M8 &amp; APIF_Import!$I$1,Podesavanja!$AA$3:$AD$24, 4, 0), 0))</f>
        <v/>
      </c>
      <c r="J8" s="364" t="str">
        <f ca="1">IF( ISNA( VLOOKUP( APIF_Import!$M8 &amp; APIF_Import!$J$1,Podesavanja!$AA$3:$AD$24, 4, 0)), "", VLOOKUP( APIF_Import!$C8, INDIRECT( "Lookup_" &amp; APIF_Import!$M8), VLOOKUP( APIF_Import!$M8 &amp; APIF_Import!$J$1,Podesavanja!$AA$3:$AD$24, 4, 0), 0))</f>
        <v/>
      </c>
      <c r="K8" s="364" t="str">
        <f ca="1">IF( ISNA( VLOOKUP( APIF_Import!$M8 &amp; APIF_Import!$K$1,Podesavanja!$AA$3:$AD$24, 4, 0)), "", VLOOKUP( APIF_Import!$C8, INDIRECT( "Lookup_" &amp; APIF_Import!$M8), VLOOKUP( APIF_Import!$M8 &amp; APIF_Import!$K$1,Podesavanja!$AA$3:$AD$24, 4, 0), 0))</f>
        <v/>
      </c>
      <c r="L8" s="8">
        <v>8</v>
      </c>
      <c r="M8" s="8" t="s">
        <v>297</v>
      </c>
    </row>
    <row r="9" spans="2:16" x14ac:dyDescent="0.2">
      <c r="B9" s="8">
        <f>VLOOKUP( APIF_Import!$M9, Podesavanja!$N$3:$Q$9, 4, 0)</f>
        <v>1</v>
      </c>
      <c r="C9" s="363">
        <f>VLOOKUP( APIF_Import!$L9, Aop!$A$2:$N$415, 4, 0)</f>
        <v>8</v>
      </c>
      <c r="D9" s="364" t="str">
        <f ca="1">IF( ISNA( VLOOKUP( APIF_Import!$M9 &amp; APIF_Import!$D$1,Podesavanja!$AA$3:$AD$24, 4, 0)), "", SUBSTITUTE( VALUE( VLOOKUP( APIF_Import!$C9, INDIRECT( "Lookup_" &amp; APIF_Import!$M9), VLOOKUP( APIF_Import!$M9 &amp; APIF_Import!$D$1,Podesavanja!$AA$3:$AD$24, 4, 0), 0)), ".", ","))</f>
        <v>6568408</v>
      </c>
      <c r="E9" s="364" t="str">
        <f ca="1">IF( ISNA( VLOOKUP( APIF_Import!$M9 &amp; APIF_Import!$E$1,Podesavanja!$AA$3:$AD$24, 4, 0)), "", SUBSTITUTE( VALUE( VLOOKUP( APIF_Import!$C9, INDIRECT( "Lookup_" &amp; APIF_Import!$M9), VLOOKUP( APIF_Import!$M9 &amp; APIF_Import!$E$1,Podesavanja!$AA$3:$AD$24, 4, 0), 0)), ".", ","))</f>
        <v>2958196</v>
      </c>
      <c r="F9" s="364">
        <f ca="1">IF( ISNA( VLOOKUP( APIF_Import!$M9 &amp; APIF_Import!$F$1,Podesavanja!$AA$3:$AD$24, 4, 0)), "", VLOOKUP( APIF_Import!$C9, INDIRECT( "Lookup_" &amp; APIF_Import!$M9), VLOOKUP( APIF_Import!$M9 &amp; APIF_Import!$F$1,Podesavanja!$AA$3:$AD$24, 4, 0), 0))</f>
        <v>3610212</v>
      </c>
      <c r="G9" s="364">
        <f ca="1">IF( ISNA( VLOOKUP( APIF_Import!$M9 &amp; APIF_Import!$G$1,Podesavanja!$AA$3:$AD$24, 4, 0)), "", VLOOKUP( APIF_Import!$C9, INDIRECT( "Lookup_" &amp; APIF_Import!$M9), VLOOKUP( APIF_Import!$M9 &amp; APIF_Import!$G$1,Podesavanja!$AA$3:$AD$24, 4, 0), 0))</f>
        <v>3607226</v>
      </c>
      <c r="H9" s="364" t="str">
        <f ca="1">IF( ISNA( VLOOKUP( APIF_Import!$M9 &amp; APIF_Import!$H$1,Podesavanja!$AA$3:$AD$24, 4, 0)), "", VLOOKUP( APIF_Import!$C9, INDIRECT( "Lookup_" &amp; APIF_Import!$M9), VLOOKUP( APIF_Import!$M9 &amp; APIF_Import!$H$1,Podesavanja!$AA$3:$AD$24, 4, 0), 0))</f>
        <v/>
      </c>
      <c r="I9" s="364" t="str">
        <f ca="1">IF( ISNA( VLOOKUP( APIF_Import!$M9 &amp; APIF_Import!$I$1,Podesavanja!$AA$3:$AD$24, 4, 0)), "", VLOOKUP( APIF_Import!$C9, INDIRECT( "Lookup_" &amp; APIF_Import!$M9), VLOOKUP( APIF_Import!$M9 &amp; APIF_Import!$I$1,Podesavanja!$AA$3:$AD$24, 4, 0), 0))</f>
        <v/>
      </c>
      <c r="J9" s="364" t="str">
        <f ca="1">IF( ISNA( VLOOKUP( APIF_Import!$M9 &amp; APIF_Import!$J$1,Podesavanja!$AA$3:$AD$24, 4, 0)), "", VLOOKUP( APIF_Import!$C9, INDIRECT( "Lookup_" &amp; APIF_Import!$M9), VLOOKUP( APIF_Import!$M9 &amp; APIF_Import!$J$1,Podesavanja!$AA$3:$AD$24, 4, 0), 0))</f>
        <v/>
      </c>
      <c r="K9" s="364" t="str">
        <f ca="1">IF( ISNA( VLOOKUP( APIF_Import!$M9 &amp; APIF_Import!$K$1,Podesavanja!$AA$3:$AD$24, 4, 0)), "", VLOOKUP( APIF_Import!$C9, INDIRECT( "Lookup_" &amp; APIF_Import!$M9), VLOOKUP( APIF_Import!$M9 &amp; APIF_Import!$K$1,Podesavanja!$AA$3:$AD$24, 4, 0), 0))</f>
        <v/>
      </c>
      <c r="L9" s="8">
        <v>9</v>
      </c>
      <c r="M9" s="8" t="s">
        <v>297</v>
      </c>
    </row>
    <row r="10" spans="2:16" x14ac:dyDescent="0.2">
      <c r="B10" s="8">
        <f>VLOOKUP( APIF_Import!$M10, Podesavanja!$N$3:$Q$9, 4, 0)</f>
        <v>1</v>
      </c>
      <c r="C10" s="363">
        <f>VLOOKUP( APIF_Import!$L10, Aop!$A$2:$N$415, 4, 0)</f>
        <v>9</v>
      </c>
      <c r="D10" s="364" t="str">
        <f ca="1">IF( ISNA( VLOOKUP( APIF_Import!$M10 &amp; APIF_Import!$D$1,Podesavanja!$AA$3:$AD$24, 4, 0)), "", SUBSTITUTE( VALUE( VLOOKUP( APIF_Import!$C10, INDIRECT( "Lookup_" &amp; APIF_Import!$M10), VLOOKUP( APIF_Import!$M10 &amp; APIF_Import!$D$1,Podesavanja!$AA$3:$AD$24, 4, 0), 0)), ".", ","))</f>
        <v>264621</v>
      </c>
      <c r="E10" s="364" t="str">
        <f ca="1">IF( ISNA( VLOOKUP( APIF_Import!$M10 &amp; APIF_Import!$E$1,Podesavanja!$AA$3:$AD$24, 4, 0)), "", SUBSTITUTE( VALUE( VLOOKUP( APIF_Import!$C10, INDIRECT( "Lookup_" &amp; APIF_Import!$M10), VLOOKUP( APIF_Import!$M10 &amp; APIF_Import!$E$1,Podesavanja!$AA$3:$AD$24, 4, 0), 0)), ".", ","))</f>
        <v>0</v>
      </c>
      <c r="F10" s="364">
        <f ca="1">IF( ISNA( VLOOKUP( APIF_Import!$M10 &amp; APIF_Import!$F$1,Podesavanja!$AA$3:$AD$24, 4, 0)), "", VLOOKUP( APIF_Import!$C10, INDIRECT( "Lookup_" &amp; APIF_Import!$M10), VLOOKUP( APIF_Import!$M10 &amp; APIF_Import!$F$1,Podesavanja!$AA$3:$AD$24, 4, 0), 0))</f>
        <v>264621</v>
      </c>
      <c r="G10" s="364">
        <f ca="1">IF( ISNA( VLOOKUP( APIF_Import!$M10 &amp; APIF_Import!$G$1,Podesavanja!$AA$3:$AD$24, 4, 0)), "", VLOOKUP( APIF_Import!$C10, INDIRECT( "Lookup_" &amp; APIF_Import!$M10), VLOOKUP( APIF_Import!$M10 &amp; APIF_Import!$G$1,Podesavanja!$AA$3:$AD$24, 4, 0), 0))</f>
        <v>264621</v>
      </c>
      <c r="H10" s="364" t="str">
        <f ca="1">IF( ISNA( VLOOKUP( APIF_Import!$M10 &amp; APIF_Import!$H$1,Podesavanja!$AA$3:$AD$24, 4, 0)), "", VLOOKUP( APIF_Import!$C10, INDIRECT( "Lookup_" &amp; APIF_Import!$M10), VLOOKUP( APIF_Import!$M10 &amp; APIF_Import!$H$1,Podesavanja!$AA$3:$AD$24, 4, 0), 0))</f>
        <v/>
      </c>
      <c r="I10" s="364" t="str">
        <f ca="1">IF( ISNA( VLOOKUP( APIF_Import!$M10 &amp; APIF_Import!$I$1,Podesavanja!$AA$3:$AD$24, 4, 0)), "", VLOOKUP( APIF_Import!$C10, INDIRECT( "Lookup_" &amp; APIF_Import!$M10), VLOOKUP( APIF_Import!$M10 &amp; APIF_Import!$I$1,Podesavanja!$AA$3:$AD$24, 4, 0), 0))</f>
        <v/>
      </c>
      <c r="J10" s="364" t="str">
        <f ca="1">IF( ISNA( VLOOKUP( APIF_Import!$M10 &amp; APIF_Import!$J$1,Podesavanja!$AA$3:$AD$24, 4, 0)), "", VLOOKUP( APIF_Import!$C10, INDIRECT( "Lookup_" &amp; APIF_Import!$M10), VLOOKUP( APIF_Import!$M10 &amp; APIF_Import!$J$1,Podesavanja!$AA$3:$AD$24, 4, 0), 0))</f>
        <v/>
      </c>
      <c r="K10" s="364" t="str">
        <f ca="1">IF( ISNA( VLOOKUP( APIF_Import!$M10 &amp; APIF_Import!$K$1,Podesavanja!$AA$3:$AD$24, 4, 0)), "", VLOOKUP( APIF_Import!$C10, INDIRECT( "Lookup_" &amp; APIF_Import!$M10), VLOOKUP( APIF_Import!$M10 &amp; APIF_Import!$K$1,Podesavanja!$AA$3:$AD$24, 4, 0), 0))</f>
        <v/>
      </c>
      <c r="L10" s="8">
        <v>10</v>
      </c>
      <c r="M10" s="8" t="s">
        <v>297</v>
      </c>
    </row>
    <row r="11" spans="2:16" x14ac:dyDescent="0.2">
      <c r="B11" s="8">
        <f>VLOOKUP( APIF_Import!$M11, Podesavanja!$N$3:$Q$9, 4, 0)</f>
        <v>1</v>
      </c>
      <c r="C11" s="363">
        <f>VLOOKUP( APIF_Import!$L11, Aop!$A$2:$N$415, 4, 0)</f>
        <v>10</v>
      </c>
      <c r="D11" s="364" t="str">
        <f ca="1">IF( ISNA( VLOOKUP( APIF_Import!$M11 &amp; APIF_Import!$D$1,Podesavanja!$AA$3:$AD$24, 4, 0)), "", SUBSTITUTE( VALUE( VLOOKUP( APIF_Import!$C11, INDIRECT( "Lookup_" &amp; APIF_Import!$M11), VLOOKUP( APIF_Import!$M11 &amp; APIF_Import!$D$1,Podesavanja!$AA$3:$AD$24, 4, 0), 0)), ".", ","))</f>
        <v>2728676</v>
      </c>
      <c r="E11" s="364" t="str">
        <f ca="1">IF( ISNA( VLOOKUP( APIF_Import!$M11 &amp; APIF_Import!$E$1,Podesavanja!$AA$3:$AD$24, 4, 0)), "", SUBSTITUTE( VALUE( VLOOKUP( APIF_Import!$C11, INDIRECT( "Lookup_" &amp; APIF_Import!$M11), VLOOKUP( APIF_Import!$M11 &amp; APIF_Import!$E$1,Podesavanja!$AA$3:$AD$24, 4, 0), 0)), ".", ","))</f>
        <v>677759</v>
      </c>
      <c r="F11" s="364">
        <f ca="1">IF( ISNA( VLOOKUP( APIF_Import!$M11 &amp; APIF_Import!$F$1,Podesavanja!$AA$3:$AD$24, 4, 0)), "", VLOOKUP( APIF_Import!$C11, INDIRECT( "Lookup_" &amp; APIF_Import!$M11), VLOOKUP( APIF_Import!$M11 &amp; APIF_Import!$F$1,Podesavanja!$AA$3:$AD$24, 4, 0), 0))</f>
        <v>2050917</v>
      </c>
      <c r="G11" s="364">
        <f ca="1">IF( ISNA( VLOOKUP( APIF_Import!$M11 &amp; APIF_Import!$G$1,Podesavanja!$AA$3:$AD$24, 4, 0)), "", VLOOKUP( APIF_Import!$C11, INDIRECT( "Lookup_" &amp; APIF_Import!$M11), VLOOKUP( APIF_Import!$M11 &amp; APIF_Import!$G$1,Podesavanja!$AA$3:$AD$24, 4, 0), 0))</f>
        <v>2104560</v>
      </c>
      <c r="H11" s="364" t="str">
        <f ca="1">IF( ISNA( VLOOKUP( APIF_Import!$M11 &amp; APIF_Import!$H$1,Podesavanja!$AA$3:$AD$24, 4, 0)), "", VLOOKUP( APIF_Import!$C11, INDIRECT( "Lookup_" &amp; APIF_Import!$M11), VLOOKUP( APIF_Import!$M11 &amp; APIF_Import!$H$1,Podesavanja!$AA$3:$AD$24, 4, 0), 0))</f>
        <v/>
      </c>
      <c r="I11" s="364" t="str">
        <f ca="1">IF( ISNA( VLOOKUP( APIF_Import!$M11 &amp; APIF_Import!$I$1,Podesavanja!$AA$3:$AD$24, 4, 0)), "", VLOOKUP( APIF_Import!$C11, INDIRECT( "Lookup_" &amp; APIF_Import!$M11), VLOOKUP( APIF_Import!$M11 &amp; APIF_Import!$I$1,Podesavanja!$AA$3:$AD$24, 4, 0), 0))</f>
        <v/>
      </c>
      <c r="J11" s="364" t="str">
        <f ca="1">IF( ISNA( VLOOKUP( APIF_Import!$M11 &amp; APIF_Import!$J$1,Podesavanja!$AA$3:$AD$24, 4, 0)), "", VLOOKUP( APIF_Import!$C11, INDIRECT( "Lookup_" &amp; APIF_Import!$M11), VLOOKUP( APIF_Import!$M11 &amp; APIF_Import!$J$1,Podesavanja!$AA$3:$AD$24, 4, 0), 0))</f>
        <v/>
      </c>
      <c r="K11" s="364" t="str">
        <f ca="1">IF( ISNA( VLOOKUP( APIF_Import!$M11 &amp; APIF_Import!$K$1,Podesavanja!$AA$3:$AD$24, 4, 0)), "", VLOOKUP( APIF_Import!$C11, INDIRECT( "Lookup_" &amp; APIF_Import!$M11), VLOOKUP( APIF_Import!$M11 &amp; APIF_Import!$K$1,Podesavanja!$AA$3:$AD$24, 4, 0), 0))</f>
        <v/>
      </c>
      <c r="L11" s="8">
        <v>11</v>
      </c>
      <c r="M11" s="8" t="s">
        <v>297</v>
      </c>
    </row>
    <row r="12" spans="2:16" x14ac:dyDescent="0.2">
      <c r="B12" s="8">
        <f>VLOOKUP( APIF_Import!$M12, Podesavanja!$N$3:$Q$9, 4, 0)</f>
        <v>1</v>
      </c>
      <c r="C12" s="363">
        <f>VLOOKUP( APIF_Import!$L12, Aop!$A$2:$N$415, 4, 0)</f>
        <v>11</v>
      </c>
      <c r="D12" s="364" t="str">
        <f ca="1">IF( ISNA( VLOOKUP( APIF_Import!$M12 &amp; APIF_Import!$D$1,Podesavanja!$AA$3:$AD$24, 4, 0)), "", SUBSTITUTE( VALUE( VLOOKUP( APIF_Import!$C12, INDIRECT( "Lookup_" &amp; APIF_Import!$M12), VLOOKUP( APIF_Import!$M12 &amp; APIF_Import!$D$1,Podesavanja!$AA$3:$AD$24, 4, 0), 0)), ".", ","))</f>
        <v>3575111</v>
      </c>
      <c r="E12" s="364" t="str">
        <f ca="1">IF( ISNA( VLOOKUP( APIF_Import!$M12 &amp; APIF_Import!$E$1,Podesavanja!$AA$3:$AD$24, 4, 0)), "", SUBSTITUTE( VALUE( VLOOKUP( APIF_Import!$C12, INDIRECT( "Lookup_" &amp; APIF_Import!$M12), VLOOKUP( APIF_Import!$M12 &amp; APIF_Import!$E$1,Podesavanja!$AA$3:$AD$24, 4, 0), 0)), ".", ","))</f>
        <v>2280437</v>
      </c>
      <c r="F12" s="364">
        <f ca="1">IF( ISNA( VLOOKUP( APIF_Import!$M12 &amp; APIF_Import!$F$1,Podesavanja!$AA$3:$AD$24, 4, 0)), "", VLOOKUP( APIF_Import!$C12, INDIRECT( "Lookup_" &amp; APIF_Import!$M12), VLOOKUP( APIF_Import!$M12 &amp; APIF_Import!$F$1,Podesavanja!$AA$3:$AD$24, 4, 0), 0))</f>
        <v>1294674</v>
      </c>
      <c r="G12" s="364">
        <f ca="1">IF( ISNA( VLOOKUP( APIF_Import!$M12 &amp; APIF_Import!$G$1,Podesavanja!$AA$3:$AD$24, 4, 0)), "", VLOOKUP( APIF_Import!$C12, INDIRECT( "Lookup_" &amp; APIF_Import!$M12), VLOOKUP( APIF_Import!$M12 &amp; APIF_Import!$G$1,Podesavanja!$AA$3:$AD$24, 4, 0), 0))</f>
        <v>1238045</v>
      </c>
      <c r="H12" s="364" t="str">
        <f ca="1">IF( ISNA( VLOOKUP( APIF_Import!$M12 &amp; APIF_Import!$H$1,Podesavanja!$AA$3:$AD$24, 4, 0)), "", VLOOKUP( APIF_Import!$C12, INDIRECT( "Lookup_" &amp; APIF_Import!$M12), VLOOKUP( APIF_Import!$M12 &amp; APIF_Import!$H$1,Podesavanja!$AA$3:$AD$24, 4, 0), 0))</f>
        <v/>
      </c>
      <c r="I12" s="364" t="str">
        <f ca="1">IF( ISNA( VLOOKUP( APIF_Import!$M12 &amp; APIF_Import!$I$1,Podesavanja!$AA$3:$AD$24, 4, 0)), "", VLOOKUP( APIF_Import!$C12, INDIRECT( "Lookup_" &amp; APIF_Import!$M12), VLOOKUP( APIF_Import!$M12 &amp; APIF_Import!$I$1,Podesavanja!$AA$3:$AD$24, 4, 0), 0))</f>
        <v/>
      </c>
      <c r="J12" s="364" t="str">
        <f ca="1">IF( ISNA( VLOOKUP( APIF_Import!$M12 &amp; APIF_Import!$J$1,Podesavanja!$AA$3:$AD$24, 4, 0)), "", VLOOKUP( APIF_Import!$C12, INDIRECT( "Lookup_" &amp; APIF_Import!$M12), VLOOKUP( APIF_Import!$M12 &amp; APIF_Import!$J$1,Podesavanja!$AA$3:$AD$24, 4, 0), 0))</f>
        <v/>
      </c>
      <c r="K12" s="364" t="str">
        <f ca="1">IF( ISNA( VLOOKUP( APIF_Import!$M12 &amp; APIF_Import!$K$1,Podesavanja!$AA$3:$AD$24, 4, 0)), "", VLOOKUP( APIF_Import!$C12, INDIRECT( "Lookup_" &amp; APIF_Import!$M12), VLOOKUP( APIF_Import!$M12 &amp; APIF_Import!$K$1,Podesavanja!$AA$3:$AD$24, 4, 0), 0))</f>
        <v/>
      </c>
      <c r="L12" s="8">
        <v>12</v>
      </c>
      <c r="M12" s="8" t="s">
        <v>297</v>
      </c>
      <c r="O12" s="8">
        <v>2</v>
      </c>
      <c r="P12" s="8" t="s">
        <v>303</v>
      </c>
    </row>
    <row r="13" spans="2:16" x14ac:dyDescent="0.2">
      <c r="B13" s="8">
        <f>VLOOKUP( APIF_Import!$M13, Podesavanja!$N$3:$Q$9, 4, 0)</f>
        <v>1</v>
      </c>
      <c r="C13" s="363">
        <f>VLOOKUP( APIF_Import!$L13, Aop!$A$2:$N$415, 4, 0)</f>
        <v>12</v>
      </c>
      <c r="D13" s="364" t="str">
        <f ca="1">IF( ISNA( VLOOKUP( APIF_Import!$M13 &amp; APIF_Import!$D$1,Podesavanja!$AA$3:$AD$24, 4, 0)), "", SUBSTITUTE( VALUE( VLOOKUP( APIF_Import!$C13, INDIRECT( "Lookup_" &amp; APIF_Import!$M13), VLOOKUP( APIF_Import!$M13 &amp; APIF_Import!$D$1,Podesavanja!$AA$3:$AD$24, 4, 0), 0)), ".", ","))</f>
        <v>0</v>
      </c>
      <c r="E13" s="364" t="str">
        <f ca="1">IF( ISNA( VLOOKUP( APIF_Import!$M13 &amp; APIF_Import!$E$1,Podesavanja!$AA$3:$AD$24, 4, 0)), "", SUBSTITUTE( VALUE( VLOOKUP( APIF_Import!$C13, INDIRECT( "Lookup_" &amp; APIF_Import!$M13), VLOOKUP( APIF_Import!$M13 &amp; APIF_Import!$E$1,Podesavanja!$AA$3:$AD$24, 4, 0), 0)), ".", ","))</f>
        <v>0</v>
      </c>
      <c r="F13" s="364">
        <f ca="1">IF( ISNA( VLOOKUP( APIF_Import!$M13 &amp; APIF_Import!$F$1,Podesavanja!$AA$3:$AD$24, 4, 0)), "", VLOOKUP( APIF_Import!$C13, INDIRECT( "Lookup_" &amp; APIF_Import!$M13), VLOOKUP( APIF_Import!$M13 &amp; APIF_Import!$F$1,Podesavanja!$AA$3:$AD$24, 4, 0), 0))</f>
        <v>0</v>
      </c>
      <c r="G13" s="364">
        <f ca="1">IF( ISNA( VLOOKUP( APIF_Import!$M13 &amp; APIF_Import!$G$1,Podesavanja!$AA$3:$AD$24, 4, 0)), "", VLOOKUP( APIF_Import!$C13, INDIRECT( "Lookup_" &amp; APIF_Import!$M13), VLOOKUP( APIF_Import!$M13 &amp; APIF_Import!$G$1,Podesavanja!$AA$3:$AD$24, 4, 0), 0))</f>
        <v>0</v>
      </c>
      <c r="H13" s="364" t="str">
        <f ca="1">IF( ISNA( VLOOKUP( APIF_Import!$M13 &amp; APIF_Import!$H$1,Podesavanja!$AA$3:$AD$24, 4, 0)), "", VLOOKUP( APIF_Import!$C13, INDIRECT( "Lookup_" &amp; APIF_Import!$M13), VLOOKUP( APIF_Import!$M13 &amp; APIF_Import!$H$1,Podesavanja!$AA$3:$AD$24, 4, 0), 0))</f>
        <v/>
      </c>
      <c r="I13" s="364" t="str">
        <f ca="1">IF( ISNA( VLOOKUP( APIF_Import!$M13 &amp; APIF_Import!$I$1,Podesavanja!$AA$3:$AD$24, 4, 0)), "", VLOOKUP( APIF_Import!$C13, INDIRECT( "Lookup_" &amp; APIF_Import!$M13), VLOOKUP( APIF_Import!$M13 &amp; APIF_Import!$I$1,Podesavanja!$AA$3:$AD$24, 4, 0), 0))</f>
        <v/>
      </c>
      <c r="J13" s="364" t="str">
        <f ca="1">IF( ISNA( VLOOKUP( APIF_Import!$M13 &amp; APIF_Import!$J$1,Podesavanja!$AA$3:$AD$24, 4, 0)), "", VLOOKUP( APIF_Import!$C13, INDIRECT( "Lookup_" &amp; APIF_Import!$M13), VLOOKUP( APIF_Import!$M13 &amp; APIF_Import!$J$1,Podesavanja!$AA$3:$AD$24, 4, 0), 0))</f>
        <v/>
      </c>
      <c r="K13" s="364" t="str">
        <f ca="1">IF( ISNA( VLOOKUP( APIF_Import!$M13 &amp; APIF_Import!$K$1,Podesavanja!$AA$3:$AD$24, 4, 0)), "", VLOOKUP( APIF_Import!$C13, INDIRECT( "Lookup_" &amp; APIF_Import!$M13), VLOOKUP( APIF_Import!$M13 &amp; APIF_Import!$K$1,Podesavanja!$AA$3:$AD$24, 4, 0), 0))</f>
        <v/>
      </c>
      <c r="L13" s="8">
        <v>13</v>
      </c>
      <c r="M13" s="8" t="s">
        <v>297</v>
      </c>
      <c r="O13" s="8">
        <v>3</v>
      </c>
      <c r="P13" s="8" t="s">
        <v>304</v>
      </c>
    </row>
    <row r="14" spans="2:16" x14ac:dyDescent="0.2">
      <c r="B14" s="8">
        <f>VLOOKUP( APIF_Import!$M14, Podesavanja!$N$3:$Q$9, 4, 0)</f>
        <v>1</v>
      </c>
      <c r="C14" s="363">
        <f>VLOOKUP( APIF_Import!$L14, Aop!$A$2:$N$415, 4, 0)</f>
        <v>13</v>
      </c>
      <c r="D14" s="364" t="str">
        <f ca="1">IF( ISNA( VLOOKUP( APIF_Import!$M14 &amp; APIF_Import!$D$1,Podesavanja!$AA$3:$AD$24, 4, 0)), "", SUBSTITUTE( VALUE( VLOOKUP( APIF_Import!$C14, INDIRECT( "Lookup_" &amp; APIF_Import!$M14), VLOOKUP( APIF_Import!$M14 &amp; APIF_Import!$D$1,Podesavanja!$AA$3:$AD$24, 4, 0), 0)), ".", ","))</f>
        <v>0</v>
      </c>
      <c r="E14" s="364" t="str">
        <f ca="1">IF( ISNA( VLOOKUP( APIF_Import!$M14 &amp; APIF_Import!$E$1,Podesavanja!$AA$3:$AD$24, 4, 0)), "", SUBSTITUTE( VALUE( VLOOKUP( APIF_Import!$C14, INDIRECT( "Lookup_" &amp; APIF_Import!$M14), VLOOKUP( APIF_Import!$M14 &amp; APIF_Import!$E$1,Podesavanja!$AA$3:$AD$24, 4, 0), 0)), ".", ","))</f>
        <v>0</v>
      </c>
      <c r="F14" s="364">
        <f ca="1">IF( ISNA( VLOOKUP( APIF_Import!$M14 &amp; APIF_Import!$F$1,Podesavanja!$AA$3:$AD$24, 4, 0)), "", VLOOKUP( APIF_Import!$C14, INDIRECT( "Lookup_" &amp; APIF_Import!$M14), VLOOKUP( APIF_Import!$M14 &amp; APIF_Import!$F$1,Podesavanja!$AA$3:$AD$24, 4, 0), 0))</f>
        <v>0</v>
      </c>
      <c r="G14" s="364">
        <f ca="1">IF( ISNA( VLOOKUP( APIF_Import!$M14 &amp; APIF_Import!$G$1,Podesavanja!$AA$3:$AD$24, 4, 0)), "", VLOOKUP( APIF_Import!$C14, INDIRECT( "Lookup_" &amp; APIF_Import!$M14), VLOOKUP( APIF_Import!$M14 &amp; APIF_Import!$G$1,Podesavanja!$AA$3:$AD$24, 4, 0), 0))</f>
        <v>0</v>
      </c>
      <c r="H14" s="364" t="str">
        <f ca="1">IF( ISNA( VLOOKUP( APIF_Import!$M14 &amp; APIF_Import!$H$1,Podesavanja!$AA$3:$AD$24, 4, 0)), "", VLOOKUP( APIF_Import!$C14, INDIRECT( "Lookup_" &amp; APIF_Import!$M14), VLOOKUP( APIF_Import!$M14 &amp; APIF_Import!$H$1,Podesavanja!$AA$3:$AD$24, 4, 0), 0))</f>
        <v/>
      </c>
      <c r="I14" s="364" t="str">
        <f ca="1">IF( ISNA( VLOOKUP( APIF_Import!$M14 &amp; APIF_Import!$I$1,Podesavanja!$AA$3:$AD$24, 4, 0)), "", VLOOKUP( APIF_Import!$C14, INDIRECT( "Lookup_" &amp; APIF_Import!$M14), VLOOKUP( APIF_Import!$M14 &amp; APIF_Import!$I$1,Podesavanja!$AA$3:$AD$24, 4, 0), 0))</f>
        <v/>
      </c>
      <c r="J14" s="364" t="str">
        <f ca="1">IF( ISNA( VLOOKUP( APIF_Import!$M14 &amp; APIF_Import!$J$1,Podesavanja!$AA$3:$AD$24, 4, 0)), "", VLOOKUP( APIF_Import!$C14, INDIRECT( "Lookup_" &amp; APIF_Import!$M14), VLOOKUP( APIF_Import!$M14 &amp; APIF_Import!$J$1,Podesavanja!$AA$3:$AD$24, 4, 0), 0))</f>
        <v/>
      </c>
      <c r="K14" s="364" t="str">
        <f ca="1">IF( ISNA( VLOOKUP( APIF_Import!$M14 &amp; APIF_Import!$K$1,Podesavanja!$AA$3:$AD$24, 4, 0)), "", VLOOKUP( APIF_Import!$C14, INDIRECT( "Lookup_" &amp; APIF_Import!$M14), VLOOKUP( APIF_Import!$M14 &amp; APIF_Import!$K$1,Podesavanja!$AA$3:$AD$24, 4, 0), 0))</f>
        <v/>
      </c>
      <c r="L14" s="8">
        <v>14</v>
      </c>
      <c r="M14" s="8" t="s">
        <v>297</v>
      </c>
    </row>
    <row r="15" spans="2:16" x14ac:dyDescent="0.2">
      <c r="B15" s="8">
        <f>VLOOKUP( APIF_Import!$M15, Podesavanja!$N$3:$Q$9, 4, 0)</f>
        <v>1</v>
      </c>
      <c r="C15" s="363">
        <f>VLOOKUP( APIF_Import!$L15, Aop!$A$2:$N$415, 4, 0)</f>
        <v>14</v>
      </c>
      <c r="D15" s="364" t="str">
        <f ca="1">IF( ISNA( VLOOKUP( APIF_Import!$M15 &amp; APIF_Import!$D$1,Podesavanja!$AA$3:$AD$24, 4, 0)), "", SUBSTITUTE( VALUE( VLOOKUP( APIF_Import!$C15, INDIRECT( "Lookup_" &amp; APIF_Import!$M15), VLOOKUP( APIF_Import!$M15 &amp; APIF_Import!$D$1,Podesavanja!$AA$3:$AD$24, 4, 0), 0)), ".", ","))</f>
        <v>0</v>
      </c>
      <c r="E15" s="364" t="str">
        <f ca="1">IF( ISNA( VLOOKUP( APIF_Import!$M15 &amp; APIF_Import!$E$1,Podesavanja!$AA$3:$AD$24, 4, 0)), "", SUBSTITUTE( VALUE( VLOOKUP( APIF_Import!$C15, INDIRECT( "Lookup_" &amp; APIF_Import!$M15), VLOOKUP( APIF_Import!$M15 &amp; APIF_Import!$E$1,Podesavanja!$AA$3:$AD$24, 4, 0), 0)), ".", ","))</f>
        <v>0</v>
      </c>
      <c r="F15" s="364">
        <f ca="1">IF( ISNA( VLOOKUP( APIF_Import!$M15 &amp; APIF_Import!$F$1,Podesavanja!$AA$3:$AD$24, 4, 0)), "", VLOOKUP( APIF_Import!$C15, INDIRECT( "Lookup_" &amp; APIF_Import!$M15), VLOOKUP( APIF_Import!$M15 &amp; APIF_Import!$F$1,Podesavanja!$AA$3:$AD$24, 4, 0), 0))</f>
        <v>0</v>
      </c>
      <c r="G15" s="364">
        <f ca="1">IF( ISNA( VLOOKUP( APIF_Import!$M15 &amp; APIF_Import!$G$1,Podesavanja!$AA$3:$AD$24, 4, 0)), "", VLOOKUP( APIF_Import!$C15, INDIRECT( "Lookup_" &amp; APIF_Import!$M15), VLOOKUP( APIF_Import!$M15 &amp; APIF_Import!$G$1,Podesavanja!$AA$3:$AD$24, 4, 0), 0))</f>
        <v>0</v>
      </c>
      <c r="H15" s="364" t="str">
        <f ca="1">IF( ISNA( VLOOKUP( APIF_Import!$M15 &amp; APIF_Import!$H$1,Podesavanja!$AA$3:$AD$24, 4, 0)), "", VLOOKUP( APIF_Import!$C15, INDIRECT( "Lookup_" &amp; APIF_Import!$M15), VLOOKUP( APIF_Import!$M15 &amp; APIF_Import!$H$1,Podesavanja!$AA$3:$AD$24, 4, 0), 0))</f>
        <v/>
      </c>
      <c r="I15" s="364" t="str">
        <f ca="1">IF( ISNA( VLOOKUP( APIF_Import!$M15 &amp; APIF_Import!$I$1,Podesavanja!$AA$3:$AD$24, 4, 0)), "", VLOOKUP( APIF_Import!$C15, INDIRECT( "Lookup_" &amp; APIF_Import!$M15), VLOOKUP( APIF_Import!$M15 &amp; APIF_Import!$I$1,Podesavanja!$AA$3:$AD$24, 4, 0), 0))</f>
        <v/>
      </c>
      <c r="J15" s="364" t="str">
        <f ca="1">IF( ISNA( VLOOKUP( APIF_Import!$M15 &amp; APIF_Import!$J$1,Podesavanja!$AA$3:$AD$24, 4, 0)), "", VLOOKUP( APIF_Import!$C15, INDIRECT( "Lookup_" &amp; APIF_Import!$M15), VLOOKUP( APIF_Import!$M15 &amp; APIF_Import!$J$1,Podesavanja!$AA$3:$AD$24, 4, 0), 0))</f>
        <v/>
      </c>
      <c r="K15" s="364" t="str">
        <f ca="1">IF( ISNA( VLOOKUP( APIF_Import!$M15 &amp; APIF_Import!$K$1,Podesavanja!$AA$3:$AD$24, 4, 0)), "", VLOOKUP( APIF_Import!$C15, INDIRECT( "Lookup_" &amp; APIF_Import!$M15), VLOOKUP( APIF_Import!$M15 &amp; APIF_Import!$K$1,Podesavanja!$AA$3:$AD$24, 4, 0), 0))</f>
        <v/>
      </c>
      <c r="L15" s="8">
        <v>15</v>
      </c>
      <c r="M15" s="8" t="s">
        <v>297</v>
      </c>
    </row>
    <row r="16" spans="2:16" x14ac:dyDescent="0.2">
      <c r="B16" s="8">
        <f>VLOOKUP( APIF_Import!$M16, Podesavanja!$N$3:$Q$9, 4, 0)</f>
        <v>1</v>
      </c>
      <c r="C16" s="363">
        <f>VLOOKUP( APIF_Import!$L16, Aop!$A$2:$N$415, 4, 0)</f>
        <v>15</v>
      </c>
      <c r="D16" s="364" t="str">
        <f ca="1">IF( ISNA( VLOOKUP( APIF_Import!$M16 &amp; APIF_Import!$D$1,Podesavanja!$AA$3:$AD$24, 4, 0)), "", SUBSTITUTE( VALUE( VLOOKUP( APIF_Import!$C16, INDIRECT( "Lookup_" &amp; APIF_Import!$M16), VLOOKUP( APIF_Import!$M16 &amp; APIF_Import!$D$1,Podesavanja!$AA$3:$AD$24, 4, 0), 0)), ".", ","))</f>
        <v>0</v>
      </c>
      <c r="E16" s="364" t="str">
        <f ca="1">IF( ISNA( VLOOKUP( APIF_Import!$M16 &amp; APIF_Import!$E$1,Podesavanja!$AA$3:$AD$24, 4, 0)), "", SUBSTITUTE( VALUE( VLOOKUP( APIF_Import!$C16, INDIRECT( "Lookup_" &amp; APIF_Import!$M16), VLOOKUP( APIF_Import!$M16 &amp; APIF_Import!$E$1,Podesavanja!$AA$3:$AD$24, 4, 0), 0)), ".", ","))</f>
        <v>0</v>
      </c>
      <c r="F16" s="364">
        <f ca="1">IF( ISNA( VLOOKUP( APIF_Import!$M16 &amp; APIF_Import!$F$1,Podesavanja!$AA$3:$AD$24, 4, 0)), "", VLOOKUP( APIF_Import!$C16, INDIRECT( "Lookup_" &amp; APIF_Import!$M16), VLOOKUP( APIF_Import!$M16 &amp; APIF_Import!$F$1,Podesavanja!$AA$3:$AD$24, 4, 0), 0))</f>
        <v>0</v>
      </c>
      <c r="G16" s="364">
        <f ca="1">IF( ISNA( VLOOKUP( APIF_Import!$M16 &amp; APIF_Import!$G$1,Podesavanja!$AA$3:$AD$24, 4, 0)), "", VLOOKUP( APIF_Import!$C16, INDIRECT( "Lookup_" &amp; APIF_Import!$M16), VLOOKUP( APIF_Import!$M16 &amp; APIF_Import!$G$1,Podesavanja!$AA$3:$AD$24, 4, 0), 0))</f>
        <v>0</v>
      </c>
      <c r="H16" s="364" t="str">
        <f ca="1">IF( ISNA( VLOOKUP( APIF_Import!$M16 &amp; APIF_Import!$H$1,Podesavanja!$AA$3:$AD$24, 4, 0)), "", VLOOKUP( APIF_Import!$C16, INDIRECT( "Lookup_" &amp; APIF_Import!$M16), VLOOKUP( APIF_Import!$M16 &amp; APIF_Import!$H$1,Podesavanja!$AA$3:$AD$24, 4, 0), 0))</f>
        <v/>
      </c>
      <c r="I16" s="364" t="str">
        <f ca="1">IF( ISNA( VLOOKUP( APIF_Import!$M16 &amp; APIF_Import!$I$1,Podesavanja!$AA$3:$AD$24, 4, 0)), "", VLOOKUP( APIF_Import!$C16, INDIRECT( "Lookup_" &amp; APIF_Import!$M16), VLOOKUP( APIF_Import!$M16 &amp; APIF_Import!$I$1,Podesavanja!$AA$3:$AD$24, 4, 0), 0))</f>
        <v/>
      </c>
      <c r="J16" s="364" t="str">
        <f ca="1">IF( ISNA( VLOOKUP( APIF_Import!$M16 &amp; APIF_Import!$J$1,Podesavanja!$AA$3:$AD$24, 4, 0)), "", VLOOKUP( APIF_Import!$C16, INDIRECT( "Lookup_" &amp; APIF_Import!$M16), VLOOKUP( APIF_Import!$M16 &amp; APIF_Import!$J$1,Podesavanja!$AA$3:$AD$24, 4, 0), 0))</f>
        <v/>
      </c>
      <c r="K16" s="364" t="str">
        <f ca="1">IF( ISNA( VLOOKUP( APIF_Import!$M16 &amp; APIF_Import!$K$1,Podesavanja!$AA$3:$AD$24, 4, 0)), "", VLOOKUP( APIF_Import!$C16, INDIRECT( "Lookup_" &amp; APIF_Import!$M16), VLOOKUP( APIF_Import!$M16 &amp; APIF_Import!$K$1,Podesavanja!$AA$3:$AD$24, 4, 0), 0))</f>
        <v/>
      </c>
      <c r="L16" s="8">
        <v>16</v>
      </c>
      <c r="M16" s="8" t="s">
        <v>297</v>
      </c>
    </row>
    <row r="17" spans="2:13" x14ac:dyDescent="0.2">
      <c r="B17" s="8">
        <f>VLOOKUP( APIF_Import!$M17, Podesavanja!$N$3:$Q$9, 4, 0)</f>
        <v>1</v>
      </c>
      <c r="C17" s="363">
        <f>VLOOKUP( APIF_Import!$L17, Aop!$A$2:$N$415, 4, 0)</f>
        <v>16</v>
      </c>
      <c r="D17" s="364" t="str">
        <f ca="1">IF( ISNA( VLOOKUP( APIF_Import!$M17 &amp; APIF_Import!$D$1,Podesavanja!$AA$3:$AD$24, 4, 0)), "", SUBSTITUTE( VALUE( VLOOKUP( APIF_Import!$C17, INDIRECT( "Lookup_" &amp; APIF_Import!$M17), VLOOKUP( APIF_Import!$M17 &amp; APIF_Import!$D$1,Podesavanja!$AA$3:$AD$24, 4, 0), 0)), ".", ","))</f>
        <v>0</v>
      </c>
      <c r="E17" s="364" t="str">
        <f ca="1">IF( ISNA( VLOOKUP( APIF_Import!$M17 &amp; APIF_Import!$E$1,Podesavanja!$AA$3:$AD$24, 4, 0)), "", SUBSTITUTE( VALUE( VLOOKUP( APIF_Import!$C17, INDIRECT( "Lookup_" &amp; APIF_Import!$M17), VLOOKUP( APIF_Import!$M17 &amp; APIF_Import!$E$1,Podesavanja!$AA$3:$AD$24, 4, 0), 0)), ".", ","))</f>
        <v>0</v>
      </c>
      <c r="F17" s="364">
        <f ca="1">IF( ISNA( VLOOKUP( APIF_Import!$M17 &amp; APIF_Import!$F$1,Podesavanja!$AA$3:$AD$24, 4, 0)), "", VLOOKUP( APIF_Import!$C17, INDIRECT( "Lookup_" &amp; APIF_Import!$M17), VLOOKUP( APIF_Import!$M17 &amp; APIF_Import!$F$1,Podesavanja!$AA$3:$AD$24, 4, 0), 0))</f>
        <v>0</v>
      </c>
      <c r="G17" s="364">
        <f ca="1">IF( ISNA( VLOOKUP( APIF_Import!$M17 &amp; APIF_Import!$G$1,Podesavanja!$AA$3:$AD$24, 4, 0)), "", VLOOKUP( APIF_Import!$C17, INDIRECT( "Lookup_" &amp; APIF_Import!$M17), VLOOKUP( APIF_Import!$M17 &amp; APIF_Import!$G$1,Podesavanja!$AA$3:$AD$24, 4, 0), 0))</f>
        <v>0</v>
      </c>
      <c r="H17" s="364" t="str">
        <f ca="1">IF( ISNA( VLOOKUP( APIF_Import!$M17 &amp; APIF_Import!$H$1,Podesavanja!$AA$3:$AD$24, 4, 0)), "", VLOOKUP( APIF_Import!$C17, INDIRECT( "Lookup_" &amp; APIF_Import!$M17), VLOOKUP( APIF_Import!$M17 &amp; APIF_Import!$H$1,Podesavanja!$AA$3:$AD$24, 4, 0), 0))</f>
        <v/>
      </c>
      <c r="I17" s="364" t="str">
        <f ca="1">IF( ISNA( VLOOKUP( APIF_Import!$M17 &amp; APIF_Import!$I$1,Podesavanja!$AA$3:$AD$24, 4, 0)), "", VLOOKUP( APIF_Import!$C17, INDIRECT( "Lookup_" &amp; APIF_Import!$M17), VLOOKUP( APIF_Import!$M17 &amp; APIF_Import!$I$1,Podesavanja!$AA$3:$AD$24, 4, 0), 0))</f>
        <v/>
      </c>
      <c r="J17" s="364" t="str">
        <f ca="1">IF( ISNA( VLOOKUP( APIF_Import!$M17 &amp; APIF_Import!$J$1,Podesavanja!$AA$3:$AD$24, 4, 0)), "", VLOOKUP( APIF_Import!$C17, INDIRECT( "Lookup_" &amp; APIF_Import!$M17), VLOOKUP( APIF_Import!$M17 &amp; APIF_Import!$J$1,Podesavanja!$AA$3:$AD$24, 4, 0), 0))</f>
        <v/>
      </c>
      <c r="K17" s="364" t="str">
        <f ca="1">IF( ISNA( VLOOKUP( APIF_Import!$M17 &amp; APIF_Import!$K$1,Podesavanja!$AA$3:$AD$24, 4, 0)), "", VLOOKUP( APIF_Import!$C17, INDIRECT( "Lookup_" &amp; APIF_Import!$M17), VLOOKUP( APIF_Import!$M17 &amp; APIF_Import!$K$1,Podesavanja!$AA$3:$AD$24, 4, 0), 0))</f>
        <v/>
      </c>
      <c r="L17" s="8">
        <v>17</v>
      </c>
      <c r="M17" s="8" t="s">
        <v>297</v>
      </c>
    </row>
    <row r="18" spans="2:13" x14ac:dyDescent="0.2">
      <c r="B18" s="8">
        <f>VLOOKUP( APIF_Import!$M18, Podesavanja!$N$3:$Q$9, 4, 0)</f>
        <v>1</v>
      </c>
      <c r="C18" s="363">
        <f>VLOOKUP( APIF_Import!$L18, Aop!$A$2:$N$415, 4, 0)</f>
        <v>17</v>
      </c>
      <c r="D18" s="364" t="str">
        <f ca="1">IF( ISNA( VLOOKUP( APIF_Import!$M18 &amp; APIF_Import!$D$1,Podesavanja!$AA$3:$AD$24, 4, 0)), "", SUBSTITUTE( VALUE( VLOOKUP( APIF_Import!$C18, INDIRECT( "Lookup_" &amp; APIF_Import!$M18), VLOOKUP( APIF_Import!$M18 &amp; APIF_Import!$D$1,Podesavanja!$AA$3:$AD$24, 4, 0), 0)), ".", ","))</f>
        <v>0</v>
      </c>
      <c r="E18" s="364" t="str">
        <f ca="1">IF( ISNA( VLOOKUP( APIF_Import!$M18 &amp; APIF_Import!$E$1,Podesavanja!$AA$3:$AD$24, 4, 0)), "", SUBSTITUTE( VALUE( VLOOKUP( APIF_Import!$C18, INDIRECT( "Lookup_" &amp; APIF_Import!$M18), VLOOKUP( APIF_Import!$M18 &amp; APIF_Import!$E$1,Podesavanja!$AA$3:$AD$24, 4, 0), 0)), ".", ","))</f>
        <v>0</v>
      </c>
      <c r="F18" s="364">
        <f ca="1">IF( ISNA( VLOOKUP( APIF_Import!$M18 &amp; APIF_Import!$F$1,Podesavanja!$AA$3:$AD$24, 4, 0)), "", VLOOKUP( APIF_Import!$C18, INDIRECT( "Lookup_" &amp; APIF_Import!$M18), VLOOKUP( APIF_Import!$M18 &amp; APIF_Import!$F$1,Podesavanja!$AA$3:$AD$24, 4, 0), 0))</f>
        <v>0</v>
      </c>
      <c r="G18" s="364">
        <f ca="1">IF( ISNA( VLOOKUP( APIF_Import!$M18 &amp; APIF_Import!$G$1,Podesavanja!$AA$3:$AD$24, 4, 0)), "", VLOOKUP( APIF_Import!$C18, INDIRECT( "Lookup_" &amp; APIF_Import!$M18), VLOOKUP( APIF_Import!$M18 &amp; APIF_Import!$G$1,Podesavanja!$AA$3:$AD$24, 4, 0), 0))</f>
        <v>0</v>
      </c>
      <c r="H18" s="364" t="str">
        <f ca="1">IF( ISNA( VLOOKUP( APIF_Import!$M18 &amp; APIF_Import!$H$1,Podesavanja!$AA$3:$AD$24, 4, 0)), "", VLOOKUP( APIF_Import!$C18, INDIRECT( "Lookup_" &amp; APIF_Import!$M18), VLOOKUP( APIF_Import!$M18 &amp; APIF_Import!$H$1,Podesavanja!$AA$3:$AD$24, 4, 0), 0))</f>
        <v/>
      </c>
      <c r="I18" s="364" t="str">
        <f ca="1">IF( ISNA( VLOOKUP( APIF_Import!$M18 &amp; APIF_Import!$I$1,Podesavanja!$AA$3:$AD$24, 4, 0)), "", VLOOKUP( APIF_Import!$C18, INDIRECT( "Lookup_" &amp; APIF_Import!$M18), VLOOKUP( APIF_Import!$M18 &amp; APIF_Import!$I$1,Podesavanja!$AA$3:$AD$24, 4, 0), 0))</f>
        <v/>
      </c>
      <c r="J18" s="364" t="str">
        <f ca="1">IF( ISNA( VLOOKUP( APIF_Import!$M18 &amp; APIF_Import!$J$1,Podesavanja!$AA$3:$AD$24, 4, 0)), "", VLOOKUP( APIF_Import!$C18, INDIRECT( "Lookup_" &amp; APIF_Import!$M18), VLOOKUP( APIF_Import!$M18 &amp; APIF_Import!$J$1,Podesavanja!$AA$3:$AD$24, 4, 0), 0))</f>
        <v/>
      </c>
      <c r="K18" s="364" t="str">
        <f ca="1">IF( ISNA( VLOOKUP( APIF_Import!$M18 &amp; APIF_Import!$K$1,Podesavanja!$AA$3:$AD$24, 4, 0)), "", VLOOKUP( APIF_Import!$C18, INDIRECT( "Lookup_" &amp; APIF_Import!$M18), VLOOKUP( APIF_Import!$M18 &amp; APIF_Import!$K$1,Podesavanja!$AA$3:$AD$24, 4, 0), 0))</f>
        <v/>
      </c>
      <c r="L18" s="8">
        <v>18</v>
      </c>
      <c r="M18" s="8" t="s">
        <v>297</v>
      </c>
    </row>
    <row r="19" spans="2:13" x14ac:dyDescent="0.2">
      <c r="B19" s="8">
        <f>VLOOKUP( APIF_Import!$M19, Podesavanja!$N$3:$Q$9, 4, 0)</f>
        <v>1</v>
      </c>
      <c r="C19" s="363">
        <f>VLOOKUP( APIF_Import!$L19, Aop!$A$2:$N$415, 4, 0)</f>
        <v>18</v>
      </c>
      <c r="D19" s="364" t="str">
        <f ca="1">IF( ISNA( VLOOKUP( APIF_Import!$M19 &amp; APIF_Import!$D$1,Podesavanja!$AA$3:$AD$24, 4, 0)), "", SUBSTITUTE( VALUE( VLOOKUP( APIF_Import!$C19, INDIRECT( "Lookup_" &amp; APIF_Import!$M19), VLOOKUP( APIF_Import!$M19 &amp; APIF_Import!$D$1,Podesavanja!$AA$3:$AD$24, 4, 0), 0)), ".", ","))</f>
        <v>0</v>
      </c>
      <c r="E19" s="364" t="str">
        <f ca="1">IF( ISNA( VLOOKUP( APIF_Import!$M19 &amp; APIF_Import!$E$1,Podesavanja!$AA$3:$AD$24, 4, 0)), "", SUBSTITUTE( VALUE( VLOOKUP( APIF_Import!$C19, INDIRECT( "Lookup_" &amp; APIF_Import!$M19), VLOOKUP( APIF_Import!$M19 &amp; APIF_Import!$E$1,Podesavanja!$AA$3:$AD$24, 4, 0), 0)), ".", ","))</f>
        <v>0</v>
      </c>
      <c r="F19" s="364">
        <f ca="1">IF( ISNA( VLOOKUP( APIF_Import!$M19 &amp; APIF_Import!$F$1,Podesavanja!$AA$3:$AD$24, 4, 0)), "", VLOOKUP( APIF_Import!$C19, INDIRECT( "Lookup_" &amp; APIF_Import!$M19), VLOOKUP( APIF_Import!$M19 &amp; APIF_Import!$F$1,Podesavanja!$AA$3:$AD$24, 4, 0), 0))</f>
        <v>0</v>
      </c>
      <c r="G19" s="364">
        <f ca="1">IF( ISNA( VLOOKUP( APIF_Import!$M19 &amp; APIF_Import!$G$1,Podesavanja!$AA$3:$AD$24, 4, 0)), "", VLOOKUP( APIF_Import!$C19, INDIRECT( "Lookup_" &amp; APIF_Import!$M19), VLOOKUP( APIF_Import!$M19 &amp; APIF_Import!$G$1,Podesavanja!$AA$3:$AD$24, 4, 0), 0))</f>
        <v>0</v>
      </c>
      <c r="H19" s="364" t="str">
        <f ca="1">IF( ISNA( VLOOKUP( APIF_Import!$M19 &amp; APIF_Import!$H$1,Podesavanja!$AA$3:$AD$24, 4, 0)), "", VLOOKUP( APIF_Import!$C19, INDIRECT( "Lookup_" &amp; APIF_Import!$M19), VLOOKUP( APIF_Import!$M19 &amp; APIF_Import!$H$1,Podesavanja!$AA$3:$AD$24, 4, 0), 0))</f>
        <v/>
      </c>
      <c r="I19" s="364" t="str">
        <f ca="1">IF( ISNA( VLOOKUP( APIF_Import!$M19 &amp; APIF_Import!$I$1,Podesavanja!$AA$3:$AD$24, 4, 0)), "", VLOOKUP( APIF_Import!$C19, INDIRECT( "Lookup_" &amp; APIF_Import!$M19), VLOOKUP( APIF_Import!$M19 &amp; APIF_Import!$I$1,Podesavanja!$AA$3:$AD$24, 4, 0), 0))</f>
        <v/>
      </c>
      <c r="J19" s="364" t="str">
        <f ca="1">IF( ISNA( VLOOKUP( APIF_Import!$M19 &amp; APIF_Import!$J$1,Podesavanja!$AA$3:$AD$24, 4, 0)), "", VLOOKUP( APIF_Import!$C19, INDIRECT( "Lookup_" &amp; APIF_Import!$M19), VLOOKUP( APIF_Import!$M19 &amp; APIF_Import!$J$1,Podesavanja!$AA$3:$AD$24, 4, 0), 0))</f>
        <v/>
      </c>
      <c r="K19" s="364" t="str">
        <f ca="1">IF( ISNA( VLOOKUP( APIF_Import!$M19 &amp; APIF_Import!$K$1,Podesavanja!$AA$3:$AD$24, 4, 0)), "", VLOOKUP( APIF_Import!$C19, INDIRECT( "Lookup_" &amp; APIF_Import!$M19), VLOOKUP( APIF_Import!$M19 &amp; APIF_Import!$K$1,Podesavanja!$AA$3:$AD$24, 4, 0), 0))</f>
        <v/>
      </c>
      <c r="L19" s="8">
        <v>19</v>
      </c>
      <c r="M19" s="8" t="s">
        <v>297</v>
      </c>
    </row>
    <row r="20" spans="2:13" x14ac:dyDescent="0.2">
      <c r="B20" s="8">
        <f>VLOOKUP( APIF_Import!$M20, Podesavanja!$N$3:$Q$9, 4, 0)</f>
        <v>1</v>
      </c>
      <c r="C20" s="363">
        <f>VLOOKUP( APIF_Import!$L20, Aop!$A$2:$N$415, 4, 0)</f>
        <v>19</v>
      </c>
      <c r="D20" s="364" t="str">
        <f ca="1">IF( ISNA( VLOOKUP( APIF_Import!$M20 &amp; APIF_Import!$D$1,Podesavanja!$AA$3:$AD$24, 4, 0)), "", SUBSTITUTE( VALUE( VLOOKUP( APIF_Import!$C20, INDIRECT( "Lookup_" &amp; APIF_Import!$M20), VLOOKUP( APIF_Import!$M20 &amp; APIF_Import!$D$1,Podesavanja!$AA$3:$AD$24, 4, 0), 0)), ".", ","))</f>
        <v>0</v>
      </c>
      <c r="E20" s="364" t="str">
        <f ca="1">IF( ISNA( VLOOKUP( APIF_Import!$M20 &amp; APIF_Import!$E$1,Podesavanja!$AA$3:$AD$24, 4, 0)), "", SUBSTITUTE( VALUE( VLOOKUP( APIF_Import!$C20, INDIRECT( "Lookup_" &amp; APIF_Import!$M20), VLOOKUP( APIF_Import!$M20 &amp; APIF_Import!$E$1,Podesavanja!$AA$3:$AD$24, 4, 0), 0)), ".", ","))</f>
        <v>0</v>
      </c>
      <c r="F20" s="364">
        <f ca="1">IF( ISNA( VLOOKUP( APIF_Import!$M20 &amp; APIF_Import!$F$1,Podesavanja!$AA$3:$AD$24, 4, 0)), "", VLOOKUP( APIF_Import!$C20, INDIRECT( "Lookup_" &amp; APIF_Import!$M20), VLOOKUP( APIF_Import!$M20 &amp; APIF_Import!$F$1,Podesavanja!$AA$3:$AD$24, 4, 0), 0))</f>
        <v>0</v>
      </c>
      <c r="G20" s="364">
        <f ca="1">IF( ISNA( VLOOKUP( APIF_Import!$M20 &amp; APIF_Import!$G$1,Podesavanja!$AA$3:$AD$24, 4, 0)), "", VLOOKUP( APIF_Import!$C20, INDIRECT( "Lookup_" &amp; APIF_Import!$M20), VLOOKUP( APIF_Import!$M20 &amp; APIF_Import!$G$1,Podesavanja!$AA$3:$AD$24, 4, 0), 0))</f>
        <v>0</v>
      </c>
      <c r="H20" s="364" t="str">
        <f ca="1">IF( ISNA( VLOOKUP( APIF_Import!$M20 &amp; APIF_Import!$H$1,Podesavanja!$AA$3:$AD$24, 4, 0)), "", VLOOKUP( APIF_Import!$C20, INDIRECT( "Lookup_" &amp; APIF_Import!$M20), VLOOKUP( APIF_Import!$M20 &amp; APIF_Import!$H$1,Podesavanja!$AA$3:$AD$24, 4, 0), 0))</f>
        <v/>
      </c>
      <c r="I20" s="364" t="str">
        <f ca="1">IF( ISNA( VLOOKUP( APIF_Import!$M20 &amp; APIF_Import!$I$1,Podesavanja!$AA$3:$AD$24, 4, 0)), "", VLOOKUP( APIF_Import!$C20, INDIRECT( "Lookup_" &amp; APIF_Import!$M20), VLOOKUP( APIF_Import!$M20 &amp; APIF_Import!$I$1,Podesavanja!$AA$3:$AD$24, 4, 0), 0))</f>
        <v/>
      </c>
      <c r="J20" s="364" t="str">
        <f ca="1">IF( ISNA( VLOOKUP( APIF_Import!$M20 &amp; APIF_Import!$J$1,Podesavanja!$AA$3:$AD$24, 4, 0)), "", VLOOKUP( APIF_Import!$C20, INDIRECT( "Lookup_" &amp; APIF_Import!$M20), VLOOKUP( APIF_Import!$M20 &amp; APIF_Import!$J$1,Podesavanja!$AA$3:$AD$24, 4, 0), 0))</f>
        <v/>
      </c>
      <c r="K20" s="364" t="str">
        <f ca="1">IF( ISNA( VLOOKUP( APIF_Import!$M20 &amp; APIF_Import!$K$1,Podesavanja!$AA$3:$AD$24, 4, 0)), "", VLOOKUP( APIF_Import!$C20, INDIRECT( "Lookup_" &amp; APIF_Import!$M20), VLOOKUP( APIF_Import!$M20 &amp; APIF_Import!$K$1,Podesavanja!$AA$3:$AD$24, 4, 0), 0))</f>
        <v/>
      </c>
      <c r="L20" s="8">
        <v>20</v>
      </c>
      <c r="M20" s="8" t="s">
        <v>297</v>
      </c>
    </row>
    <row r="21" spans="2:13" x14ac:dyDescent="0.2">
      <c r="B21" s="8">
        <f>VLOOKUP( APIF_Import!$M21, Podesavanja!$N$3:$Q$9, 4, 0)</f>
        <v>1</v>
      </c>
      <c r="C21" s="363">
        <f>VLOOKUP( APIF_Import!$L21, Aop!$A$2:$N$415, 4, 0)</f>
        <v>20</v>
      </c>
      <c r="D21" s="364" t="str">
        <f ca="1">IF( ISNA( VLOOKUP( APIF_Import!$M21 &amp; APIF_Import!$D$1,Podesavanja!$AA$3:$AD$24, 4, 0)), "", SUBSTITUTE( VALUE( VLOOKUP( APIF_Import!$C21, INDIRECT( "Lookup_" &amp; APIF_Import!$M21), VLOOKUP( APIF_Import!$M21 &amp; APIF_Import!$D$1,Podesavanja!$AA$3:$AD$24, 4, 0), 0)), ".", ","))</f>
        <v>0</v>
      </c>
      <c r="E21" s="364" t="str">
        <f ca="1">IF( ISNA( VLOOKUP( APIF_Import!$M21 &amp; APIF_Import!$E$1,Podesavanja!$AA$3:$AD$24, 4, 0)), "", SUBSTITUTE( VALUE( VLOOKUP( APIF_Import!$C21, INDIRECT( "Lookup_" &amp; APIF_Import!$M21), VLOOKUP( APIF_Import!$M21 &amp; APIF_Import!$E$1,Podesavanja!$AA$3:$AD$24, 4, 0), 0)), ".", ","))</f>
        <v>0</v>
      </c>
      <c r="F21" s="364">
        <f ca="1">IF( ISNA( VLOOKUP( APIF_Import!$M21 &amp; APIF_Import!$F$1,Podesavanja!$AA$3:$AD$24, 4, 0)), "", VLOOKUP( APIF_Import!$C21, INDIRECT( "Lookup_" &amp; APIF_Import!$M21), VLOOKUP( APIF_Import!$M21 &amp; APIF_Import!$F$1,Podesavanja!$AA$3:$AD$24, 4, 0), 0))</f>
        <v>0</v>
      </c>
      <c r="G21" s="364">
        <f ca="1">IF( ISNA( VLOOKUP( APIF_Import!$M21 &amp; APIF_Import!$G$1,Podesavanja!$AA$3:$AD$24, 4, 0)), "", VLOOKUP( APIF_Import!$C21, INDIRECT( "Lookup_" &amp; APIF_Import!$M21), VLOOKUP( APIF_Import!$M21 &amp; APIF_Import!$G$1,Podesavanja!$AA$3:$AD$24, 4, 0), 0))</f>
        <v>0</v>
      </c>
      <c r="H21" s="364" t="str">
        <f ca="1">IF( ISNA( VLOOKUP( APIF_Import!$M21 &amp; APIF_Import!$H$1,Podesavanja!$AA$3:$AD$24, 4, 0)), "", VLOOKUP( APIF_Import!$C21, INDIRECT( "Lookup_" &amp; APIF_Import!$M21), VLOOKUP( APIF_Import!$M21 &amp; APIF_Import!$H$1,Podesavanja!$AA$3:$AD$24, 4, 0), 0))</f>
        <v/>
      </c>
      <c r="I21" s="364" t="str">
        <f ca="1">IF( ISNA( VLOOKUP( APIF_Import!$M21 &amp; APIF_Import!$I$1,Podesavanja!$AA$3:$AD$24, 4, 0)), "", VLOOKUP( APIF_Import!$C21, INDIRECT( "Lookup_" &amp; APIF_Import!$M21), VLOOKUP( APIF_Import!$M21 &amp; APIF_Import!$I$1,Podesavanja!$AA$3:$AD$24, 4, 0), 0))</f>
        <v/>
      </c>
      <c r="J21" s="364" t="str">
        <f ca="1">IF( ISNA( VLOOKUP( APIF_Import!$M21 &amp; APIF_Import!$J$1,Podesavanja!$AA$3:$AD$24, 4, 0)), "", VLOOKUP( APIF_Import!$C21, INDIRECT( "Lookup_" &amp; APIF_Import!$M21), VLOOKUP( APIF_Import!$M21 &amp; APIF_Import!$J$1,Podesavanja!$AA$3:$AD$24, 4, 0), 0))</f>
        <v/>
      </c>
      <c r="K21" s="364" t="str">
        <f ca="1">IF( ISNA( VLOOKUP( APIF_Import!$M21 &amp; APIF_Import!$K$1,Podesavanja!$AA$3:$AD$24, 4, 0)), "", VLOOKUP( APIF_Import!$C21, INDIRECT( "Lookup_" &amp; APIF_Import!$M21), VLOOKUP( APIF_Import!$M21 &amp; APIF_Import!$K$1,Podesavanja!$AA$3:$AD$24, 4, 0), 0))</f>
        <v/>
      </c>
      <c r="L21" s="8">
        <v>21</v>
      </c>
      <c r="M21" s="8" t="s">
        <v>297</v>
      </c>
    </row>
    <row r="22" spans="2:13" x14ac:dyDescent="0.2">
      <c r="B22" s="8">
        <f>VLOOKUP( APIF_Import!$M22, Podesavanja!$N$3:$Q$9, 4, 0)</f>
        <v>1</v>
      </c>
      <c r="C22" s="363">
        <f>VLOOKUP( APIF_Import!$L22, Aop!$A$2:$N$415, 4, 0)</f>
        <v>21</v>
      </c>
      <c r="D22" s="364" t="str">
        <f ca="1">IF( ISNA( VLOOKUP( APIF_Import!$M22 &amp; APIF_Import!$D$1,Podesavanja!$AA$3:$AD$24, 4, 0)), "", SUBSTITUTE( VALUE( VLOOKUP( APIF_Import!$C22, INDIRECT( "Lookup_" &amp; APIF_Import!$M22), VLOOKUP( APIF_Import!$M22 &amp; APIF_Import!$D$1,Podesavanja!$AA$3:$AD$24, 4, 0), 0)), ".", ","))</f>
        <v>30433</v>
      </c>
      <c r="E22" s="364" t="str">
        <f ca="1">IF( ISNA( VLOOKUP( APIF_Import!$M22 &amp; APIF_Import!$E$1,Podesavanja!$AA$3:$AD$24, 4, 0)), "", SUBSTITUTE( VALUE( VLOOKUP( APIF_Import!$C22, INDIRECT( "Lookup_" &amp; APIF_Import!$M22), VLOOKUP( APIF_Import!$M22 &amp; APIF_Import!$E$1,Podesavanja!$AA$3:$AD$24, 4, 0), 0)), ".", ","))</f>
        <v>0</v>
      </c>
      <c r="F22" s="364">
        <f ca="1">IF( ISNA( VLOOKUP( APIF_Import!$M22 &amp; APIF_Import!$F$1,Podesavanja!$AA$3:$AD$24, 4, 0)), "", VLOOKUP( APIF_Import!$C22, INDIRECT( "Lookup_" &amp; APIF_Import!$M22), VLOOKUP( APIF_Import!$M22 &amp; APIF_Import!$F$1,Podesavanja!$AA$3:$AD$24, 4, 0), 0))</f>
        <v>30433</v>
      </c>
      <c r="G22" s="364">
        <f ca="1">IF( ISNA( VLOOKUP( APIF_Import!$M22 &amp; APIF_Import!$G$1,Podesavanja!$AA$3:$AD$24, 4, 0)), "", VLOOKUP( APIF_Import!$C22, INDIRECT( "Lookup_" &amp; APIF_Import!$M22), VLOOKUP( APIF_Import!$M22 &amp; APIF_Import!$G$1,Podesavanja!$AA$3:$AD$24, 4, 0), 0))</f>
        <v>30433</v>
      </c>
      <c r="H22" s="364" t="str">
        <f ca="1">IF( ISNA( VLOOKUP( APIF_Import!$M22 &amp; APIF_Import!$H$1,Podesavanja!$AA$3:$AD$24, 4, 0)), "", VLOOKUP( APIF_Import!$C22, INDIRECT( "Lookup_" &amp; APIF_Import!$M22), VLOOKUP( APIF_Import!$M22 &amp; APIF_Import!$H$1,Podesavanja!$AA$3:$AD$24, 4, 0), 0))</f>
        <v/>
      </c>
      <c r="I22" s="364" t="str">
        <f ca="1">IF( ISNA( VLOOKUP( APIF_Import!$M22 &amp; APIF_Import!$I$1,Podesavanja!$AA$3:$AD$24, 4, 0)), "", VLOOKUP( APIF_Import!$C22, INDIRECT( "Lookup_" &amp; APIF_Import!$M22), VLOOKUP( APIF_Import!$M22 &amp; APIF_Import!$I$1,Podesavanja!$AA$3:$AD$24, 4, 0), 0))</f>
        <v/>
      </c>
      <c r="J22" s="364" t="str">
        <f ca="1">IF( ISNA( VLOOKUP( APIF_Import!$M22 &amp; APIF_Import!$J$1,Podesavanja!$AA$3:$AD$24, 4, 0)), "", VLOOKUP( APIF_Import!$C22, INDIRECT( "Lookup_" &amp; APIF_Import!$M22), VLOOKUP( APIF_Import!$M22 &amp; APIF_Import!$J$1,Podesavanja!$AA$3:$AD$24, 4, 0), 0))</f>
        <v/>
      </c>
      <c r="K22" s="364" t="str">
        <f ca="1">IF( ISNA( VLOOKUP( APIF_Import!$M22 &amp; APIF_Import!$K$1,Podesavanja!$AA$3:$AD$24, 4, 0)), "", VLOOKUP( APIF_Import!$C22, INDIRECT( "Lookup_" &amp; APIF_Import!$M22), VLOOKUP( APIF_Import!$M22 &amp; APIF_Import!$K$1,Podesavanja!$AA$3:$AD$24, 4, 0), 0))</f>
        <v/>
      </c>
      <c r="L22" s="8">
        <v>22</v>
      </c>
      <c r="M22" s="8" t="s">
        <v>297</v>
      </c>
    </row>
    <row r="23" spans="2:13" x14ac:dyDescent="0.2">
      <c r="B23" s="8">
        <f>VLOOKUP( APIF_Import!$M23, Podesavanja!$N$3:$Q$9, 4, 0)</f>
        <v>1</v>
      </c>
      <c r="C23" s="363">
        <f>VLOOKUP( APIF_Import!$L23, Aop!$A$2:$N$415, 4, 0)</f>
        <v>22</v>
      </c>
      <c r="D23" s="364" t="str">
        <f ca="1">IF( ISNA( VLOOKUP( APIF_Import!$M23 &amp; APIF_Import!$D$1,Podesavanja!$AA$3:$AD$24, 4, 0)), "", SUBSTITUTE( VALUE( VLOOKUP( APIF_Import!$C23, INDIRECT( "Lookup_" &amp; APIF_Import!$M23), VLOOKUP( APIF_Import!$M23 &amp; APIF_Import!$D$1,Podesavanja!$AA$3:$AD$24, 4, 0), 0)), ".", ","))</f>
        <v>30433</v>
      </c>
      <c r="E23" s="364" t="str">
        <f ca="1">IF( ISNA( VLOOKUP( APIF_Import!$M23 &amp; APIF_Import!$E$1,Podesavanja!$AA$3:$AD$24, 4, 0)), "", SUBSTITUTE( VALUE( VLOOKUP( APIF_Import!$C23, INDIRECT( "Lookup_" &amp; APIF_Import!$M23), VLOOKUP( APIF_Import!$M23 &amp; APIF_Import!$E$1,Podesavanja!$AA$3:$AD$24, 4, 0), 0)), ".", ","))</f>
        <v>0</v>
      </c>
      <c r="F23" s="364">
        <f ca="1">IF( ISNA( VLOOKUP( APIF_Import!$M23 &amp; APIF_Import!$F$1,Podesavanja!$AA$3:$AD$24, 4, 0)), "", VLOOKUP( APIF_Import!$C23, INDIRECT( "Lookup_" &amp; APIF_Import!$M23), VLOOKUP( APIF_Import!$M23 &amp; APIF_Import!$F$1,Podesavanja!$AA$3:$AD$24, 4, 0), 0))</f>
        <v>30433</v>
      </c>
      <c r="G23" s="364">
        <f ca="1">IF( ISNA( VLOOKUP( APIF_Import!$M23 &amp; APIF_Import!$G$1,Podesavanja!$AA$3:$AD$24, 4, 0)), "", VLOOKUP( APIF_Import!$C23, INDIRECT( "Lookup_" &amp; APIF_Import!$M23), VLOOKUP( APIF_Import!$M23 &amp; APIF_Import!$G$1,Podesavanja!$AA$3:$AD$24, 4, 0), 0))</f>
        <v>30433</v>
      </c>
      <c r="H23" s="364" t="str">
        <f ca="1">IF( ISNA( VLOOKUP( APIF_Import!$M23 &amp; APIF_Import!$H$1,Podesavanja!$AA$3:$AD$24, 4, 0)), "", VLOOKUP( APIF_Import!$C23, INDIRECT( "Lookup_" &amp; APIF_Import!$M23), VLOOKUP( APIF_Import!$M23 &amp; APIF_Import!$H$1,Podesavanja!$AA$3:$AD$24, 4, 0), 0))</f>
        <v/>
      </c>
      <c r="I23" s="364" t="str">
        <f ca="1">IF( ISNA( VLOOKUP( APIF_Import!$M23 &amp; APIF_Import!$I$1,Podesavanja!$AA$3:$AD$24, 4, 0)), "", VLOOKUP( APIF_Import!$C23, INDIRECT( "Lookup_" &amp; APIF_Import!$M23), VLOOKUP( APIF_Import!$M23 &amp; APIF_Import!$I$1,Podesavanja!$AA$3:$AD$24, 4, 0), 0))</f>
        <v/>
      </c>
      <c r="J23" s="364" t="str">
        <f ca="1">IF( ISNA( VLOOKUP( APIF_Import!$M23 &amp; APIF_Import!$J$1,Podesavanja!$AA$3:$AD$24, 4, 0)), "", VLOOKUP( APIF_Import!$C23, INDIRECT( "Lookup_" &amp; APIF_Import!$M23), VLOOKUP( APIF_Import!$M23 &amp; APIF_Import!$J$1,Podesavanja!$AA$3:$AD$24, 4, 0), 0))</f>
        <v/>
      </c>
      <c r="K23" s="364" t="str">
        <f ca="1">IF( ISNA( VLOOKUP( APIF_Import!$M23 &amp; APIF_Import!$K$1,Podesavanja!$AA$3:$AD$24, 4, 0)), "", VLOOKUP( APIF_Import!$C23, INDIRECT( "Lookup_" &amp; APIF_Import!$M23), VLOOKUP( APIF_Import!$M23 &amp; APIF_Import!$K$1,Podesavanja!$AA$3:$AD$24, 4, 0), 0))</f>
        <v/>
      </c>
      <c r="L23" s="8">
        <v>23</v>
      </c>
      <c r="M23" s="8" t="s">
        <v>297</v>
      </c>
    </row>
    <row r="24" spans="2:13" x14ac:dyDescent="0.2">
      <c r="B24" s="8">
        <f>VLOOKUP( APIF_Import!$M24, Podesavanja!$N$3:$Q$9, 4, 0)</f>
        <v>1</v>
      </c>
      <c r="C24" s="363">
        <f>VLOOKUP( APIF_Import!$L24, Aop!$A$2:$N$415, 4, 0)</f>
        <v>23</v>
      </c>
      <c r="D24" s="364" t="str">
        <f ca="1">IF( ISNA( VLOOKUP( APIF_Import!$M24 &amp; APIF_Import!$D$1,Podesavanja!$AA$3:$AD$24, 4, 0)), "", SUBSTITUTE( VALUE( VLOOKUP( APIF_Import!$C24, INDIRECT( "Lookup_" &amp; APIF_Import!$M24), VLOOKUP( APIF_Import!$M24 &amp; APIF_Import!$D$1,Podesavanja!$AA$3:$AD$24, 4, 0), 0)), ".", ","))</f>
        <v>0</v>
      </c>
      <c r="E24" s="364" t="str">
        <f ca="1">IF( ISNA( VLOOKUP( APIF_Import!$M24 &amp; APIF_Import!$E$1,Podesavanja!$AA$3:$AD$24, 4, 0)), "", SUBSTITUTE( VALUE( VLOOKUP( APIF_Import!$C24, INDIRECT( "Lookup_" &amp; APIF_Import!$M24), VLOOKUP( APIF_Import!$M24 &amp; APIF_Import!$E$1,Podesavanja!$AA$3:$AD$24, 4, 0), 0)), ".", ","))</f>
        <v>0</v>
      </c>
      <c r="F24" s="364">
        <f ca="1">IF( ISNA( VLOOKUP( APIF_Import!$M24 &amp; APIF_Import!$F$1,Podesavanja!$AA$3:$AD$24, 4, 0)), "", VLOOKUP( APIF_Import!$C24, INDIRECT( "Lookup_" &amp; APIF_Import!$M24), VLOOKUP( APIF_Import!$M24 &amp; APIF_Import!$F$1,Podesavanja!$AA$3:$AD$24, 4, 0), 0))</f>
        <v>0</v>
      </c>
      <c r="G24" s="364">
        <f ca="1">IF( ISNA( VLOOKUP( APIF_Import!$M24 &amp; APIF_Import!$G$1,Podesavanja!$AA$3:$AD$24, 4, 0)), "", VLOOKUP( APIF_Import!$C24, INDIRECT( "Lookup_" &amp; APIF_Import!$M24), VLOOKUP( APIF_Import!$M24 &amp; APIF_Import!$G$1,Podesavanja!$AA$3:$AD$24, 4, 0), 0))</f>
        <v>0</v>
      </c>
      <c r="H24" s="364" t="str">
        <f ca="1">IF( ISNA( VLOOKUP( APIF_Import!$M24 &amp; APIF_Import!$H$1,Podesavanja!$AA$3:$AD$24, 4, 0)), "", VLOOKUP( APIF_Import!$C24, INDIRECT( "Lookup_" &amp; APIF_Import!$M24), VLOOKUP( APIF_Import!$M24 &amp; APIF_Import!$H$1,Podesavanja!$AA$3:$AD$24, 4, 0), 0))</f>
        <v/>
      </c>
      <c r="I24" s="364" t="str">
        <f ca="1">IF( ISNA( VLOOKUP( APIF_Import!$M24 &amp; APIF_Import!$I$1,Podesavanja!$AA$3:$AD$24, 4, 0)), "", VLOOKUP( APIF_Import!$C24, INDIRECT( "Lookup_" &amp; APIF_Import!$M24), VLOOKUP( APIF_Import!$M24 &amp; APIF_Import!$I$1,Podesavanja!$AA$3:$AD$24, 4, 0), 0))</f>
        <v/>
      </c>
      <c r="J24" s="364" t="str">
        <f ca="1">IF( ISNA( VLOOKUP( APIF_Import!$M24 &amp; APIF_Import!$J$1,Podesavanja!$AA$3:$AD$24, 4, 0)), "", VLOOKUP( APIF_Import!$C24, INDIRECT( "Lookup_" &amp; APIF_Import!$M24), VLOOKUP( APIF_Import!$M24 &amp; APIF_Import!$J$1,Podesavanja!$AA$3:$AD$24, 4, 0), 0))</f>
        <v/>
      </c>
      <c r="K24" s="364" t="str">
        <f ca="1">IF( ISNA( VLOOKUP( APIF_Import!$M24 &amp; APIF_Import!$K$1,Podesavanja!$AA$3:$AD$24, 4, 0)), "", VLOOKUP( APIF_Import!$C24, INDIRECT( "Lookup_" &amp; APIF_Import!$M24), VLOOKUP( APIF_Import!$M24 &amp; APIF_Import!$K$1,Podesavanja!$AA$3:$AD$24, 4, 0), 0))</f>
        <v/>
      </c>
      <c r="L24" s="8">
        <v>24</v>
      </c>
      <c r="M24" s="8" t="s">
        <v>297</v>
      </c>
    </row>
    <row r="25" spans="2:13" x14ac:dyDescent="0.2">
      <c r="B25" s="8">
        <f>VLOOKUP( APIF_Import!$M25, Podesavanja!$N$3:$Q$9, 4, 0)</f>
        <v>1</v>
      </c>
      <c r="C25" s="363">
        <f>VLOOKUP( APIF_Import!$L25, Aop!$A$2:$N$415, 4, 0)</f>
        <v>24</v>
      </c>
      <c r="D25" s="364" t="str">
        <f ca="1">IF( ISNA( VLOOKUP( APIF_Import!$M25 &amp; APIF_Import!$D$1,Podesavanja!$AA$3:$AD$24, 4, 0)), "", SUBSTITUTE( VALUE( VLOOKUP( APIF_Import!$C25, INDIRECT( "Lookup_" &amp; APIF_Import!$M25), VLOOKUP( APIF_Import!$M25 &amp; APIF_Import!$D$1,Podesavanja!$AA$3:$AD$24, 4, 0), 0)), ".", ","))</f>
        <v>0</v>
      </c>
      <c r="E25" s="364" t="str">
        <f ca="1">IF( ISNA( VLOOKUP( APIF_Import!$M25 &amp; APIF_Import!$E$1,Podesavanja!$AA$3:$AD$24, 4, 0)), "", SUBSTITUTE( VALUE( VLOOKUP( APIF_Import!$C25, INDIRECT( "Lookup_" &amp; APIF_Import!$M25), VLOOKUP( APIF_Import!$M25 &amp; APIF_Import!$E$1,Podesavanja!$AA$3:$AD$24, 4, 0), 0)), ".", ","))</f>
        <v>0</v>
      </c>
      <c r="F25" s="364">
        <f ca="1">IF( ISNA( VLOOKUP( APIF_Import!$M25 &amp; APIF_Import!$F$1,Podesavanja!$AA$3:$AD$24, 4, 0)), "", VLOOKUP( APIF_Import!$C25, INDIRECT( "Lookup_" &amp; APIF_Import!$M25), VLOOKUP( APIF_Import!$M25 &amp; APIF_Import!$F$1,Podesavanja!$AA$3:$AD$24, 4, 0), 0))</f>
        <v>0</v>
      </c>
      <c r="G25" s="364">
        <f ca="1">IF( ISNA( VLOOKUP( APIF_Import!$M25 &amp; APIF_Import!$G$1,Podesavanja!$AA$3:$AD$24, 4, 0)), "", VLOOKUP( APIF_Import!$C25, INDIRECT( "Lookup_" &amp; APIF_Import!$M25), VLOOKUP( APIF_Import!$M25 &amp; APIF_Import!$G$1,Podesavanja!$AA$3:$AD$24, 4, 0), 0))</f>
        <v>0</v>
      </c>
      <c r="H25" s="364" t="str">
        <f ca="1">IF( ISNA( VLOOKUP( APIF_Import!$M25 &amp; APIF_Import!$H$1,Podesavanja!$AA$3:$AD$24, 4, 0)), "", VLOOKUP( APIF_Import!$C25, INDIRECT( "Lookup_" &amp; APIF_Import!$M25), VLOOKUP( APIF_Import!$M25 &amp; APIF_Import!$H$1,Podesavanja!$AA$3:$AD$24, 4, 0), 0))</f>
        <v/>
      </c>
      <c r="I25" s="364" t="str">
        <f ca="1">IF( ISNA( VLOOKUP( APIF_Import!$M25 &amp; APIF_Import!$I$1,Podesavanja!$AA$3:$AD$24, 4, 0)), "", VLOOKUP( APIF_Import!$C25, INDIRECT( "Lookup_" &amp; APIF_Import!$M25), VLOOKUP( APIF_Import!$M25 &amp; APIF_Import!$I$1,Podesavanja!$AA$3:$AD$24, 4, 0), 0))</f>
        <v/>
      </c>
      <c r="J25" s="364" t="str">
        <f ca="1">IF( ISNA( VLOOKUP( APIF_Import!$M25 &amp; APIF_Import!$J$1,Podesavanja!$AA$3:$AD$24, 4, 0)), "", VLOOKUP( APIF_Import!$C25, INDIRECT( "Lookup_" &amp; APIF_Import!$M25), VLOOKUP( APIF_Import!$M25 &amp; APIF_Import!$J$1,Podesavanja!$AA$3:$AD$24, 4, 0), 0))</f>
        <v/>
      </c>
      <c r="K25" s="364" t="str">
        <f ca="1">IF( ISNA( VLOOKUP( APIF_Import!$M25 &amp; APIF_Import!$K$1,Podesavanja!$AA$3:$AD$24, 4, 0)), "", VLOOKUP( APIF_Import!$C25, INDIRECT( "Lookup_" &amp; APIF_Import!$M25), VLOOKUP( APIF_Import!$M25 &amp; APIF_Import!$K$1,Podesavanja!$AA$3:$AD$24, 4, 0), 0))</f>
        <v/>
      </c>
      <c r="L25" s="8">
        <v>25</v>
      </c>
      <c r="M25" s="8" t="s">
        <v>297</v>
      </c>
    </row>
    <row r="26" spans="2:13" x14ac:dyDescent="0.2">
      <c r="B26" s="8">
        <f>VLOOKUP( APIF_Import!$M26, Podesavanja!$N$3:$Q$9, 4, 0)</f>
        <v>1</v>
      </c>
      <c r="C26" s="363">
        <f>VLOOKUP( APIF_Import!$L26, Aop!$A$2:$N$415, 4, 0)</f>
        <v>25</v>
      </c>
      <c r="D26" s="364" t="str">
        <f ca="1">IF( ISNA( VLOOKUP( APIF_Import!$M26 &amp; APIF_Import!$D$1,Podesavanja!$AA$3:$AD$24, 4, 0)), "", SUBSTITUTE( VALUE( VLOOKUP( APIF_Import!$C26, INDIRECT( "Lookup_" &amp; APIF_Import!$M26), VLOOKUP( APIF_Import!$M26 &amp; APIF_Import!$D$1,Podesavanja!$AA$3:$AD$24, 4, 0), 0)), ".", ","))</f>
        <v>0</v>
      </c>
      <c r="E26" s="364" t="str">
        <f ca="1">IF( ISNA( VLOOKUP( APIF_Import!$M26 &amp; APIF_Import!$E$1,Podesavanja!$AA$3:$AD$24, 4, 0)), "", SUBSTITUTE( VALUE( VLOOKUP( APIF_Import!$C26, INDIRECT( "Lookup_" &amp; APIF_Import!$M26), VLOOKUP( APIF_Import!$M26 &amp; APIF_Import!$E$1,Podesavanja!$AA$3:$AD$24, 4, 0), 0)), ".", ","))</f>
        <v>0</v>
      </c>
      <c r="F26" s="364">
        <f ca="1">IF( ISNA( VLOOKUP( APIF_Import!$M26 &amp; APIF_Import!$F$1,Podesavanja!$AA$3:$AD$24, 4, 0)), "", VLOOKUP( APIF_Import!$C26, INDIRECT( "Lookup_" &amp; APIF_Import!$M26), VLOOKUP( APIF_Import!$M26 &amp; APIF_Import!$F$1,Podesavanja!$AA$3:$AD$24, 4, 0), 0))</f>
        <v>0</v>
      </c>
      <c r="G26" s="364">
        <f ca="1">IF( ISNA( VLOOKUP( APIF_Import!$M26 &amp; APIF_Import!$G$1,Podesavanja!$AA$3:$AD$24, 4, 0)), "", VLOOKUP( APIF_Import!$C26, INDIRECT( "Lookup_" &amp; APIF_Import!$M26), VLOOKUP( APIF_Import!$M26 &amp; APIF_Import!$G$1,Podesavanja!$AA$3:$AD$24, 4, 0), 0))</f>
        <v>0</v>
      </c>
      <c r="H26" s="364" t="str">
        <f ca="1">IF( ISNA( VLOOKUP( APIF_Import!$M26 &amp; APIF_Import!$H$1,Podesavanja!$AA$3:$AD$24, 4, 0)), "", VLOOKUP( APIF_Import!$C26, INDIRECT( "Lookup_" &amp; APIF_Import!$M26), VLOOKUP( APIF_Import!$M26 &amp; APIF_Import!$H$1,Podesavanja!$AA$3:$AD$24, 4, 0), 0))</f>
        <v/>
      </c>
      <c r="I26" s="364" t="str">
        <f ca="1">IF( ISNA( VLOOKUP( APIF_Import!$M26 &amp; APIF_Import!$I$1,Podesavanja!$AA$3:$AD$24, 4, 0)), "", VLOOKUP( APIF_Import!$C26, INDIRECT( "Lookup_" &amp; APIF_Import!$M26), VLOOKUP( APIF_Import!$M26 &amp; APIF_Import!$I$1,Podesavanja!$AA$3:$AD$24, 4, 0), 0))</f>
        <v/>
      </c>
      <c r="J26" s="364" t="str">
        <f ca="1">IF( ISNA( VLOOKUP( APIF_Import!$M26 &amp; APIF_Import!$J$1,Podesavanja!$AA$3:$AD$24, 4, 0)), "", VLOOKUP( APIF_Import!$C26, INDIRECT( "Lookup_" &amp; APIF_Import!$M26), VLOOKUP( APIF_Import!$M26 &amp; APIF_Import!$J$1,Podesavanja!$AA$3:$AD$24, 4, 0), 0))</f>
        <v/>
      </c>
      <c r="K26" s="364" t="str">
        <f ca="1">IF( ISNA( VLOOKUP( APIF_Import!$M26 &amp; APIF_Import!$K$1,Podesavanja!$AA$3:$AD$24, 4, 0)), "", VLOOKUP( APIF_Import!$C26, INDIRECT( "Lookup_" &amp; APIF_Import!$M26), VLOOKUP( APIF_Import!$M26 &amp; APIF_Import!$K$1,Podesavanja!$AA$3:$AD$24, 4, 0), 0))</f>
        <v/>
      </c>
      <c r="L26" s="8">
        <v>26</v>
      </c>
      <c r="M26" s="8" t="s">
        <v>297</v>
      </c>
    </row>
    <row r="27" spans="2:13" x14ac:dyDescent="0.2">
      <c r="B27" s="8">
        <f>VLOOKUP( APIF_Import!$M27, Podesavanja!$N$3:$Q$9, 4, 0)</f>
        <v>1</v>
      </c>
      <c r="C27" s="363">
        <f>VLOOKUP( APIF_Import!$L27, Aop!$A$2:$N$415, 4, 0)</f>
        <v>26</v>
      </c>
      <c r="D27" s="364" t="str">
        <f ca="1">IF( ISNA( VLOOKUP( APIF_Import!$M27 &amp; APIF_Import!$D$1,Podesavanja!$AA$3:$AD$24, 4, 0)), "", SUBSTITUTE( VALUE( VLOOKUP( APIF_Import!$C27, INDIRECT( "Lookup_" &amp; APIF_Import!$M27), VLOOKUP( APIF_Import!$M27 &amp; APIF_Import!$D$1,Podesavanja!$AA$3:$AD$24, 4, 0), 0)), ".", ","))</f>
        <v>0</v>
      </c>
      <c r="E27" s="364" t="str">
        <f ca="1">IF( ISNA( VLOOKUP( APIF_Import!$M27 &amp; APIF_Import!$E$1,Podesavanja!$AA$3:$AD$24, 4, 0)), "", SUBSTITUTE( VALUE( VLOOKUP( APIF_Import!$C27, INDIRECT( "Lookup_" &amp; APIF_Import!$M27), VLOOKUP( APIF_Import!$M27 &amp; APIF_Import!$E$1,Podesavanja!$AA$3:$AD$24, 4, 0), 0)), ".", ","))</f>
        <v>0</v>
      </c>
      <c r="F27" s="364">
        <f ca="1">IF( ISNA( VLOOKUP( APIF_Import!$M27 &amp; APIF_Import!$F$1,Podesavanja!$AA$3:$AD$24, 4, 0)), "", VLOOKUP( APIF_Import!$C27, INDIRECT( "Lookup_" &amp; APIF_Import!$M27), VLOOKUP( APIF_Import!$M27 &amp; APIF_Import!$F$1,Podesavanja!$AA$3:$AD$24, 4, 0), 0))</f>
        <v>0</v>
      </c>
      <c r="G27" s="364">
        <f ca="1">IF( ISNA( VLOOKUP( APIF_Import!$M27 &amp; APIF_Import!$G$1,Podesavanja!$AA$3:$AD$24, 4, 0)), "", VLOOKUP( APIF_Import!$C27, INDIRECT( "Lookup_" &amp; APIF_Import!$M27), VLOOKUP( APIF_Import!$M27 &amp; APIF_Import!$G$1,Podesavanja!$AA$3:$AD$24, 4, 0), 0))</f>
        <v>0</v>
      </c>
      <c r="H27" s="364" t="str">
        <f ca="1">IF( ISNA( VLOOKUP( APIF_Import!$M27 &amp; APIF_Import!$H$1,Podesavanja!$AA$3:$AD$24, 4, 0)), "", VLOOKUP( APIF_Import!$C27, INDIRECT( "Lookup_" &amp; APIF_Import!$M27), VLOOKUP( APIF_Import!$M27 &amp; APIF_Import!$H$1,Podesavanja!$AA$3:$AD$24, 4, 0), 0))</f>
        <v/>
      </c>
      <c r="I27" s="364" t="str">
        <f ca="1">IF( ISNA( VLOOKUP( APIF_Import!$M27 &amp; APIF_Import!$I$1,Podesavanja!$AA$3:$AD$24, 4, 0)), "", VLOOKUP( APIF_Import!$C27, INDIRECT( "Lookup_" &amp; APIF_Import!$M27), VLOOKUP( APIF_Import!$M27 &amp; APIF_Import!$I$1,Podesavanja!$AA$3:$AD$24, 4, 0), 0))</f>
        <v/>
      </c>
      <c r="J27" s="364" t="str">
        <f ca="1">IF( ISNA( VLOOKUP( APIF_Import!$M27 &amp; APIF_Import!$J$1,Podesavanja!$AA$3:$AD$24, 4, 0)), "", VLOOKUP( APIF_Import!$C27, INDIRECT( "Lookup_" &amp; APIF_Import!$M27), VLOOKUP( APIF_Import!$M27 &amp; APIF_Import!$J$1,Podesavanja!$AA$3:$AD$24, 4, 0), 0))</f>
        <v/>
      </c>
      <c r="K27" s="364" t="str">
        <f ca="1">IF( ISNA( VLOOKUP( APIF_Import!$M27 &amp; APIF_Import!$K$1,Podesavanja!$AA$3:$AD$24, 4, 0)), "", VLOOKUP( APIF_Import!$C27, INDIRECT( "Lookup_" &amp; APIF_Import!$M27), VLOOKUP( APIF_Import!$M27 &amp; APIF_Import!$K$1,Podesavanja!$AA$3:$AD$24, 4, 0), 0))</f>
        <v/>
      </c>
      <c r="L27" s="8">
        <v>27</v>
      </c>
      <c r="M27" s="8" t="s">
        <v>297</v>
      </c>
    </row>
    <row r="28" spans="2:13" x14ac:dyDescent="0.2">
      <c r="B28" s="8">
        <f>VLOOKUP( APIF_Import!$M28, Podesavanja!$N$3:$Q$9, 4, 0)</f>
        <v>1</v>
      </c>
      <c r="C28" s="363">
        <f>VLOOKUP( APIF_Import!$L28, Aop!$A$2:$N$415, 4, 0)</f>
        <v>27</v>
      </c>
      <c r="D28" s="364" t="str">
        <f ca="1">IF( ISNA( VLOOKUP( APIF_Import!$M28 &amp; APIF_Import!$D$1,Podesavanja!$AA$3:$AD$24, 4, 0)), "", SUBSTITUTE( VALUE( VLOOKUP( APIF_Import!$C28, INDIRECT( "Lookup_" &amp; APIF_Import!$M28), VLOOKUP( APIF_Import!$M28 &amp; APIF_Import!$D$1,Podesavanja!$AA$3:$AD$24, 4, 0), 0)), ".", ","))</f>
        <v>0</v>
      </c>
      <c r="E28" s="364" t="str">
        <f ca="1">IF( ISNA( VLOOKUP( APIF_Import!$M28 &amp; APIF_Import!$E$1,Podesavanja!$AA$3:$AD$24, 4, 0)), "", SUBSTITUTE( VALUE( VLOOKUP( APIF_Import!$C28, INDIRECT( "Lookup_" &amp; APIF_Import!$M28), VLOOKUP( APIF_Import!$M28 &amp; APIF_Import!$E$1,Podesavanja!$AA$3:$AD$24, 4, 0), 0)), ".", ","))</f>
        <v>0</v>
      </c>
      <c r="F28" s="364">
        <f ca="1">IF( ISNA( VLOOKUP( APIF_Import!$M28 &amp; APIF_Import!$F$1,Podesavanja!$AA$3:$AD$24, 4, 0)), "", VLOOKUP( APIF_Import!$C28, INDIRECT( "Lookup_" &amp; APIF_Import!$M28), VLOOKUP( APIF_Import!$M28 &amp; APIF_Import!$F$1,Podesavanja!$AA$3:$AD$24, 4, 0), 0))</f>
        <v>0</v>
      </c>
      <c r="G28" s="364">
        <f ca="1">IF( ISNA( VLOOKUP( APIF_Import!$M28 &amp; APIF_Import!$G$1,Podesavanja!$AA$3:$AD$24, 4, 0)), "", VLOOKUP( APIF_Import!$C28, INDIRECT( "Lookup_" &amp; APIF_Import!$M28), VLOOKUP( APIF_Import!$M28 &amp; APIF_Import!$G$1,Podesavanja!$AA$3:$AD$24, 4, 0), 0))</f>
        <v>0</v>
      </c>
      <c r="H28" s="364" t="str">
        <f ca="1">IF( ISNA( VLOOKUP( APIF_Import!$M28 &amp; APIF_Import!$H$1,Podesavanja!$AA$3:$AD$24, 4, 0)), "", VLOOKUP( APIF_Import!$C28, INDIRECT( "Lookup_" &amp; APIF_Import!$M28), VLOOKUP( APIF_Import!$M28 &amp; APIF_Import!$H$1,Podesavanja!$AA$3:$AD$24, 4, 0), 0))</f>
        <v/>
      </c>
      <c r="I28" s="364" t="str">
        <f ca="1">IF( ISNA( VLOOKUP( APIF_Import!$M28 &amp; APIF_Import!$I$1,Podesavanja!$AA$3:$AD$24, 4, 0)), "", VLOOKUP( APIF_Import!$C28, INDIRECT( "Lookup_" &amp; APIF_Import!$M28), VLOOKUP( APIF_Import!$M28 &amp; APIF_Import!$I$1,Podesavanja!$AA$3:$AD$24, 4, 0), 0))</f>
        <v/>
      </c>
      <c r="J28" s="364" t="str">
        <f ca="1">IF( ISNA( VLOOKUP( APIF_Import!$M28 &amp; APIF_Import!$J$1,Podesavanja!$AA$3:$AD$24, 4, 0)), "", VLOOKUP( APIF_Import!$C28, INDIRECT( "Lookup_" &amp; APIF_Import!$M28), VLOOKUP( APIF_Import!$M28 &amp; APIF_Import!$J$1,Podesavanja!$AA$3:$AD$24, 4, 0), 0))</f>
        <v/>
      </c>
      <c r="K28" s="364" t="str">
        <f ca="1">IF( ISNA( VLOOKUP( APIF_Import!$M28 &amp; APIF_Import!$K$1,Podesavanja!$AA$3:$AD$24, 4, 0)), "", VLOOKUP( APIF_Import!$C28, INDIRECT( "Lookup_" &amp; APIF_Import!$M28), VLOOKUP( APIF_Import!$M28 &amp; APIF_Import!$K$1,Podesavanja!$AA$3:$AD$24, 4, 0), 0))</f>
        <v/>
      </c>
      <c r="L28" s="8">
        <v>28</v>
      </c>
      <c r="M28" s="8" t="s">
        <v>297</v>
      </c>
    </row>
    <row r="29" spans="2:13" x14ac:dyDescent="0.2">
      <c r="B29" s="8">
        <f>VLOOKUP( APIF_Import!$M29, Podesavanja!$N$3:$Q$9, 4, 0)</f>
        <v>1</v>
      </c>
      <c r="C29" s="363">
        <f>VLOOKUP( APIF_Import!$L29, Aop!$A$2:$N$415, 4, 0)</f>
        <v>28</v>
      </c>
      <c r="D29" s="364" t="str">
        <f ca="1">IF( ISNA( VLOOKUP( APIF_Import!$M29 &amp; APIF_Import!$D$1,Podesavanja!$AA$3:$AD$24, 4, 0)), "", SUBSTITUTE( VALUE( VLOOKUP( APIF_Import!$C29, INDIRECT( "Lookup_" &amp; APIF_Import!$M29), VLOOKUP( APIF_Import!$M29 &amp; APIF_Import!$D$1,Podesavanja!$AA$3:$AD$24, 4, 0), 0)), ".", ","))</f>
        <v>0</v>
      </c>
      <c r="E29" s="364" t="str">
        <f ca="1">IF( ISNA( VLOOKUP( APIF_Import!$M29 &amp; APIF_Import!$E$1,Podesavanja!$AA$3:$AD$24, 4, 0)), "", SUBSTITUTE( VALUE( VLOOKUP( APIF_Import!$C29, INDIRECT( "Lookup_" &amp; APIF_Import!$M29), VLOOKUP( APIF_Import!$M29 &amp; APIF_Import!$E$1,Podesavanja!$AA$3:$AD$24, 4, 0), 0)), ".", ","))</f>
        <v>0</v>
      </c>
      <c r="F29" s="364">
        <f ca="1">IF( ISNA( VLOOKUP( APIF_Import!$M29 &amp; APIF_Import!$F$1,Podesavanja!$AA$3:$AD$24, 4, 0)), "", VLOOKUP( APIF_Import!$C29, INDIRECT( "Lookup_" &amp; APIF_Import!$M29), VLOOKUP( APIF_Import!$M29 &amp; APIF_Import!$F$1,Podesavanja!$AA$3:$AD$24, 4, 0), 0))</f>
        <v>0</v>
      </c>
      <c r="G29" s="364">
        <f ca="1">IF( ISNA( VLOOKUP( APIF_Import!$M29 &amp; APIF_Import!$G$1,Podesavanja!$AA$3:$AD$24, 4, 0)), "", VLOOKUP( APIF_Import!$C29, INDIRECT( "Lookup_" &amp; APIF_Import!$M29), VLOOKUP( APIF_Import!$M29 &amp; APIF_Import!$G$1,Podesavanja!$AA$3:$AD$24, 4, 0), 0))</f>
        <v>0</v>
      </c>
      <c r="H29" s="364" t="str">
        <f ca="1">IF( ISNA( VLOOKUP( APIF_Import!$M29 &amp; APIF_Import!$H$1,Podesavanja!$AA$3:$AD$24, 4, 0)), "", VLOOKUP( APIF_Import!$C29, INDIRECT( "Lookup_" &amp; APIF_Import!$M29), VLOOKUP( APIF_Import!$M29 &amp; APIF_Import!$H$1,Podesavanja!$AA$3:$AD$24, 4, 0), 0))</f>
        <v/>
      </c>
      <c r="I29" s="364" t="str">
        <f ca="1">IF( ISNA( VLOOKUP( APIF_Import!$M29 &amp; APIF_Import!$I$1,Podesavanja!$AA$3:$AD$24, 4, 0)), "", VLOOKUP( APIF_Import!$C29, INDIRECT( "Lookup_" &amp; APIF_Import!$M29), VLOOKUP( APIF_Import!$M29 &amp; APIF_Import!$I$1,Podesavanja!$AA$3:$AD$24, 4, 0), 0))</f>
        <v/>
      </c>
      <c r="J29" s="364" t="str">
        <f ca="1">IF( ISNA( VLOOKUP( APIF_Import!$M29 &amp; APIF_Import!$J$1,Podesavanja!$AA$3:$AD$24, 4, 0)), "", VLOOKUP( APIF_Import!$C29, INDIRECT( "Lookup_" &amp; APIF_Import!$M29), VLOOKUP( APIF_Import!$M29 &amp; APIF_Import!$J$1,Podesavanja!$AA$3:$AD$24, 4, 0), 0))</f>
        <v/>
      </c>
      <c r="K29" s="364" t="str">
        <f ca="1">IF( ISNA( VLOOKUP( APIF_Import!$M29 &amp; APIF_Import!$K$1,Podesavanja!$AA$3:$AD$24, 4, 0)), "", VLOOKUP( APIF_Import!$C29, INDIRECT( "Lookup_" &amp; APIF_Import!$M29), VLOOKUP( APIF_Import!$M29 &amp; APIF_Import!$K$1,Podesavanja!$AA$3:$AD$24, 4, 0), 0))</f>
        <v/>
      </c>
      <c r="L29" s="8">
        <v>29</v>
      </c>
      <c r="M29" s="8" t="s">
        <v>297</v>
      </c>
    </row>
    <row r="30" spans="2:13" x14ac:dyDescent="0.2">
      <c r="B30" s="8">
        <f>VLOOKUP( APIF_Import!$M30, Podesavanja!$N$3:$Q$9, 4, 0)</f>
        <v>1</v>
      </c>
      <c r="C30" s="363">
        <f>VLOOKUP( APIF_Import!$L30, Aop!$A$2:$N$415, 4, 0)</f>
        <v>29</v>
      </c>
      <c r="D30" s="364" t="str">
        <f ca="1">IF( ISNA( VLOOKUP( APIF_Import!$M30 &amp; APIF_Import!$D$1,Podesavanja!$AA$3:$AD$24, 4, 0)), "", SUBSTITUTE( VALUE( VLOOKUP( APIF_Import!$C30, INDIRECT( "Lookup_" &amp; APIF_Import!$M30), VLOOKUP( APIF_Import!$M30 &amp; APIF_Import!$D$1,Podesavanja!$AA$3:$AD$24, 4, 0), 0)), ".", ","))</f>
        <v>0</v>
      </c>
      <c r="E30" s="364" t="str">
        <f ca="1">IF( ISNA( VLOOKUP( APIF_Import!$M30 &amp; APIF_Import!$E$1,Podesavanja!$AA$3:$AD$24, 4, 0)), "", SUBSTITUTE( VALUE( VLOOKUP( APIF_Import!$C30, INDIRECT( "Lookup_" &amp; APIF_Import!$M30), VLOOKUP( APIF_Import!$M30 &amp; APIF_Import!$E$1,Podesavanja!$AA$3:$AD$24, 4, 0), 0)), ".", ","))</f>
        <v>0</v>
      </c>
      <c r="F30" s="364">
        <f ca="1">IF( ISNA( VLOOKUP( APIF_Import!$M30 &amp; APIF_Import!$F$1,Podesavanja!$AA$3:$AD$24, 4, 0)), "", VLOOKUP( APIF_Import!$C30, INDIRECT( "Lookup_" &amp; APIF_Import!$M30), VLOOKUP( APIF_Import!$M30 &amp; APIF_Import!$F$1,Podesavanja!$AA$3:$AD$24, 4, 0), 0))</f>
        <v>0</v>
      </c>
      <c r="G30" s="364">
        <f ca="1">IF( ISNA( VLOOKUP( APIF_Import!$M30 &amp; APIF_Import!$G$1,Podesavanja!$AA$3:$AD$24, 4, 0)), "", VLOOKUP( APIF_Import!$C30, INDIRECT( "Lookup_" &amp; APIF_Import!$M30), VLOOKUP( APIF_Import!$M30 &amp; APIF_Import!$G$1,Podesavanja!$AA$3:$AD$24, 4, 0), 0))</f>
        <v>0</v>
      </c>
      <c r="H30" s="364" t="str">
        <f ca="1">IF( ISNA( VLOOKUP( APIF_Import!$M30 &amp; APIF_Import!$H$1,Podesavanja!$AA$3:$AD$24, 4, 0)), "", VLOOKUP( APIF_Import!$C30, INDIRECT( "Lookup_" &amp; APIF_Import!$M30), VLOOKUP( APIF_Import!$M30 &amp; APIF_Import!$H$1,Podesavanja!$AA$3:$AD$24, 4, 0), 0))</f>
        <v/>
      </c>
      <c r="I30" s="364" t="str">
        <f ca="1">IF( ISNA( VLOOKUP( APIF_Import!$M30 &amp; APIF_Import!$I$1,Podesavanja!$AA$3:$AD$24, 4, 0)), "", VLOOKUP( APIF_Import!$C30, INDIRECT( "Lookup_" &amp; APIF_Import!$M30), VLOOKUP( APIF_Import!$M30 &amp; APIF_Import!$I$1,Podesavanja!$AA$3:$AD$24, 4, 0), 0))</f>
        <v/>
      </c>
      <c r="J30" s="364" t="str">
        <f ca="1">IF( ISNA( VLOOKUP( APIF_Import!$M30 &amp; APIF_Import!$J$1,Podesavanja!$AA$3:$AD$24, 4, 0)), "", VLOOKUP( APIF_Import!$C30, INDIRECT( "Lookup_" &amp; APIF_Import!$M30), VLOOKUP( APIF_Import!$M30 &amp; APIF_Import!$J$1,Podesavanja!$AA$3:$AD$24, 4, 0), 0))</f>
        <v/>
      </c>
      <c r="K30" s="364" t="str">
        <f ca="1">IF( ISNA( VLOOKUP( APIF_Import!$M30 &amp; APIF_Import!$K$1,Podesavanja!$AA$3:$AD$24, 4, 0)), "", VLOOKUP( APIF_Import!$C30, INDIRECT( "Lookup_" &amp; APIF_Import!$M30), VLOOKUP( APIF_Import!$M30 &amp; APIF_Import!$K$1,Podesavanja!$AA$3:$AD$24, 4, 0), 0))</f>
        <v/>
      </c>
      <c r="L30" s="8">
        <v>30</v>
      </c>
      <c r="M30" s="8" t="s">
        <v>297</v>
      </c>
    </row>
    <row r="31" spans="2:13" x14ac:dyDescent="0.2">
      <c r="B31" s="8">
        <f>VLOOKUP( APIF_Import!$M31, Podesavanja!$N$3:$Q$9, 4, 0)</f>
        <v>1</v>
      </c>
      <c r="C31" s="363">
        <f>VLOOKUP( APIF_Import!$L31, Aop!$A$2:$N$415, 4, 0)</f>
        <v>30</v>
      </c>
      <c r="D31" s="364" t="str">
        <f ca="1">IF( ISNA( VLOOKUP( APIF_Import!$M31 &amp; APIF_Import!$D$1,Podesavanja!$AA$3:$AD$24, 4, 0)), "", SUBSTITUTE( VALUE( VLOOKUP( APIF_Import!$C31, INDIRECT( "Lookup_" &amp; APIF_Import!$M31), VLOOKUP( APIF_Import!$M31 &amp; APIF_Import!$D$1,Podesavanja!$AA$3:$AD$24, 4, 0), 0)), ".", ","))</f>
        <v>0</v>
      </c>
      <c r="E31" s="364" t="str">
        <f ca="1">IF( ISNA( VLOOKUP( APIF_Import!$M31 &amp; APIF_Import!$E$1,Podesavanja!$AA$3:$AD$24, 4, 0)), "", SUBSTITUTE( VALUE( VLOOKUP( APIF_Import!$C31, INDIRECT( "Lookup_" &amp; APIF_Import!$M31), VLOOKUP( APIF_Import!$M31 &amp; APIF_Import!$E$1,Podesavanja!$AA$3:$AD$24, 4, 0), 0)), ".", ","))</f>
        <v>0</v>
      </c>
      <c r="F31" s="364">
        <f ca="1">IF( ISNA( VLOOKUP( APIF_Import!$M31 &amp; APIF_Import!$F$1,Podesavanja!$AA$3:$AD$24, 4, 0)), "", VLOOKUP( APIF_Import!$C31, INDIRECT( "Lookup_" &amp; APIF_Import!$M31), VLOOKUP( APIF_Import!$M31 &amp; APIF_Import!$F$1,Podesavanja!$AA$3:$AD$24, 4, 0), 0))</f>
        <v>0</v>
      </c>
      <c r="G31" s="364">
        <f ca="1">IF( ISNA( VLOOKUP( APIF_Import!$M31 &amp; APIF_Import!$G$1,Podesavanja!$AA$3:$AD$24, 4, 0)), "", VLOOKUP( APIF_Import!$C31, INDIRECT( "Lookup_" &amp; APIF_Import!$M31), VLOOKUP( APIF_Import!$M31 &amp; APIF_Import!$G$1,Podesavanja!$AA$3:$AD$24, 4, 0), 0))</f>
        <v>0</v>
      </c>
      <c r="H31" s="364" t="str">
        <f ca="1">IF( ISNA( VLOOKUP( APIF_Import!$M31 &amp; APIF_Import!$H$1,Podesavanja!$AA$3:$AD$24, 4, 0)), "", VLOOKUP( APIF_Import!$C31, INDIRECT( "Lookup_" &amp; APIF_Import!$M31), VLOOKUP( APIF_Import!$M31 &amp; APIF_Import!$H$1,Podesavanja!$AA$3:$AD$24, 4, 0), 0))</f>
        <v/>
      </c>
      <c r="I31" s="364" t="str">
        <f ca="1">IF( ISNA( VLOOKUP( APIF_Import!$M31 &amp; APIF_Import!$I$1,Podesavanja!$AA$3:$AD$24, 4, 0)), "", VLOOKUP( APIF_Import!$C31, INDIRECT( "Lookup_" &amp; APIF_Import!$M31), VLOOKUP( APIF_Import!$M31 &amp; APIF_Import!$I$1,Podesavanja!$AA$3:$AD$24, 4, 0), 0))</f>
        <v/>
      </c>
      <c r="J31" s="364" t="str">
        <f ca="1">IF( ISNA( VLOOKUP( APIF_Import!$M31 &amp; APIF_Import!$J$1,Podesavanja!$AA$3:$AD$24, 4, 0)), "", VLOOKUP( APIF_Import!$C31, INDIRECT( "Lookup_" &amp; APIF_Import!$M31), VLOOKUP( APIF_Import!$M31 &amp; APIF_Import!$J$1,Podesavanja!$AA$3:$AD$24, 4, 0), 0))</f>
        <v/>
      </c>
      <c r="K31" s="364" t="str">
        <f ca="1">IF( ISNA( VLOOKUP( APIF_Import!$M31 &amp; APIF_Import!$K$1,Podesavanja!$AA$3:$AD$24, 4, 0)), "", VLOOKUP( APIF_Import!$C31, INDIRECT( "Lookup_" &amp; APIF_Import!$M31), VLOOKUP( APIF_Import!$M31 &amp; APIF_Import!$K$1,Podesavanja!$AA$3:$AD$24, 4, 0), 0))</f>
        <v/>
      </c>
      <c r="L31" s="8">
        <v>31</v>
      </c>
      <c r="M31" s="8" t="s">
        <v>297</v>
      </c>
    </row>
    <row r="32" spans="2:13" x14ac:dyDescent="0.2">
      <c r="B32" s="8">
        <f>VLOOKUP( APIF_Import!$M32, Podesavanja!$N$3:$Q$9, 4, 0)</f>
        <v>1</v>
      </c>
      <c r="C32" s="363">
        <f>VLOOKUP( APIF_Import!$L32, Aop!$A$2:$N$415, 4, 0)</f>
        <v>31</v>
      </c>
      <c r="D32" s="364" t="str">
        <f ca="1">IF( ISNA( VLOOKUP( APIF_Import!$M32 &amp; APIF_Import!$D$1,Podesavanja!$AA$3:$AD$24, 4, 0)), "", SUBSTITUTE( VALUE( VLOOKUP( APIF_Import!$C32, INDIRECT( "Lookup_" &amp; APIF_Import!$M32), VLOOKUP( APIF_Import!$M32 &amp; APIF_Import!$D$1,Podesavanja!$AA$3:$AD$24, 4, 0), 0)), ".", ","))</f>
        <v>6503567</v>
      </c>
      <c r="E32" s="364" t="str">
        <f ca="1">IF( ISNA( VLOOKUP( APIF_Import!$M32 &amp; APIF_Import!$E$1,Podesavanja!$AA$3:$AD$24, 4, 0)), "", SUBSTITUTE( VALUE( VLOOKUP( APIF_Import!$C32, INDIRECT( "Lookup_" &amp; APIF_Import!$M32), VLOOKUP( APIF_Import!$M32 &amp; APIF_Import!$E$1,Podesavanja!$AA$3:$AD$24, 4, 0), 0)), ".", ","))</f>
        <v>256330</v>
      </c>
      <c r="F32" s="364">
        <f ca="1">IF( ISNA( VLOOKUP( APIF_Import!$M32 &amp; APIF_Import!$F$1,Podesavanja!$AA$3:$AD$24, 4, 0)), "", VLOOKUP( APIF_Import!$C32, INDIRECT( "Lookup_" &amp; APIF_Import!$M32), VLOOKUP( APIF_Import!$M32 &amp; APIF_Import!$F$1,Podesavanja!$AA$3:$AD$24, 4, 0), 0))</f>
        <v>6247237</v>
      </c>
      <c r="G32" s="364">
        <f ca="1">IF( ISNA( VLOOKUP( APIF_Import!$M32 &amp; APIF_Import!$G$1,Podesavanja!$AA$3:$AD$24, 4, 0)), "", VLOOKUP( APIF_Import!$C32, INDIRECT( "Lookup_" &amp; APIF_Import!$M32), VLOOKUP( APIF_Import!$M32 &amp; APIF_Import!$G$1,Podesavanja!$AA$3:$AD$24, 4, 0), 0))</f>
        <v>5437052</v>
      </c>
      <c r="H32" s="364" t="str">
        <f ca="1">IF( ISNA( VLOOKUP( APIF_Import!$M32 &amp; APIF_Import!$H$1,Podesavanja!$AA$3:$AD$24, 4, 0)), "", VLOOKUP( APIF_Import!$C32, INDIRECT( "Lookup_" &amp; APIF_Import!$M32), VLOOKUP( APIF_Import!$M32 &amp; APIF_Import!$H$1,Podesavanja!$AA$3:$AD$24, 4, 0), 0))</f>
        <v/>
      </c>
      <c r="I32" s="364" t="str">
        <f ca="1">IF( ISNA( VLOOKUP( APIF_Import!$M32 &amp; APIF_Import!$I$1,Podesavanja!$AA$3:$AD$24, 4, 0)), "", VLOOKUP( APIF_Import!$C32, INDIRECT( "Lookup_" &amp; APIF_Import!$M32), VLOOKUP( APIF_Import!$M32 &amp; APIF_Import!$I$1,Podesavanja!$AA$3:$AD$24, 4, 0), 0))</f>
        <v/>
      </c>
      <c r="J32" s="364" t="str">
        <f ca="1">IF( ISNA( VLOOKUP( APIF_Import!$M32 &amp; APIF_Import!$J$1,Podesavanja!$AA$3:$AD$24, 4, 0)), "", VLOOKUP( APIF_Import!$C32, INDIRECT( "Lookup_" &amp; APIF_Import!$M32), VLOOKUP( APIF_Import!$M32 &amp; APIF_Import!$J$1,Podesavanja!$AA$3:$AD$24, 4, 0), 0))</f>
        <v/>
      </c>
      <c r="K32" s="364" t="str">
        <f ca="1">IF( ISNA( VLOOKUP( APIF_Import!$M32 &amp; APIF_Import!$K$1,Podesavanja!$AA$3:$AD$24, 4, 0)), "", VLOOKUP( APIF_Import!$C32, INDIRECT( "Lookup_" &amp; APIF_Import!$M32), VLOOKUP( APIF_Import!$M32 &amp; APIF_Import!$K$1,Podesavanja!$AA$3:$AD$24, 4, 0), 0))</f>
        <v/>
      </c>
      <c r="L32" s="8">
        <v>32</v>
      </c>
      <c r="M32" s="8" t="s">
        <v>297</v>
      </c>
    </row>
    <row r="33" spans="2:13" x14ac:dyDescent="0.2">
      <c r="B33" s="8">
        <f>VLOOKUP( APIF_Import!$M33, Podesavanja!$N$3:$Q$9, 4, 0)</f>
        <v>1</v>
      </c>
      <c r="C33" s="363">
        <f>VLOOKUP( APIF_Import!$L33, Aop!$A$2:$N$415, 4, 0)</f>
        <v>32</v>
      </c>
      <c r="D33" s="364" t="str">
        <f ca="1">IF( ISNA( VLOOKUP( APIF_Import!$M33 &amp; APIF_Import!$D$1,Podesavanja!$AA$3:$AD$24, 4, 0)), "", SUBSTITUTE( VALUE( VLOOKUP( APIF_Import!$C33, INDIRECT( "Lookup_" &amp; APIF_Import!$M33), VLOOKUP( APIF_Import!$M33 &amp; APIF_Import!$D$1,Podesavanja!$AA$3:$AD$24, 4, 0), 0)), ".", ","))</f>
        <v>2849514</v>
      </c>
      <c r="E33" s="364" t="str">
        <f ca="1">IF( ISNA( VLOOKUP( APIF_Import!$M33 &amp; APIF_Import!$E$1,Podesavanja!$AA$3:$AD$24, 4, 0)), "", SUBSTITUTE( VALUE( VLOOKUP( APIF_Import!$C33, INDIRECT( "Lookup_" &amp; APIF_Import!$M33), VLOOKUP( APIF_Import!$M33 &amp; APIF_Import!$E$1,Podesavanja!$AA$3:$AD$24, 4, 0), 0)), ".", ","))</f>
        <v>256330</v>
      </c>
      <c r="F33" s="364">
        <f ca="1">IF( ISNA( VLOOKUP( APIF_Import!$M33 &amp; APIF_Import!$F$1,Podesavanja!$AA$3:$AD$24, 4, 0)), "", VLOOKUP( APIF_Import!$C33, INDIRECT( "Lookup_" &amp; APIF_Import!$M33), VLOOKUP( APIF_Import!$M33 &amp; APIF_Import!$F$1,Podesavanja!$AA$3:$AD$24, 4, 0), 0))</f>
        <v>2593184</v>
      </c>
      <c r="G33" s="364">
        <f ca="1">IF( ISNA( VLOOKUP( APIF_Import!$M33 &amp; APIF_Import!$G$1,Podesavanja!$AA$3:$AD$24, 4, 0)), "", VLOOKUP( APIF_Import!$C33, INDIRECT( "Lookup_" &amp; APIF_Import!$M33), VLOOKUP( APIF_Import!$M33 &amp; APIF_Import!$G$1,Podesavanja!$AA$3:$AD$24, 4, 0), 0))</f>
        <v>2624742</v>
      </c>
      <c r="H33" s="364" t="str">
        <f ca="1">IF( ISNA( VLOOKUP( APIF_Import!$M33 &amp; APIF_Import!$H$1,Podesavanja!$AA$3:$AD$24, 4, 0)), "", VLOOKUP( APIF_Import!$C33, INDIRECT( "Lookup_" &amp; APIF_Import!$M33), VLOOKUP( APIF_Import!$M33 &amp; APIF_Import!$H$1,Podesavanja!$AA$3:$AD$24, 4, 0), 0))</f>
        <v/>
      </c>
      <c r="I33" s="364" t="str">
        <f ca="1">IF( ISNA( VLOOKUP( APIF_Import!$M33 &amp; APIF_Import!$I$1,Podesavanja!$AA$3:$AD$24, 4, 0)), "", VLOOKUP( APIF_Import!$C33, INDIRECT( "Lookup_" &amp; APIF_Import!$M33), VLOOKUP( APIF_Import!$M33 &amp; APIF_Import!$I$1,Podesavanja!$AA$3:$AD$24, 4, 0), 0))</f>
        <v/>
      </c>
      <c r="J33" s="364" t="str">
        <f ca="1">IF( ISNA( VLOOKUP( APIF_Import!$M33 &amp; APIF_Import!$J$1,Podesavanja!$AA$3:$AD$24, 4, 0)), "", VLOOKUP( APIF_Import!$C33, INDIRECT( "Lookup_" &amp; APIF_Import!$M33), VLOOKUP( APIF_Import!$M33 &amp; APIF_Import!$J$1,Podesavanja!$AA$3:$AD$24, 4, 0), 0))</f>
        <v/>
      </c>
      <c r="K33" s="364" t="str">
        <f ca="1">IF( ISNA( VLOOKUP( APIF_Import!$M33 &amp; APIF_Import!$K$1,Podesavanja!$AA$3:$AD$24, 4, 0)), "", VLOOKUP( APIF_Import!$C33, INDIRECT( "Lookup_" &amp; APIF_Import!$M33), VLOOKUP( APIF_Import!$M33 &amp; APIF_Import!$K$1,Podesavanja!$AA$3:$AD$24, 4, 0), 0))</f>
        <v/>
      </c>
      <c r="L33" s="8">
        <v>33</v>
      </c>
      <c r="M33" s="8" t="s">
        <v>297</v>
      </c>
    </row>
    <row r="34" spans="2:13" x14ac:dyDescent="0.2">
      <c r="B34" s="8">
        <f>VLOOKUP( APIF_Import!$M34, Podesavanja!$N$3:$Q$9, 4, 0)</f>
        <v>1</v>
      </c>
      <c r="C34" s="363">
        <f>VLOOKUP( APIF_Import!$L34, Aop!$A$2:$N$415, 4, 0)</f>
        <v>33</v>
      </c>
      <c r="D34" s="364" t="str">
        <f ca="1">IF( ISNA( VLOOKUP( APIF_Import!$M34 &amp; APIF_Import!$D$1,Podesavanja!$AA$3:$AD$24, 4, 0)), "", SUBSTITUTE( VALUE( VLOOKUP( APIF_Import!$C34, INDIRECT( "Lookup_" &amp; APIF_Import!$M34), VLOOKUP( APIF_Import!$M34 &amp; APIF_Import!$D$1,Podesavanja!$AA$3:$AD$24, 4, 0), 0)), ".", ","))</f>
        <v>58280</v>
      </c>
      <c r="E34" s="364" t="str">
        <f ca="1">IF( ISNA( VLOOKUP( APIF_Import!$M34 &amp; APIF_Import!$E$1,Podesavanja!$AA$3:$AD$24, 4, 0)), "", SUBSTITUTE( VALUE( VLOOKUP( APIF_Import!$C34, INDIRECT( "Lookup_" &amp; APIF_Import!$M34), VLOOKUP( APIF_Import!$M34 &amp; APIF_Import!$E$1,Podesavanja!$AA$3:$AD$24, 4, 0), 0)), ".", ","))</f>
        <v>0</v>
      </c>
      <c r="F34" s="364">
        <f ca="1">IF( ISNA( VLOOKUP( APIF_Import!$M34 &amp; APIF_Import!$F$1,Podesavanja!$AA$3:$AD$24, 4, 0)), "", VLOOKUP( APIF_Import!$C34, INDIRECT( "Lookup_" &amp; APIF_Import!$M34), VLOOKUP( APIF_Import!$M34 &amp; APIF_Import!$F$1,Podesavanja!$AA$3:$AD$24, 4, 0), 0))</f>
        <v>58280</v>
      </c>
      <c r="G34" s="364">
        <f ca="1">IF( ISNA( VLOOKUP( APIF_Import!$M34 &amp; APIF_Import!$G$1,Podesavanja!$AA$3:$AD$24, 4, 0)), "", VLOOKUP( APIF_Import!$C34, INDIRECT( "Lookup_" &amp; APIF_Import!$M34), VLOOKUP( APIF_Import!$M34 &amp; APIF_Import!$G$1,Podesavanja!$AA$3:$AD$24, 4, 0), 0))</f>
        <v>31585</v>
      </c>
      <c r="H34" s="364" t="str">
        <f ca="1">IF( ISNA( VLOOKUP( APIF_Import!$M34 &amp; APIF_Import!$H$1,Podesavanja!$AA$3:$AD$24, 4, 0)), "", VLOOKUP( APIF_Import!$C34, INDIRECT( "Lookup_" &amp; APIF_Import!$M34), VLOOKUP( APIF_Import!$M34 &amp; APIF_Import!$H$1,Podesavanja!$AA$3:$AD$24, 4, 0), 0))</f>
        <v/>
      </c>
      <c r="I34" s="364" t="str">
        <f ca="1">IF( ISNA( VLOOKUP( APIF_Import!$M34 &amp; APIF_Import!$I$1,Podesavanja!$AA$3:$AD$24, 4, 0)), "", VLOOKUP( APIF_Import!$C34, INDIRECT( "Lookup_" &amp; APIF_Import!$M34), VLOOKUP( APIF_Import!$M34 &amp; APIF_Import!$I$1,Podesavanja!$AA$3:$AD$24, 4, 0), 0))</f>
        <v/>
      </c>
      <c r="J34" s="364" t="str">
        <f ca="1">IF( ISNA( VLOOKUP( APIF_Import!$M34 &amp; APIF_Import!$J$1,Podesavanja!$AA$3:$AD$24, 4, 0)), "", VLOOKUP( APIF_Import!$C34, INDIRECT( "Lookup_" &amp; APIF_Import!$M34), VLOOKUP( APIF_Import!$M34 &amp; APIF_Import!$J$1,Podesavanja!$AA$3:$AD$24, 4, 0), 0))</f>
        <v/>
      </c>
      <c r="K34" s="364" t="str">
        <f ca="1">IF( ISNA( VLOOKUP( APIF_Import!$M34 &amp; APIF_Import!$K$1,Podesavanja!$AA$3:$AD$24, 4, 0)), "", VLOOKUP( APIF_Import!$C34, INDIRECT( "Lookup_" &amp; APIF_Import!$M34), VLOOKUP( APIF_Import!$M34 &amp; APIF_Import!$K$1,Podesavanja!$AA$3:$AD$24, 4, 0), 0))</f>
        <v/>
      </c>
      <c r="L34" s="8">
        <v>34</v>
      </c>
      <c r="M34" s="8" t="s">
        <v>297</v>
      </c>
    </row>
    <row r="35" spans="2:13" x14ac:dyDescent="0.2">
      <c r="B35" s="8">
        <f>VLOOKUP( APIF_Import!$M35, Podesavanja!$N$3:$Q$9, 4, 0)</f>
        <v>1</v>
      </c>
      <c r="C35" s="363">
        <f>VLOOKUP( APIF_Import!$L35, Aop!$A$2:$N$415, 4, 0)</f>
        <v>34</v>
      </c>
      <c r="D35" s="364" t="str">
        <f ca="1">IF( ISNA( VLOOKUP( APIF_Import!$M35 &amp; APIF_Import!$D$1,Podesavanja!$AA$3:$AD$24, 4, 0)), "", SUBSTITUTE( VALUE( VLOOKUP( APIF_Import!$C35, INDIRECT( "Lookup_" &amp; APIF_Import!$M35), VLOOKUP( APIF_Import!$M35 &amp; APIF_Import!$D$1,Podesavanja!$AA$3:$AD$24, 4, 0), 0)), ".", ","))</f>
        <v>0</v>
      </c>
      <c r="E35" s="364" t="str">
        <f ca="1">IF( ISNA( VLOOKUP( APIF_Import!$M35 &amp; APIF_Import!$E$1,Podesavanja!$AA$3:$AD$24, 4, 0)), "", SUBSTITUTE( VALUE( VLOOKUP( APIF_Import!$C35, INDIRECT( "Lookup_" &amp; APIF_Import!$M35), VLOOKUP( APIF_Import!$M35 &amp; APIF_Import!$E$1,Podesavanja!$AA$3:$AD$24, 4, 0), 0)), ".", ","))</f>
        <v>0</v>
      </c>
      <c r="F35" s="364">
        <f ca="1">IF( ISNA( VLOOKUP( APIF_Import!$M35 &amp; APIF_Import!$F$1,Podesavanja!$AA$3:$AD$24, 4, 0)), "", VLOOKUP( APIF_Import!$C35, INDIRECT( "Lookup_" &amp; APIF_Import!$M35), VLOOKUP( APIF_Import!$M35 &amp; APIF_Import!$F$1,Podesavanja!$AA$3:$AD$24, 4, 0), 0))</f>
        <v>0</v>
      </c>
      <c r="G35" s="364">
        <f ca="1">IF( ISNA( VLOOKUP( APIF_Import!$M35 &amp; APIF_Import!$G$1,Podesavanja!$AA$3:$AD$24, 4, 0)), "", VLOOKUP( APIF_Import!$C35, INDIRECT( "Lookup_" &amp; APIF_Import!$M35), VLOOKUP( APIF_Import!$M35 &amp; APIF_Import!$G$1,Podesavanja!$AA$3:$AD$24, 4, 0), 0))</f>
        <v>0</v>
      </c>
      <c r="H35" s="364" t="str">
        <f ca="1">IF( ISNA( VLOOKUP( APIF_Import!$M35 &amp; APIF_Import!$H$1,Podesavanja!$AA$3:$AD$24, 4, 0)), "", VLOOKUP( APIF_Import!$C35, INDIRECT( "Lookup_" &amp; APIF_Import!$M35), VLOOKUP( APIF_Import!$M35 &amp; APIF_Import!$H$1,Podesavanja!$AA$3:$AD$24, 4, 0), 0))</f>
        <v/>
      </c>
      <c r="I35" s="364" t="str">
        <f ca="1">IF( ISNA( VLOOKUP( APIF_Import!$M35 &amp; APIF_Import!$I$1,Podesavanja!$AA$3:$AD$24, 4, 0)), "", VLOOKUP( APIF_Import!$C35, INDIRECT( "Lookup_" &amp; APIF_Import!$M35), VLOOKUP( APIF_Import!$M35 &amp; APIF_Import!$I$1,Podesavanja!$AA$3:$AD$24, 4, 0), 0))</f>
        <v/>
      </c>
      <c r="J35" s="364" t="str">
        <f ca="1">IF( ISNA( VLOOKUP( APIF_Import!$M35 &amp; APIF_Import!$J$1,Podesavanja!$AA$3:$AD$24, 4, 0)), "", VLOOKUP( APIF_Import!$C35, INDIRECT( "Lookup_" &amp; APIF_Import!$M35), VLOOKUP( APIF_Import!$M35 &amp; APIF_Import!$J$1,Podesavanja!$AA$3:$AD$24, 4, 0), 0))</f>
        <v/>
      </c>
      <c r="K35" s="364" t="str">
        <f ca="1">IF( ISNA( VLOOKUP( APIF_Import!$M35 &amp; APIF_Import!$K$1,Podesavanja!$AA$3:$AD$24, 4, 0)), "", VLOOKUP( APIF_Import!$C35, INDIRECT( "Lookup_" &amp; APIF_Import!$M35), VLOOKUP( APIF_Import!$M35 &amp; APIF_Import!$K$1,Podesavanja!$AA$3:$AD$24, 4, 0), 0))</f>
        <v/>
      </c>
      <c r="L35" s="8">
        <v>35</v>
      </c>
      <c r="M35" s="8" t="s">
        <v>297</v>
      </c>
    </row>
    <row r="36" spans="2:13" x14ac:dyDescent="0.2">
      <c r="B36" s="8">
        <f>VLOOKUP( APIF_Import!$M36, Podesavanja!$N$3:$Q$9, 4, 0)</f>
        <v>1</v>
      </c>
      <c r="C36" s="363">
        <f>VLOOKUP( APIF_Import!$L36, Aop!$A$2:$N$415, 4, 0)</f>
        <v>35</v>
      </c>
      <c r="D36" s="364" t="str">
        <f ca="1">IF( ISNA( VLOOKUP( APIF_Import!$M36 &amp; APIF_Import!$D$1,Podesavanja!$AA$3:$AD$24, 4, 0)), "", SUBSTITUTE( VALUE( VLOOKUP( APIF_Import!$C36, INDIRECT( "Lookup_" &amp; APIF_Import!$M36), VLOOKUP( APIF_Import!$M36 &amp; APIF_Import!$D$1,Podesavanja!$AA$3:$AD$24, 4, 0), 0)), ".", ","))</f>
        <v>9755</v>
      </c>
      <c r="E36" s="364" t="str">
        <f ca="1">IF( ISNA( VLOOKUP( APIF_Import!$M36 &amp; APIF_Import!$E$1,Podesavanja!$AA$3:$AD$24, 4, 0)), "", SUBSTITUTE( VALUE( VLOOKUP( APIF_Import!$C36, INDIRECT( "Lookup_" &amp; APIF_Import!$M36), VLOOKUP( APIF_Import!$M36 &amp; APIF_Import!$E$1,Podesavanja!$AA$3:$AD$24, 4, 0), 0)), ".", ","))</f>
        <v>0</v>
      </c>
      <c r="F36" s="364">
        <f ca="1">IF( ISNA( VLOOKUP( APIF_Import!$M36 &amp; APIF_Import!$F$1,Podesavanja!$AA$3:$AD$24, 4, 0)), "", VLOOKUP( APIF_Import!$C36, INDIRECT( "Lookup_" &amp; APIF_Import!$M36), VLOOKUP( APIF_Import!$M36 &amp; APIF_Import!$F$1,Podesavanja!$AA$3:$AD$24, 4, 0), 0))</f>
        <v>9755</v>
      </c>
      <c r="G36" s="364">
        <f ca="1">IF( ISNA( VLOOKUP( APIF_Import!$M36 &amp; APIF_Import!$G$1,Podesavanja!$AA$3:$AD$24, 4, 0)), "", VLOOKUP( APIF_Import!$C36, INDIRECT( "Lookup_" &amp; APIF_Import!$M36), VLOOKUP( APIF_Import!$M36 &amp; APIF_Import!$G$1,Podesavanja!$AA$3:$AD$24, 4, 0), 0))</f>
        <v>37342</v>
      </c>
      <c r="H36" s="364" t="str">
        <f ca="1">IF( ISNA( VLOOKUP( APIF_Import!$M36 &amp; APIF_Import!$H$1,Podesavanja!$AA$3:$AD$24, 4, 0)), "", VLOOKUP( APIF_Import!$C36, INDIRECT( "Lookup_" &amp; APIF_Import!$M36), VLOOKUP( APIF_Import!$M36 &amp; APIF_Import!$H$1,Podesavanja!$AA$3:$AD$24, 4, 0), 0))</f>
        <v/>
      </c>
      <c r="I36" s="364" t="str">
        <f ca="1">IF( ISNA( VLOOKUP( APIF_Import!$M36 &amp; APIF_Import!$I$1,Podesavanja!$AA$3:$AD$24, 4, 0)), "", VLOOKUP( APIF_Import!$C36, INDIRECT( "Lookup_" &amp; APIF_Import!$M36), VLOOKUP( APIF_Import!$M36 &amp; APIF_Import!$I$1,Podesavanja!$AA$3:$AD$24, 4, 0), 0))</f>
        <v/>
      </c>
      <c r="J36" s="364" t="str">
        <f ca="1">IF( ISNA( VLOOKUP( APIF_Import!$M36 &amp; APIF_Import!$J$1,Podesavanja!$AA$3:$AD$24, 4, 0)), "", VLOOKUP( APIF_Import!$C36, INDIRECT( "Lookup_" &amp; APIF_Import!$M36), VLOOKUP( APIF_Import!$M36 &amp; APIF_Import!$J$1,Podesavanja!$AA$3:$AD$24, 4, 0), 0))</f>
        <v/>
      </c>
      <c r="K36" s="364" t="str">
        <f ca="1">IF( ISNA( VLOOKUP( APIF_Import!$M36 &amp; APIF_Import!$K$1,Podesavanja!$AA$3:$AD$24, 4, 0)), "", VLOOKUP( APIF_Import!$C36, INDIRECT( "Lookup_" &amp; APIF_Import!$M36), VLOOKUP( APIF_Import!$M36 &amp; APIF_Import!$K$1,Podesavanja!$AA$3:$AD$24, 4, 0), 0))</f>
        <v/>
      </c>
      <c r="L36" s="8">
        <v>36</v>
      </c>
      <c r="M36" s="8" t="s">
        <v>297</v>
      </c>
    </row>
    <row r="37" spans="2:13" x14ac:dyDescent="0.2">
      <c r="B37" s="8">
        <f>VLOOKUP( APIF_Import!$M37, Podesavanja!$N$3:$Q$9, 4, 0)</f>
        <v>1</v>
      </c>
      <c r="C37" s="363">
        <f>VLOOKUP( APIF_Import!$L37, Aop!$A$2:$N$415, 4, 0)</f>
        <v>36</v>
      </c>
      <c r="D37" s="364" t="str">
        <f ca="1">IF( ISNA( VLOOKUP( APIF_Import!$M37 &amp; APIF_Import!$D$1,Podesavanja!$AA$3:$AD$24, 4, 0)), "", SUBSTITUTE( VALUE( VLOOKUP( APIF_Import!$C37, INDIRECT( "Lookup_" &amp; APIF_Import!$M37), VLOOKUP( APIF_Import!$M37 &amp; APIF_Import!$D$1,Podesavanja!$AA$3:$AD$24, 4, 0), 0)), ".", ","))</f>
        <v>2740284</v>
      </c>
      <c r="E37" s="364" t="str">
        <f ca="1">IF( ISNA( VLOOKUP( APIF_Import!$M37 &amp; APIF_Import!$E$1,Podesavanja!$AA$3:$AD$24, 4, 0)), "", SUBSTITUTE( VALUE( VLOOKUP( APIF_Import!$C37, INDIRECT( "Lookup_" &amp; APIF_Import!$M37), VLOOKUP( APIF_Import!$M37 &amp; APIF_Import!$E$1,Podesavanja!$AA$3:$AD$24, 4, 0), 0)), ".", ","))</f>
        <v>256330</v>
      </c>
      <c r="F37" s="364">
        <f ca="1">IF( ISNA( VLOOKUP( APIF_Import!$M37 &amp; APIF_Import!$F$1,Podesavanja!$AA$3:$AD$24, 4, 0)), "", VLOOKUP( APIF_Import!$C37, INDIRECT( "Lookup_" &amp; APIF_Import!$M37), VLOOKUP( APIF_Import!$M37 &amp; APIF_Import!$F$1,Podesavanja!$AA$3:$AD$24, 4, 0), 0))</f>
        <v>2483954</v>
      </c>
      <c r="G37" s="364">
        <f ca="1">IF( ISNA( VLOOKUP( APIF_Import!$M37 &amp; APIF_Import!$G$1,Podesavanja!$AA$3:$AD$24, 4, 0)), "", VLOOKUP( APIF_Import!$C37, INDIRECT( "Lookup_" &amp; APIF_Import!$M37), VLOOKUP( APIF_Import!$M37 &amp; APIF_Import!$G$1,Podesavanja!$AA$3:$AD$24, 4, 0), 0))</f>
        <v>2555815</v>
      </c>
      <c r="H37" s="364" t="str">
        <f ca="1">IF( ISNA( VLOOKUP( APIF_Import!$M37 &amp; APIF_Import!$H$1,Podesavanja!$AA$3:$AD$24, 4, 0)), "", VLOOKUP( APIF_Import!$C37, INDIRECT( "Lookup_" &amp; APIF_Import!$M37), VLOOKUP( APIF_Import!$M37 &amp; APIF_Import!$H$1,Podesavanja!$AA$3:$AD$24, 4, 0), 0))</f>
        <v/>
      </c>
      <c r="I37" s="364" t="str">
        <f ca="1">IF( ISNA( VLOOKUP( APIF_Import!$M37 &amp; APIF_Import!$I$1,Podesavanja!$AA$3:$AD$24, 4, 0)), "", VLOOKUP( APIF_Import!$C37, INDIRECT( "Lookup_" &amp; APIF_Import!$M37), VLOOKUP( APIF_Import!$M37 &amp; APIF_Import!$I$1,Podesavanja!$AA$3:$AD$24, 4, 0), 0))</f>
        <v/>
      </c>
      <c r="J37" s="364" t="str">
        <f ca="1">IF( ISNA( VLOOKUP( APIF_Import!$M37 &amp; APIF_Import!$J$1,Podesavanja!$AA$3:$AD$24, 4, 0)), "", VLOOKUP( APIF_Import!$C37, INDIRECT( "Lookup_" &amp; APIF_Import!$M37), VLOOKUP( APIF_Import!$M37 &amp; APIF_Import!$J$1,Podesavanja!$AA$3:$AD$24, 4, 0), 0))</f>
        <v/>
      </c>
      <c r="K37" s="364" t="str">
        <f ca="1">IF( ISNA( VLOOKUP( APIF_Import!$M37 &amp; APIF_Import!$K$1,Podesavanja!$AA$3:$AD$24, 4, 0)), "", VLOOKUP( APIF_Import!$C37, INDIRECT( "Lookup_" &amp; APIF_Import!$M37), VLOOKUP( APIF_Import!$M37 &amp; APIF_Import!$K$1,Podesavanja!$AA$3:$AD$24, 4, 0), 0))</f>
        <v/>
      </c>
      <c r="L37" s="8">
        <v>37</v>
      </c>
      <c r="M37" s="8" t="s">
        <v>297</v>
      </c>
    </row>
    <row r="38" spans="2:13" x14ac:dyDescent="0.2">
      <c r="B38" s="8">
        <f>VLOOKUP( APIF_Import!$M38, Podesavanja!$N$3:$Q$9, 4, 0)</f>
        <v>1</v>
      </c>
      <c r="C38" s="363">
        <f>VLOOKUP( APIF_Import!$L38, Aop!$A$2:$N$415, 4, 0)</f>
        <v>37</v>
      </c>
      <c r="D38" s="364" t="str">
        <f ca="1">IF( ISNA( VLOOKUP( APIF_Import!$M38 &amp; APIF_Import!$D$1,Podesavanja!$AA$3:$AD$24, 4, 0)), "", SUBSTITUTE( VALUE( VLOOKUP( APIF_Import!$C38, INDIRECT( "Lookup_" &amp; APIF_Import!$M38), VLOOKUP( APIF_Import!$M38 &amp; APIF_Import!$D$1,Podesavanja!$AA$3:$AD$24, 4, 0), 0)), ".", ","))</f>
        <v>0</v>
      </c>
      <c r="E38" s="364" t="str">
        <f ca="1">IF( ISNA( VLOOKUP( APIF_Import!$M38 &amp; APIF_Import!$E$1,Podesavanja!$AA$3:$AD$24, 4, 0)), "", SUBSTITUTE( VALUE( VLOOKUP( APIF_Import!$C38, INDIRECT( "Lookup_" &amp; APIF_Import!$M38), VLOOKUP( APIF_Import!$M38 &amp; APIF_Import!$E$1,Podesavanja!$AA$3:$AD$24, 4, 0), 0)), ".", ","))</f>
        <v>0</v>
      </c>
      <c r="F38" s="364">
        <f ca="1">IF( ISNA( VLOOKUP( APIF_Import!$M38 &amp; APIF_Import!$F$1,Podesavanja!$AA$3:$AD$24, 4, 0)), "", VLOOKUP( APIF_Import!$C38, INDIRECT( "Lookup_" &amp; APIF_Import!$M38), VLOOKUP( APIF_Import!$M38 &amp; APIF_Import!$F$1,Podesavanja!$AA$3:$AD$24, 4, 0), 0))</f>
        <v>0</v>
      </c>
      <c r="G38" s="364">
        <f ca="1">IF( ISNA( VLOOKUP( APIF_Import!$M38 &amp; APIF_Import!$G$1,Podesavanja!$AA$3:$AD$24, 4, 0)), "", VLOOKUP( APIF_Import!$C38, INDIRECT( "Lookup_" &amp; APIF_Import!$M38), VLOOKUP( APIF_Import!$M38 &amp; APIF_Import!$G$1,Podesavanja!$AA$3:$AD$24, 4, 0), 0))</f>
        <v>0</v>
      </c>
      <c r="H38" s="364" t="str">
        <f ca="1">IF( ISNA( VLOOKUP( APIF_Import!$M38 &amp; APIF_Import!$H$1,Podesavanja!$AA$3:$AD$24, 4, 0)), "", VLOOKUP( APIF_Import!$C38, INDIRECT( "Lookup_" &amp; APIF_Import!$M38), VLOOKUP( APIF_Import!$M38 &amp; APIF_Import!$H$1,Podesavanja!$AA$3:$AD$24, 4, 0), 0))</f>
        <v/>
      </c>
      <c r="I38" s="364" t="str">
        <f ca="1">IF( ISNA( VLOOKUP( APIF_Import!$M38 &amp; APIF_Import!$I$1,Podesavanja!$AA$3:$AD$24, 4, 0)), "", VLOOKUP( APIF_Import!$C38, INDIRECT( "Lookup_" &amp; APIF_Import!$M38), VLOOKUP( APIF_Import!$M38 &amp; APIF_Import!$I$1,Podesavanja!$AA$3:$AD$24, 4, 0), 0))</f>
        <v/>
      </c>
      <c r="J38" s="364" t="str">
        <f ca="1">IF( ISNA( VLOOKUP( APIF_Import!$M38 &amp; APIF_Import!$J$1,Podesavanja!$AA$3:$AD$24, 4, 0)), "", VLOOKUP( APIF_Import!$C38, INDIRECT( "Lookup_" &amp; APIF_Import!$M38), VLOOKUP( APIF_Import!$M38 &amp; APIF_Import!$J$1,Podesavanja!$AA$3:$AD$24, 4, 0), 0))</f>
        <v/>
      </c>
      <c r="K38" s="364" t="str">
        <f ca="1">IF( ISNA( VLOOKUP( APIF_Import!$M38 &amp; APIF_Import!$K$1,Podesavanja!$AA$3:$AD$24, 4, 0)), "", VLOOKUP( APIF_Import!$C38, INDIRECT( "Lookup_" &amp; APIF_Import!$M38), VLOOKUP( APIF_Import!$M38 &amp; APIF_Import!$K$1,Podesavanja!$AA$3:$AD$24, 4, 0), 0))</f>
        <v/>
      </c>
      <c r="L38" s="8">
        <v>38</v>
      </c>
      <c r="M38" s="8" t="s">
        <v>297</v>
      </c>
    </row>
    <row r="39" spans="2:13" x14ac:dyDescent="0.2">
      <c r="B39" s="8">
        <f>VLOOKUP( APIF_Import!$M39, Podesavanja!$N$3:$Q$9, 4, 0)</f>
        <v>1</v>
      </c>
      <c r="C39" s="363">
        <f>VLOOKUP( APIF_Import!$L39, Aop!$A$2:$N$415, 4, 0)</f>
        <v>38</v>
      </c>
      <c r="D39" s="364" t="str">
        <f ca="1">IF( ISNA( VLOOKUP( APIF_Import!$M39 &amp; APIF_Import!$D$1,Podesavanja!$AA$3:$AD$24, 4, 0)), "", SUBSTITUTE( VALUE( VLOOKUP( APIF_Import!$C39, INDIRECT( "Lookup_" &amp; APIF_Import!$M39), VLOOKUP( APIF_Import!$M39 &amp; APIF_Import!$D$1,Podesavanja!$AA$3:$AD$24, 4, 0), 0)), ".", ","))</f>
        <v>41195</v>
      </c>
      <c r="E39" s="364" t="str">
        <f ca="1">IF( ISNA( VLOOKUP( APIF_Import!$M39 &amp; APIF_Import!$E$1,Podesavanja!$AA$3:$AD$24, 4, 0)), "", SUBSTITUTE( VALUE( VLOOKUP( APIF_Import!$C39, INDIRECT( "Lookup_" &amp; APIF_Import!$M39), VLOOKUP( APIF_Import!$M39 &amp; APIF_Import!$E$1,Podesavanja!$AA$3:$AD$24, 4, 0), 0)), ".", ","))</f>
        <v>0</v>
      </c>
      <c r="F39" s="364">
        <f ca="1">IF( ISNA( VLOOKUP( APIF_Import!$M39 &amp; APIF_Import!$F$1,Podesavanja!$AA$3:$AD$24, 4, 0)), "", VLOOKUP( APIF_Import!$C39, INDIRECT( "Lookup_" &amp; APIF_Import!$M39), VLOOKUP( APIF_Import!$M39 &amp; APIF_Import!$F$1,Podesavanja!$AA$3:$AD$24, 4, 0), 0))</f>
        <v>41195</v>
      </c>
      <c r="G39" s="364">
        <f ca="1">IF( ISNA( VLOOKUP( APIF_Import!$M39 &amp; APIF_Import!$G$1,Podesavanja!$AA$3:$AD$24, 4, 0)), "", VLOOKUP( APIF_Import!$C39, INDIRECT( "Lookup_" &amp; APIF_Import!$M39), VLOOKUP( APIF_Import!$M39 &amp; APIF_Import!$G$1,Podesavanja!$AA$3:$AD$24, 4, 0), 0))</f>
        <v>0</v>
      </c>
      <c r="H39" s="364" t="str">
        <f ca="1">IF( ISNA( VLOOKUP( APIF_Import!$M39 &amp; APIF_Import!$H$1,Podesavanja!$AA$3:$AD$24, 4, 0)), "", VLOOKUP( APIF_Import!$C39, INDIRECT( "Lookup_" &amp; APIF_Import!$M39), VLOOKUP( APIF_Import!$M39 &amp; APIF_Import!$H$1,Podesavanja!$AA$3:$AD$24, 4, 0), 0))</f>
        <v/>
      </c>
      <c r="I39" s="364" t="str">
        <f ca="1">IF( ISNA( VLOOKUP( APIF_Import!$M39 &amp; APIF_Import!$I$1,Podesavanja!$AA$3:$AD$24, 4, 0)), "", VLOOKUP( APIF_Import!$C39, INDIRECT( "Lookup_" &amp; APIF_Import!$M39), VLOOKUP( APIF_Import!$M39 &amp; APIF_Import!$I$1,Podesavanja!$AA$3:$AD$24, 4, 0), 0))</f>
        <v/>
      </c>
      <c r="J39" s="364" t="str">
        <f ca="1">IF( ISNA( VLOOKUP( APIF_Import!$M39 &amp; APIF_Import!$J$1,Podesavanja!$AA$3:$AD$24, 4, 0)), "", VLOOKUP( APIF_Import!$C39, INDIRECT( "Lookup_" &amp; APIF_Import!$M39), VLOOKUP( APIF_Import!$M39 &amp; APIF_Import!$J$1,Podesavanja!$AA$3:$AD$24, 4, 0), 0))</f>
        <v/>
      </c>
      <c r="K39" s="364" t="str">
        <f ca="1">IF( ISNA( VLOOKUP( APIF_Import!$M39 &amp; APIF_Import!$K$1,Podesavanja!$AA$3:$AD$24, 4, 0)), "", VLOOKUP( APIF_Import!$C39, INDIRECT( "Lookup_" &amp; APIF_Import!$M39), VLOOKUP( APIF_Import!$M39 &amp; APIF_Import!$K$1,Podesavanja!$AA$3:$AD$24, 4, 0), 0))</f>
        <v/>
      </c>
      <c r="L39" s="8">
        <v>39</v>
      </c>
      <c r="M39" s="8" t="s">
        <v>297</v>
      </c>
    </row>
    <row r="40" spans="2:13" x14ac:dyDescent="0.2">
      <c r="B40" s="8">
        <f>VLOOKUP( APIF_Import!$M40, Podesavanja!$N$3:$Q$9, 4, 0)</f>
        <v>1</v>
      </c>
      <c r="C40" s="363">
        <f>VLOOKUP( APIF_Import!$L40, Aop!$A$2:$N$415, 4, 0)</f>
        <v>39</v>
      </c>
      <c r="D40" s="364" t="str">
        <f ca="1">IF( ISNA( VLOOKUP( APIF_Import!$M40 &amp; APIF_Import!$D$1,Podesavanja!$AA$3:$AD$24, 4, 0)), "", SUBSTITUTE( VALUE( VLOOKUP( APIF_Import!$C40, INDIRECT( "Lookup_" &amp; APIF_Import!$M40), VLOOKUP( APIF_Import!$M40 &amp; APIF_Import!$D$1,Podesavanja!$AA$3:$AD$24, 4, 0), 0)), ".", ","))</f>
        <v>3654053</v>
      </c>
      <c r="E40" s="364" t="str">
        <f ca="1">IF( ISNA( VLOOKUP( APIF_Import!$M40 &amp; APIF_Import!$E$1,Podesavanja!$AA$3:$AD$24, 4, 0)), "", SUBSTITUTE( VALUE( VLOOKUP( APIF_Import!$C40, INDIRECT( "Lookup_" &amp; APIF_Import!$M40), VLOOKUP( APIF_Import!$M40 &amp; APIF_Import!$E$1,Podesavanja!$AA$3:$AD$24, 4, 0), 0)), ".", ","))</f>
        <v>0</v>
      </c>
      <c r="F40" s="364">
        <f ca="1">IF( ISNA( VLOOKUP( APIF_Import!$M40 &amp; APIF_Import!$F$1,Podesavanja!$AA$3:$AD$24, 4, 0)), "", VLOOKUP( APIF_Import!$C40, INDIRECT( "Lookup_" &amp; APIF_Import!$M40), VLOOKUP( APIF_Import!$M40 &amp; APIF_Import!$F$1,Podesavanja!$AA$3:$AD$24, 4, 0), 0))</f>
        <v>3654053</v>
      </c>
      <c r="G40" s="364">
        <f ca="1">IF( ISNA( VLOOKUP( APIF_Import!$M40 &amp; APIF_Import!$G$1,Podesavanja!$AA$3:$AD$24, 4, 0)), "", VLOOKUP( APIF_Import!$C40, INDIRECT( "Lookup_" &amp; APIF_Import!$M40), VLOOKUP( APIF_Import!$M40 &amp; APIF_Import!$G$1,Podesavanja!$AA$3:$AD$24, 4, 0), 0))</f>
        <v>2812310</v>
      </c>
      <c r="H40" s="364" t="str">
        <f ca="1">IF( ISNA( VLOOKUP( APIF_Import!$M40 &amp; APIF_Import!$H$1,Podesavanja!$AA$3:$AD$24, 4, 0)), "", VLOOKUP( APIF_Import!$C40, INDIRECT( "Lookup_" &amp; APIF_Import!$M40), VLOOKUP( APIF_Import!$M40 &amp; APIF_Import!$H$1,Podesavanja!$AA$3:$AD$24, 4, 0), 0))</f>
        <v/>
      </c>
      <c r="I40" s="364" t="str">
        <f ca="1">IF( ISNA( VLOOKUP( APIF_Import!$M40 &amp; APIF_Import!$I$1,Podesavanja!$AA$3:$AD$24, 4, 0)), "", VLOOKUP( APIF_Import!$C40, INDIRECT( "Lookup_" &amp; APIF_Import!$M40), VLOOKUP( APIF_Import!$M40 &amp; APIF_Import!$I$1,Podesavanja!$AA$3:$AD$24, 4, 0), 0))</f>
        <v/>
      </c>
      <c r="J40" s="364" t="str">
        <f ca="1">IF( ISNA( VLOOKUP( APIF_Import!$M40 &amp; APIF_Import!$J$1,Podesavanja!$AA$3:$AD$24, 4, 0)), "", VLOOKUP( APIF_Import!$C40, INDIRECT( "Lookup_" &amp; APIF_Import!$M40), VLOOKUP( APIF_Import!$M40 &amp; APIF_Import!$J$1,Podesavanja!$AA$3:$AD$24, 4, 0), 0))</f>
        <v/>
      </c>
      <c r="K40" s="364" t="str">
        <f ca="1">IF( ISNA( VLOOKUP( APIF_Import!$M40 &amp; APIF_Import!$K$1,Podesavanja!$AA$3:$AD$24, 4, 0)), "", VLOOKUP( APIF_Import!$C40, INDIRECT( "Lookup_" &amp; APIF_Import!$M40), VLOOKUP( APIF_Import!$M40 &amp; APIF_Import!$K$1,Podesavanja!$AA$3:$AD$24, 4, 0), 0))</f>
        <v/>
      </c>
      <c r="L40" s="8">
        <v>40</v>
      </c>
      <c r="M40" s="8" t="s">
        <v>297</v>
      </c>
    </row>
    <row r="41" spans="2:13" x14ac:dyDescent="0.2">
      <c r="B41" s="8">
        <f>VLOOKUP( APIF_Import!$M41, Podesavanja!$N$3:$Q$9, 4, 0)</f>
        <v>1</v>
      </c>
      <c r="C41" s="363">
        <f>VLOOKUP( APIF_Import!$L41, Aop!$A$2:$N$415, 4, 0)</f>
        <v>40</v>
      </c>
      <c r="D41" s="364" t="str">
        <f ca="1">IF( ISNA( VLOOKUP( APIF_Import!$M41 &amp; APIF_Import!$D$1,Podesavanja!$AA$3:$AD$24, 4, 0)), "", SUBSTITUTE( VALUE( VLOOKUP( APIF_Import!$C41, INDIRECT( "Lookup_" &amp; APIF_Import!$M41), VLOOKUP( APIF_Import!$M41 &amp; APIF_Import!$D$1,Podesavanja!$AA$3:$AD$24, 4, 0), 0)), ".", ","))</f>
        <v>3418403</v>
      </c>
      <c r="E41" s="364" t="str">
        <f ca="1">IF( ISNA( VLOOKUP( APIF_Import!$M41 &amp; APIF_Import!$E$1,Podesavanja!$AA$3:$AD$24, 4, 0)), "", SUBSTITUTE( VALUE( VLOOKUP( APIF_Import!$C41, INDIRECT( "Lookup_" &amp; APIF_Import!$M41), VLOOKUP( APIF_Import!$M41 &amp; APIF_Import!$E$1,Podesavanja!$AA$3:$AD$24, 4, 0), 0)), ".", ","))</f>
        <v>0</v>
      </c>
      <c r="F41" s="364">
        <f ca="1">IF( ISNA( VLOOKUP( APIF_Import!$M41 &amp; APIF_Import!$F$1,Podesavanja!$AA$3:$AD$24, 4, 0)), "", VLOOKUP( APIF_Import!$C41, INDIRECT( "Lookup_" &amp; APIF_Import!$M41), VLOOKUP( APIF_Import!$M41 &amp; APIF_Import!$F$1,Podesavanja!$AA$3:$AD$24, 4, 0), 0))</f>
        <v>3418403</v>
      </c>
      <c r="G41" s="364">
        <f ca="1">IF( ISNA( VLOOKUP( APIF_Import!$M41 &amp; APIF_Import!$G$1,Podesavanja!$AA$3:$AD$24, 4, 0)), "", VLOOKUP( APIF_Import!$C41, INDIRECT( "Lookup_" &amp; APIF_Import!$M41), VLOOKUP( APIF_Import!$M41 &amp; APIF_Import!$G$1,Podesavanja!$AA$3:$AD$24, 4, 0), 0))</f>
        <v>2768461</v>
      </c>
      <c r="H41" s="364" t="str">
        <f ca="1">IF( ISNA( VLOOKUP( APIF_Import!$M41 &amp; APIF_Import!$H$1,Podesavanja!$AA$3:$AD$24, 4, 0)), "", VLOOKUP( APIF_Import!$C41, INDIRECT( "Lookup_" &amp; APIF_Import!$M41), VLOOKUP( APIF_Import!$M41 &amp; APIF_Import!$H$1,Podesavanja!$AA$3:$AD$24, 4, 0), 0))</f>
        <v/>
      </c>
      <c r="I41" s="364" t="str">
        <f ca="1">IF( ISNA( VLOOKUP( APIF_Import!$M41 &amp; APIF_Import!$I$1,Podesavanja!$AA$3:$AD$24, 4, 0)), "", VLOOKUP( APIF_Import!$C41, INDIRECT( "Lookup_" &amp; APIF_Import!$M41), VLOOKUP( APIF_Import!$M41 &amp; APIF_Import!$I$1,Podesavanja!$AA$3:$AD$24, 4, 0), 0))</f>
        <v/>
      </c>
      <c r="J41" s="364" t="str">
        <f ca="1">IF( ISNA( VLOOKUP( APIF_Import!$M41 &amp; APIF_Import!$J$1,Podesavanja!$AA$3:$AD$24, 4, 0)), "", VLOOKUP( APIF_Import!$C41, INDIRECT( "Lookup_" &amp; APIF_Import!$M41), VLOOKUP( APIF_Import!$M41 &amp; APIF_Import!$J$1,Podesavanja!$AA$3:$AD$24, 4, 0), 0))</f>
        <v/>
      </c>
      <c r="K41" s="364" t="str">
        <f ca="1">IF( ISNA( VLOOKUP( APIF_Import!$M41 &amp; APIF_Import!$K$1,Podesavanja!$AA$3:$AD$24, 4, 0)), "", VLOOKUP( APIF_Import!$C41, INDIRECT( "Lookup_" &amp; APIF_Import!$M41), VLOOKUP( APIF_Import!$M41 &amp; APIF_Import!$K$1,Podesavanja!$AA$3:$AD$24, 4, 0), 0))</f>
        <v/>
      </c>
      <c r="L41" s="8">
        <v>41</v>
      </c>
      <c r="M41" s="8" t="s">
        <v>297</v>
      </c>
    </row>
    <row r="42" spans="2:13" x14ac:dyDescent="0.2">
      <c r="B42" s="8">
        <f>VLOOKUP( APIF_Import!$M42, Podesavanja!$N$3:$Q$9, 4, 0)</f>
        <v>1</v>
      </c>
      <c r="C42" s="363">
        <f>VLOOKUP( APIF_Import!$L42, Aop!$A$2:$N$415, 4, 0)</f>
        <v>41</v>
      </c>
      <c r="D42" s="364" t="str">
        <f ca="1">IF( ISNA( VLOOKUP( APIF_Import!$M42 &amp; APIF_Import!$D$1,Podesavanja!$AA$3:$AD$24, 4, 0)), "", SUBSTITUTE( VALUE( VLOOKUP( APIF_Import!$C42, INDIRECT( "Lookup_" &amp; APIF_Import!$M42), VLOOKUP( APIF_Import!$M42 &amp; APIF_Import!$D$1,Podesavanja!$AA$3:$AD$24, 4, 0), 0)), ".", ","))</f>
        <v>455319</v>
      </c>
      <c r="E42" s="364" t="str">
        <f ca="1">IF( ISNA( VLOOKUP( APIF_Import!$M42 &amp; APIF_Import!$E$1,Podesavanja!$AA$3:$AD$24, 4, 0)), "", SUBSTITUTE( VALUE( VLOOKUP( APIF_Import!$C42, INDIRECT( "Lookup_" &amp; APIF_Import!$M42), VLOOKUP( APIF_Import!$M42 &amp; APIF_Import!$E$1,Podesavanja!$AA$3:$AD$24, 4, 0), 0)), ".", ","))</f>
        <v>0</v>
      </c>
      <c r="F42" s="364">
        <f ca="1">IF( ISNA( VLOOKUP( APIF_Import!$M42 &amp; APIF_Import!$F$1,Podesavanja!$AA$3:$AD$24, 4, 0)), "", VLOOKUP( APIF_Import!$C42, INDIRECT( "Lookup_" &amp; APIF_Import!$M42), VLOOKUP( APIF_Import!$M42 &amp; APIF_Import!$F$1,Podesavanja!$AA$3:$AD$24, 4, 0), 0))</f>
        <v>455319</v>
      </c>
      <c r="G42" s="364">
        <f ca="1">IF( ISNA( VLOOKUP( APIF_Import!$M42 &amp; APIF_Import!$G$1,Podesavanja!$AA$3:$AD$24, 4, 0)), "", VLOOKUP( APIF_Import!$C42, INDIRECT( "Lookup_" &amp; APIF_Import!$M42), VLOOKUP( APIF_Import!$M42 &amp; APIF_Import!$G$1,Podesavanja!$AA$3:$AD$24, 4, 0), 0))</f>
        <v>582040</v>
      </c>
      <c r="H42" s="364" t="str">
        <f ca="1">IF( ISNA( VLOOKUP( APIF_Import!$M42 &amp; APIF_Import!$H$1,Podesavanja!$AA$3:$AD$24, 4, 0)), "", VLOOKUP( APIF_Import!$C42, INDIRECT( "Lookup_" &amp; APIF_Import!$M42), VLOOKUP( APIF_Import!$M42 &amp; APIF_Import!$H$1,Podesavanja!$AA$3:$AD$24, 4, 0), 0))</f>
        <v/>
      </c>
      <c r="I42" s="364" t="str">
        <f ca="1">IF( ISNA( VLOOKUP( APIF_Import!$M42 &amp; APIF_Import!$I$1,Podesavanja!$AA$3:$AD$24, 4, 0)), "", VLOOKUP( APIF_Import!$C42, INDIRECT( "Lookup_" &amp; APIF_Import!$M42), VLOOKUP( APIF_Import!$M42 &amp; APIF_Import!$I$1,Podesavanja!$AA$3:$AD$24, 4, 0), 0))</f>
        <v/>
      </c>
      <c r="J42" s="364" t="str">
        <f ca="1">IF( ISNA( VLOOKUP( APIF_Import!$M42 &amp; APIF_Import!$J$1,Podesavanja!$AA$3:$AD$24, 4, 0)), "", VLOOKUP( APIF_Import!$C42, INDIRECT( "Lookup_" &amp; APIF_Import!$M42), VLOOKUP( APIF_Import!$M42 &amp; APIF_Import!$J$1,Podesavanja!$AA$3:$AD$24, 4, 0), 0))</f>
        <v/>
      </c>
      <c r="K42" s="364" t="str">
        <f ca="1">IF( ISNA( VLOOKUP( APIF_Import!$M42 &amp; APIF_Import!$K$1,Podesavanja!$AA$3:$AD$24, 4, 0)), "", VLOOKUP( APIF_Import!$C42, INDIRECT( "Lookup_" &amp; APIF_Import!$M42), VLOOKUP( APIF_Import!$M42 &amp; APIF_Import!$K$1,Podesavanja!$AA$3:$AD$24, 4, 0), 0))</f>
        <v/>
      </c>
      <c r="L42" s="8">
        <v>42</v>
      </c>
      <c r="M42" s="8" t="s">
        <v>297</v>
      </c>
    </row>
    <row r="43" spans="2:13" x14ac:dyDescent="0.2">
      <c r="B43" s="8">
        <f>VLOOKUP( APIF_Import!$M43, Podesavanja!$N$3:$Q$9, 4, 0)</f>
        <v>1</v>
      </c>
      <c r="C43" s="363">
        <f>VLOOKUP( APIF_Import!$L43, Aop!$A$2:$N$415, 4, 0)</f>
        <v>42</v>
      </c>
      <c r="D43" s="364" t="str">
        <f ca="1">IF( ISNA( VLOOKUP( APIF_Import!$M43 &amp; APIF_Import!$D$1,Podesavanja!$AA$3:$AD$24, 4, 0)), "", SUBSTITUTE( VALUE( VLOOKUP( APIF_Import!$C43, INDIRECT( "Lookup_" &amp; APIF_Import!$M43), VLOOKUP( APIF_Import!$M43 &amp; APIF_Import!$D$1,Podesavanja!$AA$3:$AD$24, 4, 0), 0)), ".", ","))</f>
        <v>1603853</v>
      </c>
      <c r="E43" s="364" t="str">
        <f ca="1">IF( ISNA( VLOOKUP( APIF_Import!$M43 &amp; APIF_Import!$E$1,Podesavanja!$AA$3:$AD$24, 4, 0)), "", SUBSTITUTE( VALUE( VLOOKUP( APIF_Import!$C43, INDIRECT( "Lookup_" &amp; APIF_Import!$M43), VLOOKUP( APIF_Import!$M43 &amp; APIF_Import!$E$1,Podesavanja!$AA$3:$AD$24, 4, 0), 0)), ".", ","))</f>
        <v>0</v>
      </c>
      <c r="F43" s="364">
        <f ca="1">IF( ISNA( VLOOKUP( APIF_Import!$M43 &amp; APIF_Import!$F$1,Podesavanja!$AA$3:$AD$24, 4, 0)), "", VLOOKUP( APIF_Import!$C43, INDIRECT( "Lookup_" &amp; APIF_Import!$M43), VLOOKUP( APIF_Import!$M43 &amp; APIF_Import!$F$1,Podesavanja!$AA$3:$AD$24, 4, 0), 0))</f>
        <v>1603853</v>
      </c>
      <c r="G43" s="364">
        <f ca="1">IF( ISNA( VLOOKUP( APIF_Import!$M43 &amp; APIF_Import!$G$1,Podesavanja!$AA$3:$AD$24, 4, 0)), "", VLOOKUP( APIF_Import!$C43, INDIRECT( "Lookup_" &amp; APIF_Import!$M43), VLOOKUP( APIF_Import!$M43 &amp; APIF_Import!$G$1,Podesavanja!$AA$3:$AD$24, 4, 0), 0))</f>
        <v>1384319</v>
      </c>
      <c r="H43" s="364" t="str">
        <f ca="1">IF( ISNA( VLOOKUP( APIF_Import!$M43 &amp; APIF_Import!$H$1,Podesavanja!$AA$3:$AD$24, 4, 0)), "", VLOOKUP( APIF_Import!$C43, INDIRECT( "Lookup_" &amp; APIF_Import!$M43), VLOOKUP( APIF_Import!$M43 &amp; APIF_Import!$H$1,Podesavanja!$AA$3:$AD$24, 4, 0), 0))</f>
        <v/>
      </c>
      <c r="I43" s="364" t="str">
        <f ca="1">IF( ISNA( VLOOKUP( APIF_Import!$M43 &amp; APIF_Import!$I$1,Podesavanja!$AA$3:$AD$24, 4, 0)), "", VLOOKUP( APIF_Import!$C43, INDIRECT( "Lookup_" &amp; APIF_Import!$M43), VLOOKUP( APIF_Import!$M43 &amp; APIF_Import!$I$1,Podesavanja!$AA$3:$AD$24, 4, 0), 0))</f>
        <v/>
      </c>
      <c r="J43" s="364" t="str">
        <f ca="1">IF( ISNA( VLOOKUP( APIF_Import!$M43 &amp; APIF_Import!$J$1,Podesavanja!$AA$3:$AD$24, 4, 0)), "", VLOOKUP( APIF_Import!$C43, INDIRECT( "Lookup_" &amp; APIF_Import!$M43), VLOOKUP( APIF_Import!$M43 &amp; APIF_Import!$J$1,Podesavanja!$AA$3:$AD$24, 4, 0), 0))</f>
        <v/>
      </c>
      <c r="K43" s="364" t="str">
        <f ca="1">IF( ISNA( VLOOKUP( APIF_Import!$M43 &amp; APIF_Import!$K$1,Podesavanja!$AA$3:$AD$24, 4, 0)), "", VLOOKUP( APIF_Import!$C43, INDIRECT( "Lookup_" &amp; APIF_Import!$M43), VLOOKUP( APIF_Import!$M43 &amp; APIF_Import!$K$1,Podesavanja!$AA$3:$AD$24, 4, 0), 0))</f>
        <v/>
      </c>
      <c r="L43" s="8">
        <v>43</v>
      </c>
      <c r="M43" s="8" t="s">
        <v>297</v>
      </c>
    </row>
    <row r="44" spans="2:13" x14ac:dyDescent="0.2">
      <c r="B44" s="8">
        <f>VLOOKUP( APIF_Import!$M44, Podesavanja!$N$3:$Q$9, 4, 0)</f>
        <v>1</v>
      </c>
      <c r="C44" s="363">
        <f>VLOOKUP( APIF_Import!$L44, Aop!$A$2:$N$415, 4, 0)</f>
        <v>43</v>
      </c>
      <c r="D44" s="364" t="str">
        <f ca="1">IF( ISNA( VLOOKUP( APIF_Import!$M44 &amp; APIF_Import!$D$1,Podesavanja!$AA$3:$AD$24, 4, 0)), "", SUBSTITUTE( VALUE( VLOOKUP( APIF_Import!$C44, INDIRECT( "Lookup_" &amp; APIF_Import!$M44), VLOOKUP( APIF_Import!$M44 &amp; APIF_Import!$D$1,Podesavanja!$AA$3:$AD$24, 4, 0), 0)), ".", ","))</f>
        <v>1310047</v>
      </c>
      <c r="E44" s="364" t="str">
        <f ca="1">IF( ISNA( VLOOKUP( APIF_Import!$M44 &amp; APIF_Import!$E$1,Podesavanja!$AA$3:$AD$24, 4, 0)), "", SUBSTITUTE( VALUE( VLOOKUP( APIF_Import!$C44, INDIRECT( "Lookup_" &amp; APIF_Import!$M44), VLOOKUP( APIF_Import!$M44 &amp; APIF_Import!$E$1,Podesavanja!$AA$3:$AD$24, 4, 0), 0)), ".", ","))</f>
        <v>0</v>
      </c>
      <c r="F44" s="364">
        <f ca="1">IF( ISNA( VLOOKUP( APIF_Import!$M44 &amp; APIF_Import!$F$1,Podesavanja!$AA$3:$AD$24, 4, 0)), "", VLOOKUP( APIF_Import!$C44, INDIRECT( "Lookup_" &amp; APIF_Import!$M44), VLOOKUP( APIF_Import!$M44 &amp; APIF_Import!$F$1,Podesavanja!$AA$3:$AD$24, 4, 0), 0))</f>
        <v>1310047</v>
      </c>
      <c r="G44" s="364">
        <f ca="1">IF( ISNA( VLOOKUP( APIF_Import!$M44 &amp; APIF_Import!$G$1,Podesavanja!$AA$3:$AD$24, 4, 0)), "", VLOOKUP( APIF_Import!$C44, INDIRECT( "Lookup_" &amp; APIF_Import!$M44), VLOOKUP( APIF_Import!$M44 &amp; APIF_Import!$G$1,Podesavanja!$AA$3:$AD$24, 4, 0), 0))</f>
        <v>796732</v>
      </c>
      <c r="H44" s="364" t="str">
        <f ca="1">IF( ISNA( VLOOKUP( APIF_Import!$M44 &amp; APIF_Import!$H$1,Podesavanja!$AA$3:$AD$24, 4, 0)), "", VLOOKUP( APIF_Import!$C44, INDIRECT( "Lookup_" &amp; APIF_Import!$M44), VLOOKUP( APIF_Import!$M44 &amp; APIF_Import!$H$1,Podesavanja!$AA$3:$AD$24, 4, 0), 0))</f>
        <v/>
      </c>
      <c r="I44" s="364" t="str">
        <f ca="1">IF( ISNA( VLOOKUP( APIF_Import!$M44 &amp; APIF_Import!$I$1,Podesavanja!$AA$3:$AD$24, 4, 0)), "", VLOOKUP( APIF_Import!$C44, INDIRECT( "Lookup_" &amp; APIF_Import!$M44), VLOOKUP( APIF_Import!$M44 &amp; APIF_Import!$I$1,Podesavanja!$AA$3:$AD$24, 4, 0), 0))</f>
        <v/>
      </c>
      <c r="J44" s="364" t="str">
        <f ca="1">IF( ISNA( VLOOKUP( APIF_Import!$M44 &amp; APIF_Import!$J$1,Podesavanja!$AA$3:$AD$24, 4, 0)), "", VLOOKUP( APIF_Import!$C44, INDIRECT( "Lookup_" &amp; APIF_Import!$M44), VLOOKUP( APIF_Import!$M44 &amp; APIF_Import!$J$1,Podesavanja!$AA$3:$AD$24, 4, 0), 0))</f>
        <v/>
      </c>
      <c r="K44" s="364" t="str">
        <f ca="1">IF( ISNA( VLOOKUP( APIF_Import!$M44 &amp; APIF_Import!$K$1,Podesavanja!$AA$3:$AD$24, 4, 0)), "", VLOOKUP( APIF_Import!$C44, INDIRECT( "Lookup_" &amp; APIF_Import!$M44), VLOOKUP( APIF_Import!$M44 &amp; APIF_Import!$K$1,Podesavanja!$AA$3:$AD$24, 4, 0), 0))</f>
        <v/>
      </c>
      <c r="L44" s="8">
        <v>44</v>
      </c>
      <c r="M44" s="8" t="s">
        <v>297</v>
      </c>
    </row>
    <row r="45" spans="2:13" x14ac:dyDescent="0.2">
      <c r="B45" s="8">
        <f>VLOOKUP( APIF_Import!$M45, Podesavanja!$N$3:$Q$9, 4, 0)</f>
        <v>1</v>
      </c>
      <c r="C45" s="363">
        <f>VLOOKUP( APIF_Import!$L45, Aop!$A$2:$N$415, 4, 0)</f>
        <v>44</v>
      </c>
      <c r="D45" s="364" t="str">
        <f ca="1">IF( ISNA( VLOOKUP( APIF_Import!$M45 &amp; APIF_Import!$D$1,Podesavanja!$AA$3:$AD$24, 4, 0)), "", SUBSTITUTE( VALUE( VLOOKUP( APIF_Import!$C45, INDIRECT( "Lookup_" &amp; APIF_Import!$M45), VLOOKUP( APIF_Import!$M45 &amp; APIF_Import!$D$1,Podesavanja!$AA$3:$AD$24, 4, 0), 0)), ".", ","))</f>
        <v>0</v>
      </c>
      <c r="E45" s="364" t="str">
        <f ca="1">IF( ISNA( VLOOKUP( APIF_Import!$M45 &amp; APIF_Import!$E$1,Podesavanja!$AA$3:$AD$24, 4, 0)), "", SUBSTITUTE( VALUE( VLOOKUP( APIF_Import!$C45, INDIRECT( "Lookup_" &amp; APIF_Import!$M45), VLOOKUP( APIF_Import!$M45 &amp; APIF_Import!$E$1,Podesavanja!$AA$3:$AD$24, 4, 0), 0)), ".", ","))</f>
        <v>0</v>
      </c>
      <c r="F45" s="364">
        <f ca="1">IF( ISNA( VLOOKUP( APIF_Import!$M45 &amp; APIF_Import!$F$1,Podesavanja!$AA$3:$AD$24, 4, 0)), "", VLOOKUP( APIF_Import!$C45, INDIRECT( "Lookup_" &amp; APIF_Import!$M45), VLOOKUP( APIF_Import!$M45 &amp; APIF_Import!$F$1,Podesavanja!$AA$3:$AD$24, 4, 0), 0))</f>
        <v>0</v>
      </c>
      <c r="G45" s="364">
        <f ca="1">IF( ISNA( VLOOKUP( APIF_Import!$M45 &amp; APIF_Import!$G$1,Podesavanja!$AA$3:$AD$24, 4, 0)), "", VLOOKUP( APIF_Import!$C45, INDIRECT( "Lookup_" &amp; APIF_Import!$M45), VLOOKUP( APIF_Import!$M45 &amp; APIF_Import!$G$1,Podesavanja!$AA$3:$AD$24, 4, 0), 0))</f>
        <v>0</v>
      </c>
      <c r="H45" s="364" t="str">
        <f ca="1">IF( ISNA( VLOOKUP( APIF_Import!$M45 &amp; APIF_Import!$H$1,Podesavanja!$AA$3:$AD$24, 4, 0)), "", VLOOKUP( APIF_Import!$C45, INDIRECT( "Lookup_" &amp; APIF_Import!$M45), VLOOKUP( APIF_Import!$M45 &amp; APIF_Import!$H$1,Podesavanja!$AA$3:$AD$24, 4, 0), 0))</f>
        <v/>
      </c>
      <c r="I45" s="364" t="str">
        <f ca="1">IF( ISNA( VLOOKUP( APIF_Import!$M45 &amp; APIF_Import!$I$1,Podesavanja!$AA$3:$AD$24, 4, 0)), "", VLOOKUP( APIF_Import!$C45, INDIRECT( "Lookup_" &amp; APIF_Import!$M45), VLOOKUP( APIF_Import!$M45 &amp; APIF_Import!$I$1,Podesavanja!$AA$3:$AD$24, 4, 0), 0))</f>
        <v/>
      </c>
      <c r="J45" s="364" t="str">
        <f ca="1">IF( ISNA( VLOOKUP( APIF_Import!$M45 &amp; APIF_Import!$J$1,Podesavanja!$AA$3:$AD$24, 4, 0)), "", VLOOKUP( APIF_Import!$C45, INDIRECT( "Lookup_" &amp; APIF_Import!$M45), VLOOKUP( APIF_Import!$M45 &amp; APIF_Import!$J$1,Podesavanja!$AA$3:$AD$24, 4, 0), 0))</f>
        <v/>
      </c>
      <c r="K45" s="364" t="str">
        <f ca="1">IF( ISNA( VLOOKUP( APIF_Import!$M45 &amp; APIF_Import!$K$1,Podesavanja!$AA$3:$AD$24, 4, 0)), "", VLOOKUP( APIF_Import!$C45, INDIRECT( "Lookup_" &amp; APIF_Import!$M45), VLOOKUP( APIF_Import!$M45 &amp; APIF_Import!$K$1,Podesavanja!$AA$3:$AD$24, 4, 0), 0))</f>
        <v/>
      </c>
      <c r="L45" s="8">
        <v>45</v>
      </c>
      <c r="M45" s="8" t="s">
        <v>297</v>
      </c>
    </row>
    <row r="46" spans="2:13" x14ac:dyDescent="0.2">
      <c r="B46" s="8">
        <f>VLOOKUP( APIF_Import!$M46, Podesavanja!$N$3:$Q$9, 4, 0)</f>
        <v>1</v>
      </c>
      <c r="C46" s="363">
        <f>VLOOKUP( APIF_Import!$L46, Aop!$A$2:$N$415, 4, 0)</f>
        <v>45</v>
      </c>
      <c r="D46" s="364" t="str">
        <f ca="1">IF( ISNA( VLOOKUP( APIF_Import!$M46 &amp; APIF_Import!$D$1,Podesavanja!$AA$3:$AD$24, 4, 0)), "", SUBSTITUTE( VALUE( VLOOKUP( APIF_Import!$C46, INDIRECT( "Lookup_" &amp; APIF_Import!$M46), VLOOKUP( APIF_Import!$M46 &amp; APIF_Import!$D$1,Podesavanja!$AA$3:$AD$24, 4, 0), 0)), ".", ","))</f>
        <v>0</v>
      </c>
      <c r="E46" s="364" t="str">
        <f ca="1">IF( ISNA( VLOOKUP( APIF_Import!$M46 &amp; APIF_Import!$E$1,Podesavanja!$AA$3:$AD$24, 4, 0)), "", SUBSTITUTE( VALUE( VLOOKUP( APIF_Import!$C46, INDIRECT( "Lookup_" &amp; APIF_Import!$M46), VLOOKUP( APIF_Import!$M46 &amp; APIF_Import!$E$1,Podesavanja!$AA$3:$AD$24, 4, 0), 0)), ".", ","))</f>
        <v>0</v>
      </c>
      <c r="F46" s="364">
        <f ca="1">IF( ISNA( VLOOKUP( APIF_Import!$M46 &amp; APIF_Import!$F$1,Podesavanja!$AA$3:$AD$24, 4, 0)), "", VLOOKUP( APIF_Import!$C46, INDIRECT( "Lookup_" &amp; APIF_Import!$M46), VLOOKUP( APIF_Import!$M46 &amp; APIF_Import!$F$1,Podesavanja!$AA$3:$AD$24, 4, 0), 0))</f>
        <v>0</v>
      </c>
      <c r="G46" s="364">
        <f ca="1">IF( ISNA( VLOOKUP( APIF_Import!$M46 &amp; APIF_Import!$G$1,Podesavanja!$AA$3:$AD$24, 4, 0)), "", VLOOKUP( APIF_Import!$C46, INDIRECT( "Lookup_" &amp; APIF_Import!$M46), VLOOKUP( APIF_Import!$M46 &amp; APIF_Import!$G$1,Podesavanja!$AA$3:$AD$24, 4, 0), 0))</f>
        <v>0</v>
      </c>
      <c r="H46" s="364" t="str">
        <f ca="1">IF( ISNA( VLOOKUP( APIF_Import!$M46 &amp; APIF_Import!$H$1,Podesavanja!$AA$3:$AD$24, 4, 0)), "", VLOOKUP( APIF_Import!$C46, INDIRECT( "Lookup_" &amp; APIF_Import!$M46), VLOOKUP( APIF_Import!$M46 &amp; APIF_Import!$H$1,Podesavanja!$AA$3:$AD$24, 4, 0), 0))</f>
        <v/>
      </c>
      <c r="I46" s="364" t="str">
        <f ca="1">IF( ISNA( VLOOKUP( APIF_Import!$M46 &amp; APIF_Import!$I$1,Podesavanja!$AA$3:$AD$24, 4, 0)), "", VLOOKUP( APIF_Import!$C46, INDIRECT( "Lookup_" &amp; APIF_Import!$M46), VLOOKUP( APIF_Import!$M46 &amp; APIF_Import!$I$1,Podesavanja!$AA$3:$AD$24, 4, 0), 0))</f>
        <v/>
      </c>
      <c r="J46" s="364" t="str">
        <f ca="1">IF( ISNA( VLOOKUP( APIF_Import!$M46 &amp; APIF_Import!$J$1,Podesavanja!$AA$3:$AD$24, 4, 0)), "", VLOOKUP( APIF_Import!$C46, INDIRECT( "Lookup_" &amp; APIF_Import!$M46), VLOOKUP( APIF_Import!$M46 &amp; APIF_Import!$J$1,Podesavanja!$AA$3:$AD$24, 4, 0), 0))</f>
        <v/>
      </c>
      <c r="K46" s="364" t="str">
        <f ca="1">IF( ISNA( VLOOKUP( APIF_Import!$M46 &amp; APIF_Import!$K$1,Podesavanja!$AA$3:$AD$24, 4, 0)), "", VLOOKUP( APIF_Import!$C46, INDIRECT( "Lookup_" &amp; APIF_Import!$M46), VLOOKUP( APIF_Import!$M46 &amp; APIF_Import!$K$1,Podesavanja!$AA$3:$AD$24, 4, 0), 0))</f>
        <v/>
      </c>
      <c r="L46" s="8">
        <v>46</v>
      </c>
      <c r="M46" s="8" t="s">
        <v>297</v>
      </c>
    </row>
    <row r="47" spans="2:13" x14ac:dyDescent="0.2">
      <c r="B47" s="8">
        <f>VLOOKUP( APIF_Import!$M47, Podesavanja!$N$3:$Q$9, 4, 0)</f>
        <v>1</v>
      </c>
      <c r="C47" s="363">
        <f>VLOOKUP( APIF_Import!$L47, Aop!$A$2:$N$415, 4, 0)</f>
        <v>46</v>
      </c>
      <c r="D47" s="364" t="str">
        <f ca="1">IF( ISNA( VLOOKUP( APIF_Import!$M47 &amp; APIF_Import!$D$1,Podesavanja!$AA$3:$AD$24, 4, 0)), "", SUBSTITUTE( VALUE( VLOOKUP( APIF_Import!$C47, INDIRECT( "Lookup_" &amp; APIF_Import!$M47), VLOOKUP( APIF_Import!$M47 &amp; APIF_Import!$D$1,Podesavanja!$AA$3:$AD$24, 4, 0), 0)), ".", ","))</f>
        <v>49184</v>
      </c>
      <c r="E47" s="364" t="str">
        <f ca="1">IF( ISNA( VLOOKUP( APIF_Import!$M47 &amp; APIF_Import!$E$1,Podesavanja!$AA$3:$AD$24, 4, 0)), "", SUBSTITUTE( VALUE( VLOOKUP( APIF_Import!$C47, INDIRECT( "Lookup_" &amp; APIF_Import!$M47), VLOOKUP( APIF_Import!$M47 &amp; APIF_Import!$E$1,Podesavanja!$AA$3:$AD$24, 4, 0), 0)), ".", ","))</f>
        <v>0</v>
      </c>
      <c r="F47" s="364">
        <f ca="1">IF( ISNA( VLOOKUP( APIF_Import!$M47 &amp; APIF_Import!$F$1,Podesavanja!$AA$3:$AD$24, 4, 0)), "", VLOOKUP( APIF_Import!$C47, INDIRECT( "Lookup_" &amp; APIF_Import!$M47), VLOOKUP( APIF_Import!$M47 &amp; APIF_Import!$F$1,Podesavanja!$AA$3:$AD$24, 4, 0), 0))</f>
        <v>49184</v>
      </c>
      <c r="G47" s="364">
        <f ca="1">IF( ISNA( VLOOKUP( APIF_Import!$M47 &amp; APIF_Import!$G$1,Podesavanja!$AA$3:$AD$24, 4, 0)), "", VLOOKUP( APIF_Import!$C47, INDIRECT( "Lookup_" &amp; APIF_Import!$M47), VLOOKUP( APIF_Import!$M47 &amp; APIF_Import!$G$1,Podesavanja!$AA$3:$AD$24, 4, 0), 0))</f>
        <v>5370</v>
      </c>
      <c r="H47" s="364" t="str">
        <f ca="1">IF( ISNA( VLOOKUP( APIF_Import!$M47 &amp; APIF_Import!$H$1,Podesavanja!$AA$3:$AD$24, 4, 0)), "", VLOOKUP( APIF_Import!$C47, INDIRECT( "Lookup_" &amp; APIF_Import!$M47), VLOOKUP( APIF_Import!$M47 &amp; APIF_Import!$H$1,Podesavanja!$AA$3:$AD$24, 4, 0), 0))</f>
        <v/>
      </c>
      <c r="I47" s="364" t="str">
        <f ca="1">IF( ISNA( VLOOKUP( APIF_Import!$M47 &amp; APIF_Import!$I$1,Podesavanja!$AA$3:$AD$24, 4, 0)), "", VLOOKUP( APIF_Import!$C47, INDIRECT( "Lookup_" &amp; APIF_Import!$M47), VLOOKUP( APIF_Import!$M47 &amp; APIF_Import!$I$1,Podesavanja!$AA$3:$AD$24, 4, 0), 0))</f>
        <v/>
      </c>
      <c r="J47" s="364" t="str">
        <f ca="1">IF( ISNA( VLOOKUP( APIF_Import!$M47 &amp; APIF_Import!$J$1,Podesavanja!$AA$3:$AD$24, 4, 0)), "", VLOOKUP( APIF_Import!$C47, INDIRECT( "Lookup_" &amp; APIF_Import!$M47), VLOOKUP( APIF_Import!$M47 &amp; APIF_Import!$J$1,Podesavanja!$AA$3:$AD$24, 4, 0), 0))</f>
        <v/>
      </c>
      <c r="K47" s="364" t="str">
        <f ca="1">IF( ISNA( VLOOKUP( APIF_Import!$M47 &amp; APIF_Import!$K$1,Podesavanja!$AA$3:$AD$24, 4, 0)), "", VLOOKUP( APIF_Import!$C47, INDIRECT( "Lookup_" &amp; APIF_Import!$M47), VLOOKUP( APIF_Import!$M47 &amp; APIF_Import!$K$1,Podesavanja!$AA$3:$AD$24, 4, 0), 0))</f>
        <v/>
      </c>
      <c r="L47" s="8">
        <v>47</v>
      </c>
      <c r="M47" s="8" t="s">
        <v>297</v>
      </c>
    </row>
    <row r="48" spans="2:13" x14ac:dyDescent="0.2">
      <c r="B48" s="8">
        <f>VLOOKUP( APIF_Import!$M48, Podesavanja!$N$3:$Q$9, 4, 0)</f>
        <v>1</v>
      </c>
      <c r="C48" s="363">
        <f>VLOOKUP( APIF_Import!$L48, Aop!$A$2:$N$415, 4, 0)</f>
        <v>47</v>
      </c>
      <c r="D48" s="364" t="str">
        <f ca="1">IF( ISNA( VLOOKUP( APIF_Import!$M48 &amp; APIF_Import!$D$1,Podesavanja!$AA$3:$AD$24, 4, 0)), "", SUBSTITUTE( VALUE( VLOOKUP( APIF_Import!$C48, INDIRECT( "Lookup_" &amp; APIF_Import!$M48), VLOOKUP( APIF_Import!$M48 &amp; APIF_Import!$D$1,Podesavanja!$AA$3:$AD$24, 4, 0), 0)), ".", ","))</f>
        <v>0</v>
      </c>
      <c r="E48" s="364" t="str">
        <f ca="1">IF( ISNA( VLOOKUP( APIF_Import!$M48 &amp; APIF_Import!$E$1,Podesavanja!$AA$3:$AD$24, 4, 0)), "", SUBSTITUTE( VALUE( VLOOKUP( APIF_Import!$C48, INDIRECT( "Lookup_" &amp; APIF_Import!$M48), VLOOKUP( APIF_Import!$M48 &amp; APIF_Import!$E$1,Podesavanja!$AA$3:$AD$24, 4, 0), 0)), ".", ","))</f>
        <v>0</v>
      </c>
      <c r="F48" s="364">
        <f ca="1">IF( ISNA( VLOOKUP( APIF_Import!$M48 &amp; APIF_Import!$F$1,Podesavanja!$AA$3:$AD$24, 4, 0)), "", VLOOKUP( APIF_Import!$C48, INDIRECT( "Lookup_" &amp; APIF_Import!$M48), VLOOKUP( APIF_Import!$M48 &amp; APIF_Import!$F$1,Podesavanja!$AA$3:$AD$24, 4, 0), 0))</f>
        <v>0</v>
      </c>
      <c r="G48" s="364">
        <f ca="1">IF( ISNA( VLOOKUP( APIF_Import!$M48 &amp; APIF_Import!$G$1,Podesavanja!$AA$3:$AD$24, 4, 0)), "", VLOOKUP( APIF_Import!$C48, INDIRECT( "Lookup_" &amp; APIF_Import!$M48), VLOOKUP( APIF_Import!$M48 &amp; APIF_Import!$G$1,Podesavanja!$AA$3:$AD$24, 4, 0), 0))</f>
        <v>0</v>
      </c>
      <c r="H48" s="364" t="str">
        <f ca="1">IF( ISNA( VLOOKUP( APIF_Import!$M48 &amp; APIF_Import!$H$1,Podesavanja!$AA$3:$AD$24, 4, 0)), "", VLOOKUP( APIF_Import!$C48, INDIRECT( "Lookup_" &amp; APIF_Import!$M48), VLOOKUP( APIF_Import!$M48 &amp; APIF_Import!$H$1,Podesavanja!$AA$3:$AD$24, 4, 0), 0))</f>
        <v/>
      </c>
      <c r="I48" s="364" t="str">
        <f ca="1">IF( ISNA( VLOOKUP( APIF_Import!$M48 &amp; APIF_Import!$I$1,Podesavanja!$AA$3:$AD$24, 4, 0)), "", VLOOKUP( APIF_Import!$C48, INDIRECT( "Lookup_" &amp; APIF_Import!$M48), VLOOKUP( APIF_Import!$M48 &amp; APIF_Import!$I$1,Podesavanja!$AA$3:$AD$24, 4, 0), 0))</f>
        <v/>
      </c>
      <c r="J48" s="364" t="str">
        <f ca="1">IF( ISNA( VLOOKUP( APIF_Import!$M48 &amp; APIF_Import!$J$1,Podesavanja!$AA$3:$AD$24, 4, 0)), "", VLOOKUP( APIF_Import!$C48, INDIRECT( "Lookup_" &amp; APIF_Import!$M48), VLOOKUP( APIF_Import!$M48 &amp; APIF_Import!$J$1,Podesavanja!$AA$3:$AD$24, 4, 0), 0))</f>
        <v/>
      </c>
      <c r="K48" s="364" t="str">
        <f ca="1">IF( ISNA( VLOOKUP( APIF_Import!$M48 &amp; APIF_Import!$K$1,Podesavanja!$AA$3:$AD$24, 4, 0)), "", VLOOKUP( APIF_Import!$C48, INDIRECT( "Lookup_" &amp; APIF_Import!$M48), VLOOKUP( APIF_Import!$M48 &amp; APIF_Import!$K$1,Podesavanja!$AA$3:$AD$24, 4, 0), 0))</f>
        <v/>
      </c>
      <c r="L48" s="8">
        <v>48</v>
      </c>
      <c r="M48" s="8" t="s">
        <v>297</v>
      </c>
    </row>
    <row r="49" spans="2:13" x14ac:dyDescent="0.2">
      <c r="B49" s="8">
        <f>VLOOKUP( APIF_Import!$M49, Podesavanja!$N$3:$Q$9, 4, 0)</f>
        <v>1</v>
      </c>
      <c r="C49" s="363">
        <f>VLOOKUP( APIF_Import!$L49, Aop!$A$2:$N$415, 4, 0)</f>
        <v>48</v>
      </c>
      <c r="D49" s="364" t="str">
        <f ca="1">IF( ISNA( VLOOKUP( APIF_Import!$M49 &amp; APIF_Import!$D$1,Podesavanja!$AA$3:$AD$24, 4, 0)), "", SUBSTITUTE( VALUE( VLOOKUP( APIF_Import!$C49, INDIRECT( "Lookup_" &amp; APIF_Import!$M49), VLOOKUP( APIF_Import!$M49 &amp; APIF_Import!$D$1,Podesavanja!$AA$3:$AD$24, 4, 0), 0)), ".", ","))</f>
        <v>0</v>
      </c>
      <c r="E49" s="364" t="str">
        <f ca="1">IF( ISNA( VLOOKUP( APIF_Import!$M49 &amp; APIF_Import!$E$1,Podesavanja!$AA$3:$AD$24, 4, 0)), "", SUBSTITUTE( VALUE( VLOOKUP( APIF_Import!$C49, INDIRECT( "Lookup_" &amp; APIF_Import!$M49), VLOOKUP( APIF_Import!$M49 &amp; APIF_Import!$E$1,Podesavanja!$AA$3:$AD$24, 4, 0), 0)), ".", ","))</f>
        <v>0</v>
      </c>
      <c r="F49" s="364">
        <f ca="1">IF( ISNA( VLOOKUP( APIF_Import!$M49 &amp; APIF_Import!$F$1,Podesavanja!$AA$3:$AD$24, 4, 0)), "", VLOOKUP( APIF_Import!$C49, INDIRECT( "Lookup_" &amp; APIF_Import!$M49), VLOOKUP( APIF_Import!$M49 &amp; APIF_Import!$F$1,Podesavanja!$AA$3:$AD$24, 4, 0), 0))</f>
        <v>0</v>
      </c>
      <c r="G49" s="364">
        <f ca="1">IF( ISNA( VLOOKUP( APIF_Import!$M49 &amp; APIF_Import!$G$1,Podesavanja!$AA$3:$AD$24, 4, 0)), "", VLOOKUP( APIF_Import!$C49, INDIRECT( "Lookup_" &amp; APIF_Import!$M49), VLOOKUP( APIF_Import!$M49 &amp; APIF_Import!$G$1,Podesavanja!$AA$3:$AD$24, 4, 0), 0))</f>
        <v>0</v>
      </c>
      <c r="H49" s="364" t="str">
        <f ca="1">IF( ISNA( VLOOKUP( APIF_Import!$M49 &amp; APIF_Import!$H$1,Podesavanja!$AA$3:$AD$24, 4, 0)), "", VLOOKUP( APIF_Import!$C49, INDIRECT( "Lookup_" &amp; APIF_Import!$M49), VLOOKUP( APIF_Import!$M49 &amp; APIF_Import!$H$1,Podesavanja!$AA$3:$AD$24, 4, 0), 0))</f>
        <v/>
      </c>
      <c r="I49" s="364" t="str">
        <f ca="1">IF( ISNA( VLOOKUP( APIF_Import!$M49 &amp; APIF_Import!$I$1,Podesavanja!$AA$3:$AD$24, 4, 0)), "", VLOOKUP( APIF_Import!$C49, INDIRECT( "Lookup_" &amp; APIF_Import!$M49), VLOOKUP( APIF_Import!$M49 &amp; APIF_Import!$I$1,Podesavanja!$AA$3:$AD$24, 4, 0), 0))</f>
        <v/>
      </c>
      <c r="J49" s="364" t="str">
        <f ca="1">IF( ISNA( VLOOKUP( APIF_Import!$M49 &amp; APIF_Import!$J$1,Podesavanja!$AA$3:$AD$24, 4, 0)), "", VLOOKUP( APIF_Import!$C49, INDIRECT( "Lookup_" &amp; APIF_Import!$M49), VLOOKUP( APIF_Import!$M49 &amp; APIF_Import!$J$1,Podesavanja!$AA$3:$AD$24, 4, 0), 0))</f>
        <v/>
      </c>
      <c r="K49" s="364" t="str">
        <f ca="1">IF( ISNA( VLOOKUP( APIF_Import!$M49 &amp; APIF_Import!$K$1,Podesavanja!$AA$3:$AD$24, 4, 0)), "", VLOOKUP( APIF_Import!$C49, INDIRECT( "Lookup_" &amp; APIF_Import!$M49), VLOOKUP( APIF_Import!$M49 &amp; APIF_Import!$K$1,Podesavanja!$AA$3:$AD$24, 4, 0), 0))</f>
        <v/>
      </c>
      <c r="L49" s="8">
        <v>49</v>
      </c>
      <c r="M49" s="8" t="s">
        <v>297</v>
      </c>
    </row>
    <row r="50" spans="2:13" x14ac:dyDescent="0.2">
      <c r="B50" s="8">
        <f>VLOOKUP( APIF_Import!$M50, Podesavanja!$N$3:$Q$9, 4, 0)</f>
        <v>1</v>
      </c>
      <c r="C50" s="363">
        <f>VLOOKUP( APIF_Import!$L50, Aop!$A$2:$N$415, 4, 0)</f>
        <v>49</v>
      </c>
      <c r="D50" s="364" t="str">
        <f ca="1">IF( ISNA( VLOOKUP( APIF_Import!$M50 &amp; APIF_Import!$D$1,Podesavanja!$AA$3:$AD$24, 4, 0)), "", SUBSTITUTE( VALUE( VLOOKUP( APIF_Import!$C50, INDIRECT( "Lookup_" &amp; APIF_Import!$M50), VLOOKUP( APIF_Import!$M50 &amp; APIF_Import!$D$1,Podesavanja!$AA$3:$AD$24, 4, 0), 0)), ".", ","))</f>
        <v>0</v>
      </c>
      <c r="E50" s="364" t="str">
        <f ca="1">IF( ISNA( VLOOKUP( APIF_Import!$M50 &amp; APIF_Import!$E$1,Podesavanja!$AA$3:$AD$24, 4, 0)), "", SUBSTITUTE( VALUE( VLOOKUP( APIF_Import!$C50, INDIRECT( "Lookup_" &amp; APIF_Import!$M50), VLOOKUP( APIF_Import!$M50 &amp; APIF_Import!$E$1,Podesavanja!$AA$3:$AD$24, 4, 0), 0)), ".", ","))</f>
        <v>0</v>
      </c>
      <c r="F50" s="364">
        <f ca="1">IF( ISNA( VLOOKUP( APIF_Import!$M50 &amp; APIF_Import!$F$1,Podesavanja!$AA$3:$AD$24, 4, 0)), "", VLOOKUP( APIF_Import!$C50, INDIRECT( "Lookup_" &amp; APIF_Import!$M50), VLOOKUP( APIF_Import!$M50 &amp; APIF_Import!$F$1,Podesavanja!$AA$3:$AD$24, 4, 0), 0))</f>
        <v>0</v>
      </c>
      <c r="G50" s="364">
        <f ca="1">IF( ISNA( VLOOKUP( APIF_Import!$M50 &amp; APIF_Import!$G$1,Podesavanja!$AA$3:$AD$24, 4, 0)), "", VLOOKUP( APIF_Import!$C50, INDIRECT( "Lookup_" &amp; APIF_Import!$M50), VLOOKUP( APIF_Import!$M50 &amp; APIF_Import!$G$1,Podesavanja!$AA$3:$AD$24, 4, 0), 0))</f>
        <v>0</v>
      </c>
      <c r="H50" s="364" t="str">
        <f ca="1">IF( ISNA( VLOOKUP( APIF_Import!$M50 &amp; APIF_Import!$H$1,Podesavanja!$AA$3:$AD$24, 4, 0)), "", VLOOKUP( APIF_Import!$C50, INDIRECT( "Lookup_" &amp; APIF_Import!$M50), VLOOKUP( APIF_Import!$M50 &amp; APIF_Import!$H$1,Podesavanja!$AA$3:$AD$24, 4, 0), 0))</f>
        <v/>
      </c>
      <c r="I50" s="364" t="str">
        <f ca="1">IF( ISNA( VLOOKUP( APIF_Import!$M50 &amp; APIF_Import!$I$1,Podesavanja!$AA$3:$AD$24, 4, 0)), "", VLOOKUP( APIF_Import!$C50, INDIRECT( "Lookup_" &amp; APIF_Import!$M50), VLOOKUP( APIF_Import!$M50 &amp; APIF_Import!$I$1,Podesavanja!$AA$3:$AD$24, 4, 0), 0))</f>
        <v/>
      </c>
      <c r="J50" s="364" t="str">
        <f ca="1">IF( ISNA( VLOOKUP( APIF_Import!$M50 &amp; APIF_Import!$J$1,Podesavanja!$AA$3:$AD$24, 4, 0)), "", VLOOKUP( APIF_Import!$C50, INDIRECT( "Lookup_" &amp; APIF_Import!$M50), VLOOKUP( APIF_Import!$M50 &amp; APIF_Import!$J$1,Podesavanja!$AA$3:$AD$24, 4, 0), 0))</f>
        <v/>
      </c>
      <c r="K50" s="364" t="str">
        <f ca="1">IF( ISNA( VLOOKUP( APIF_Import!$M50 &amp; APIF_Import!$K$1,Podesavanja!$AA$3:$AD$24, 4, 0)), "", VLOOKUP( APIF_Import!$C50, INDIRECT( "Lookup_" &amp; APIF_Import!$M50), VLOOKUP( APIF_Import!$M50 &amp; APIF_Import!$K$1,Podesavanja!$AA$3:$AD$24, 4, 0), 0))</f>
        <v/>
      </c>
      <c r="L50" s="8">
        <v>50</v>
      </c>
      <c r="M50" s="8" t="s">
        <v>297</v>
      </c>
    </row>
    <row r="51" spans="2:13" x14ac:dyDescent="0.2">
      <c r="B51" s="8">
        <f>VLOOKUP( APIF_Import!$M51, Podesavanja!$N$3:$Q$9, 4, 0)</f>
        <v>1</v>
      </c>
      <c r="C51" s="363">
        <f>VLOOKUP( APIF_Import!$L51, Aop!$A$2:$N$415, 4, 0)</f>
        <v>50</v>
      </c>
      <c r="D51" s="364" t="str">
        <f ca="1">IF( ISNA( VLOOKUP( APIF_Import!$M51 &amp; APIF_Import!$D$1,Podesavanja!$AA$3:$AD$24, 4, 0)), "", SUBSTITUTE( VALUE( VLOOKUP( APIF_Import!$C51, INDIRECT( "Lookup_" &amp; APIF_Import!$M51), VLOOKUP( APIF_Import!$M51 &amp; APIF_Import!$D$1,Podesavanja!$AA$3:$AD$24, 4, 0), 0)), ".", ","))</f>
        <v>0</v>
      </c>
      <c r="E51" s="364" t="str">
        <f ca="1">IF( ISNA( VLOOKUP( APIF_Import!$M51 &amp; APIF_Import!$E$1,Podesavanja!$AA$3:$AD$24, 4, 0)), "", SUBSTITUTE( VALUE( VLOOKUP( APIF_Import!$C51, INDIRECT( "Lookup_" &amp; APIF_Import!$M51), VLOOKUP( APIF_Import!$M51 &amp; APIF_Import!$E$1,Podesavanja!$AA$3:$AD$24, 4, 0), 0)), ".", ","))</f>
        <v>0</v>
      </c>
      <c r="F51" s="364">
        <f ca="1">IF( ISNA( VLOOKUP( APIF_Import!$M51 &amp; APIF_Import!$F$1,Podesavanja!$AA$3:$AD$24, 4, 0)), "", VLOOKUP( APIF_Import!$C51, INDIRECT( "Lookup_" &amp; APIF_Import!$M51), VLOOKUP( APIF_Import!$M51 &amp; APIF_Import!$F$1,Podesavanja!$AA$3:$AD$24, 4, 0), 0))</f>
        <v>0</v>
      </c>
      <c r="G51" s="364">
        <f ca="1">IF( ISNA( VLOOKUP( APIF_Import!$M51 &amp; APIF_Import!$G$1,Podesavanja!$AA$3:$AD$24, 4, 0)), "", VLOOKUP( APIF_Import!$C51, INDIRECT( "Lookup_" &amp; APIF_Import!$M51), VLOOKUP( APIF_Import!$M51 &amp; APIF_Import!$G$1,Podesavanja!$AA$3:$AD$24, 4, 0), 0))</f>
        <v>0</v>
      </c>
      <c r="H51" s="364" t="str">
        <f ca="1">IF( ISNA( VLOOKUP( APIF_Import!$M51 &amp; APIF_Import!$H$1,Podesavanja!$AA$3:$AD$24, 4, 0)), "", VLOOKUP( APIF_Import!$C51, INDIRECT( "Lookup_" &amp; APIF_Import!$M51), VLOOKUP( APIF_Import!$M51 &amp; APIF_Import!$H$1,Podesavanja!$AA$3:$AD$24, 4, 0), 0))</f>
        <v/>
      </c>
      <c r="I51" s="364" t="str">
        <f ca="1">IF( ISNA( VLOOKUP( APIF_Import!$M51 &amp; APIF_Import!$I$1,Podesavanja!$AA$3:$AD$24, 4, 0)), "", VLOOKUP( APIF_Import!$C51, INDIRECT( "Lookup_" &amp; APIF_Import!$M51), VLOOKUP( APIF_Import!$M51 &amp; APIF_Import!$I$1,Podesavanja!$AA$3:$AD$24, 4, 0), 0))</f>
        <v/>
      </c>
      <c r="J51" s="364" t="str">
        <f ca="1">IF( ISNA( VLOOKUP( APIF_Import!$M51 &amp; APIF_Import!$J$1,Podesavanja!$AA$3:$AD$24, 4, 0)), "", VLOOKUP( APIF_Import!$C51, INDIRECT( "Lookup_" &amp; APIF_Import!$M51), VLOOKUP( APIF_Import!$M51 &amp; APIF_Import!$J$1,Podesavanja!$AA$3:$AD$24, 4, 0), 0))</f>
        <v/>
      </c>
      <c r="K51" s="364" t="str">
        <f ca="1">IF( ISNA( VLOOKUP( APIF_Import!$M51 &amp; APIF_Import!$K$1,Podesavanja!$AA$3:$AD$24, 4, 0)), "", VLOOKUP( APIF_Import!$C51, INDIRECT( "Lookup_" &amp; APIF_Import!$M51), VLOOKUP( APIF_Import!$M51 &amp; APIF_Import!$K$1,Podesavanja!$AA$3:$AD$24, 4, 0), 0))</f>
        <v/>
      </c>
      <c r="L51" s="8">
        <v>51</v>
      </c>
      <c r="M51" s="8" t="s">
        <v>297</v>
      </c>
    </row>
    <row r="52" spans="2:13" x14ac:dyDescent="0.2">
      <c r="B52" s="8">
        <f>VLOOKUP( APIF_Import!$M52, Podesavanja!$N$3:$Q$9, 4, 0)</f>
        <v>1</v>
      </c>
      <c r="C52" s="363">
        <f>VLOOKUP( APIF_Import!$L52, Aop!$A$2:$N$415, 4, 0)</f>
        <v>51</v>
      </c>
      <c r="D52" s="364" t="str">
        <f ca="1">IF( ISNA( VLOOKUP( APIF_Import!$M52 &amp; APIF_Import!$D$1,Podesavanja!$AA$3:$AD$24, 4, 0)), "", SUBSTITUTE( VALUE( VLOOKUP( APIF_Import!$C52, INDIRECT( "Lookup_" &amp; APIF_Import!$M52), VLOOKUP( APIF_Import!$M52 &amp; APIF_Import!$D$1,Podesavanja!$AA$3:$AD$24, 4, 0), 0)), ".", ","))</f>
        <v>0</v>
      </c>
      <c r="E52" s="364" t="str">
        <f ca="1">IF( ISNA( VLOOKUP( APIF_Import!$M52 &amp; APIF_Import!$E$1,Podesavanja!$AA$3:$AD$24, 4, 0)), "", SUBSTITUTE( VALUE( VLOOKUP( APIF_Import!$C52, INDIRECT( "Lookup_" &amp; APIF_Import!$M52), VLOOKUP( APIF_Import!$M52 &amp; APIF_Import!$E$1,Podesavanja!$AA$3:$AD$24, 4, 0), 0)), ".", ","))</f>
        <v>0</v>
      </c>
      <c r="F52" s="364">
        <f ca="1">IF( ISNA( VLOOKUP( APIF_Import!$M52 &amp; APIF_Import!$F$1,Podesavanja!$AA$3:$AD$24, 4, 0)), "", VLOOKUP( APIF_Import!$C52, INDIRECT( "Lookup_" &amp; APIF_Import!$M52), VLOOKUP( APIF_Import!$M52 &amp; APIF_Import!$F$1,Podesavanja!$AA$3:$AD$24, 4, 0), 0))</f>
        <v>0</v>
      </c>
      <c r="G52" s="364">
        <f ca="1">IF( ISNA( VLOOKUP( APIF_Import!$M52 &amp; APIF_Import!$G$1,Podesavanja!$AA$3:$AD$24, 4, 0)), "", VLOOKUP( APIF_Import!$C52, INDIRECT( "Lookup_" &amp; APIF_Import!$M52), VLOOKUP( APIF_Import!$M52 &amp; APIF_Import!$G$1,Podesavanja!$AA$3:$AD$24, 4, 0), 0))</f>
        <v>0</v>
      </c>
      <c r="H52" s="364" t="str">
        <f ca="1">IF( ISNA( VLOOKUP( APIF_Import!$M52 &amp; APIF_Import!$H$1,Podesavanja!$AA$3:$AD$24, 4, 0)), "", VLOOKUP( APIF_Import!$C52, INDIRECT( "Lookup_" &amp; APIF_Import!$M52), VLOOKUP( APIF_Import!$M52 &amp; APIF_Import!$H$1,Podesavanja!$AA$3:$AD$24, 4, 0), 0))</f>
        <v/>
      </c>
      <c r="I52" s="364" t="str">
        <f ca="1">IF( ISNA( VLOOKUP( APIF_Import!$M52 &amp; APIF_Import!$I$1,Podesavanja!$AA$3:$AD$24, 4, 0)), "", VLOOKUP( APIF_Import!$C52, INDIRECT( "Lookup_" &amp; APIF_Import!$M52), VLOOKUP( APIF_Import!$M52 &amp; APIF_Import!$I$1,Podesavanja!$AA$3:$AD$24, 4, 0), 0))</f>
        <v/>
      </c>
      <c r="J52" s="364" t="str">
        <f ca="1">IF( ISNA( VLOOKUP( APIF_Import!$M52 &amp; APIF_Import!$J$1,Podesavanja!$AA$3:$AD$24, 4, 0)), "", VLOOKUP( APIF_Import!$C52, INDIRECT( "Lookup_" &amp; APIF_Import!$M52), VLOOKUP( APIF_Import!$M52 &amp; APIF_Import!$J$1,Podesavanja!$AA$3:$AD$24, 4, 0), 0))</f>
        <v/>
      </c>
      <c r="K52" s="364" t="str">
        <f ca="1">IF( ISNA( VLOOKUP( APIF_Import!$M52 &amp; APIF_Import!$K$1,Podesavanja!$AA$3:$AD$24, 4, 0)), "", VLOOKUP( APIF_Import!$C52, INDIRECT( "Lookup_" &amp; APIF_Import!$M52), VLOOKUP( APIF_Import!$M52 &amp; APIF_Import!$K$1,Podesavanja!$AA$3:$AD$24, 4, 0), 0))</f>
        <v/>
      </c>
      <c r="L52" s="8">
        <v>52</v>
      </c>
      <c r="M52" s="8" t="s">
        <v>297</v>
      </c>
    </row>
    <row r="53" spans="2:13" x14ac:dyDescent="0.2">
      <c r="B53" s="8">
        <f>VLOOKUP( APIF_Import!$M53, Podesavanja!$N$3:$Q$9, 4, 0)</f>
        <v>1</v>
      </c>
      <c r="C53" s="363">
        <f>VLOOKUP( APIF_Import!$L53, Aop!$A$2:$N$415, 4, 0)</f>
        <v>52</v>
      </c>
      <c r="D53" s="364" t="str">
        <f ca="1">IF( ISNA( VLOOKUP( APIF_Import!$M53 &amp; APIF_Import!$D$1,Podesavanja!$AA$3:$AD$24, 4, 0)), "", SUBSTITUTE( VALUE( VLOOKUP( APIF_Import!$C53, INDIRECT( "Lookup_" &amp; APIF_Import!$M53), VLOOKUP( APIF_Import!$M53 &amp; APIF_Import!$D$1,Podesavanja!$AA$3:$AD$24, 4, 0), 0)), ".", ","))</f>
        <v>0</v>
      </c>
      <c r="E53" s="364" t="str">
        <f ca="1">IF( ISNA( VLOOKUP( APIF_Import!$M53 &amp; APIF_Import!$E$1,Podesavanja!$AA$3:$AD$24, 4, 0)), "", SUBSTITUTE( VALUE( VLOOKUP( APIF_Import!$C53, INDIRECT( "Lookup_" &amp; APIF_Import!$M53), VLOOKUP( APIF_Import!$M53 &amp; APIF_Import!$E$1,Podesavanja!$AA$3:$AD$24, 4, 0), 0)), ".", ","))</f>
        <v>0</v>
      </c>
      <c r="F53" s="364">
        <f ca="1">IF( ISNA( VLOOKUP( APIF_Import!$M53 &amp; APIF_Import!$F$1,Podesavanja!$AA$3:$AD$24, 4, 0)), "", VLOOKUP( APIF_Import!$C53, INDIRECT( "Lookup_" &amp; APIF_Import!$M53), VLOOKUP( APIF_Import!$M53 &amp; APIF_Import!$F$1,Podesavanja!$AA$3:$AD$24, 4, 0), 0))</f>
        <v>0</v>
      </c>
      <c r="G53" s="364">
        <f ca="1">IF( ISNA( VLOOKUP( APIF_Import!$M53 &amp; APIF_Import!$G$1,Podesavanja!$AA$3:$AD$24, 4, 0)), "", VLOOKUP( APIF_Import!$C53, INDIRECT( "Lookup_" &amp; APIF_Import!$M53), VLOOKUP( APIF_Import!$M53 &amp; APIF_Import!$G$1,Podesavanja!$AA$3:$AD$24, 4, 0), 0))</f>
        <v>0</v>
      </c>
      <c r="H53" s="364" t="str">
        <f ca="1">IF( ISNA( VLOOKUP( APIF_Import!$M53 &amp; APIF_Import!$H$1,Podesavanja!$AA$3:$AD$24, 4, 0)), "", VLOOKUP( APIF_Import!$C53, INDIRECT( "Lookup_" &amp; APIF_Import!$M53), VLOOKUP( APIF_Import!$M53 &amp; APIF_Import!$H$1,Podesavanja!$AA$3:$AD$24, 4, 0), 0))</f>
        <v/>
      </c>
      <c r="I53" s="364" t="str">
        <f ca="1">IF( ISNA( VLOOKUP( APIF_Import!$M53 &amp; APIF_Import!$I$1,Podesavanja!$AA$3:$AD$24, 4, 0)), "", VLOOKUP( APIF_Import!$C53, INDIRECT( "Lookup_" &amp; APIF_Import!$M53), VLOOKUP( APIF_Import!$M53 &amp; APIF_Import!$I$1,Podesavanja!$AA$3:$AD$24, 4, 0), 0))</f>
        <v/>
      </c>
      <c r="J53" s="364" t="str">
        <f ca="1">IF( ISNA( VLOOKUP( APIF_Import!$M53 &amp; APIF_Import!$J$1,Podesavanja!$AA$3:$AD$24, 4, 0)), "", VLOOKUP( APIF_Import!$C53, INDIRECT( "Lookup_" &amp; APIF_Import!$M53), VLOOKUP( APIF_Import!$M53 &amp; APIF_Import!$J$1,Podesavanja!$AA$3:$AD$24, 4, 0), 0))</f>
        <v/>
      </c>
      <c r="K53" s="364" t="str">
        <f ca="1">IF( ISNA( VLOOKUP( APIF_Import!$M53 &amp; APIF_Import!$K$1,Podesavanja!$AA$3:$AD$24, 4, 0)), "", VLOOKUP( APIF_Import!$C53, INDIRECT( "Lookup_" &amp; APIF_Import!$M53), VLOOKUP( APIF_Import!$M53 &amp; APIF_Import!$K$1,Podesavanja!$AA$3:$AD$24, 4, 0), 0))</f>
        <v/>
      </c>
      <c r="L53" s="8">
        <v>53</v>
      </c>
      <c r="M53" s="8" t="s">
        <v>297</v>
      </c>
    </row>
    <row r="54" spans="2:13" x14ac:dyDescent="0.2">
      <c r="B54" s="8">
        <f>VLOOKUP( APIF_Import!$M54, Podesavanja!$N$3:$Q$9, 4, 0)</f>
        <v>1</v>
      </c>
      <c r="C54" s="363">
        <f>VLOOKUP( APIF_Import!$L54, Aop!$A$2:$N$415, 4, 0)</f>
        <v>53</v>
      </c>
      <c r="D54" s="364" t="str">
        <f ca="1">IF( ISNA( VLOOKUP( APIF_Import!$M54 &amp; APIF_Import!$D$1,Podesavanja!$AA$3:$AD$24, 4, 0)), "", SUBSTITUTE( VALUE( VLOOKUP( APIF_Import!$C54, INDIRECT( "Lookup_" &amp; APIF_Import!$M54), VLOOKUP( APIF_Import!$M54 &amp; APIF_Import!$D$1,Podesavanja!$AA$3:$AD$24, 4, 0), 0)), ".", ","))</f>
        <v>0</v>
      </c>
      <c r="E54" s="364" t="str">
        <f ca="1">IF( ISNA( VLOOKUP( APIF_Import!$M54 &amp; APIF_Import!$E$1,Podesavanja!$AA$3:$AD$24, 4, 0)), "", SUBSTITUTE( VALUE( VLOOKUP( APIF_Import!$C54, INDIRECT( "Lookup_" &amp; APIF_Import!$M54), VLOOKUP( APIF_Import!$M54 &amp; APIF_Import!$E$1,Podesavanja!$AA$3:$AD$24, 4, 0), 0)), ".", ","))</f>
        <v>0</v>
      </c>
      <c r="F54" s="364">
        <f ca="1">IF( ISNA( VLOOKUP( APIF_Import!$M54 &amp; APIF_Import!$F$1,Podesavanja!$AA$3:$AD$24, 4, 0)), "", VLOOKUP( APIF_Import!$C54, INDIRECT( "Lookup_" &amp; APIF_Import!$M54), VLOOKUP( APIF_Import!$M54 &amp; APIF_Import!$F$1,Podesavanja!$AA$3:$AD$24, 4, 0), 0))</f>
        <v>0</v>
      </c>
      <c r="G54" s="364">
        <f ca="1">IF( ISNA( VLOOKUP( APIF_Import!$M54 &amp; APIF_Import!$G$1,Podesavanja!$AA$3:$AD$24, 4, 0)), "", VLOOKUP( APIF_Import!$C54, INDIRECT( "Lookup_" &amp; APIF_Import!$M54), VLOOKUP( APIF_Import!$M54 &amp; APIF_Import!$G$1,Podesavanja!$AA$3:$AD$24, 4, 0), 0))</f>
        <v>0</v>
      </c>
      <c r="H54" s="364" t="str">
        <f ca="1">IF( ISNA( VLOOKUP( APIF_Import!$M54 &amp; APIF_Import!$H$1,Podesavanja!$AA$3:$AD$24, 4, 0)), "", VLOOKUP( APIF_Import!$C54, INDIRECT( "Lookup_" &amp; APIF_Import!$M54), VLOOKUP( APIF_Import!$M54 &amp; APIF_Import!$H$1,Podesavanja!$AA$3:$AD$24, 4, 0), 0))</f>
        <v/>
      </c>
      <c r="I54" s="364" t="str">
        <f ca="1">IF( ISNA( VLOOKUP( APIF_Import!$M54 &amp; APIF_Import!$I$1,Podesavanja!$AA$3:$AD$24, 4, 0)), "", VLOOKUP( APIF_Import!$C54, INDIRECT( "Lookup_" &amp; APIF_Import!$M54), VLOOKUP( APIF_Import!$M54 &amp; APIF_Import!$I$1,Podesavanja!$AA$3:$AD$24, 4, 0), 0))</f>
        <v/>
      </c>
      <c r="J54" s="364" t="str">
        <f ca="1">IF( ISNA( VLOOKUP( APIF_Import!$M54 &amp; APIF_Import!$J$1,Podesavanja!$AA$3:$AD$24, 4, 0)), "", VLOOKUP( APIF_Import!$C54, INDIRECT( "Lookup_" &amp; APIF_Import!$M54), VLOOKUP( APIF_Import!$M54 &amp; APIF_Import!$J$1,Podesavanja!$AA$3:$AD$24, 4, 0), 0))</f>
        <v/>
      </c>
      <c r="K54" s="364" t="str">
        <f ca="1">IF( ISNA( VLOOKUP( APIF_Import!$M54 &amp; APIF_Import!$K$1,Podesavanja!$AA$3:$AD$24, 4, 0)), "", VLOOKUP( APIF_Import!$C54, INDIRECT( "Lookup_" &amp; APIF_Import!$M54), VLOOKUP( APIF_Import!$M54 &amp; APIF_Import!$K$1,Podesavanja!$AA$3:$AD$24, 4, 0), 0))</f>
        <v/>
      </c>
      <c r="L54" s="8">
        <v>54</v>
      </c>
      <c r="M54" s="8" t="s">
        <v>297</v>
      </c>
    </row>
    <row r="55" spans="2:13" x14ac:dyDescent="0.2">
      <c r="B55" s="8">
        <f>VLOOKUP( APIF_Import!$M55, Podesavanja!$N$3:$Q$9, 4, 0)</f>
        <v>1</v>
      </c>
      <c r="C55" s="363">
        <f>VLOOKUP( APIF_Import!$L55, Aop!$A$2:$N$415, 4, 0)</f>
        <v>54</v>
      </c>
      <c r="D55" s="364" t="str">
        <f ca="1">IF( ISNA( VLOOKUP( APIF_Import!$M55 &amp; APIF_Import!$D$1,Podesavanja!$AA$3:$AD$24, 4, 0)), "", SUBSTITUTE( VALUE( VLOOKUP( APIF_Import!$C55, INDIRECT( "Lookup_" &amp; APIF_Import!$M55), VLOOKUP( APIF_Import!$M55 &amp; APIF_Import!$D$1,Podesavanja!$AA$3:$AD$24, 4, 0), 0)), ".", ","))</f>
        <v>0</v>
      </c>
      <c r="E55" s="364" t="str">
        <f ca="1">IF( ISNA( VLOOKUP( APIF_Import!$M55 &amp; APIF_Import!$E$1,Podesavanja!$AA$3:$AD$24, 4, 0)), "", SUBSTITUTE( VALUE( VLOOKUP( APIF_Import!$C55, INDIRECT( "Lookup_" &amp; APIF_Import!$M55), VLOOKUP( APIF_Import!$M55 &amp; APIF_Import!$E$1,Podesavanja!$AA$3:$AD$24, 4, 0), 0)), ".", ","))</f>
        <v>0</v>
      </c>
      <c r="F55" s="364">
        <f ca="1">IF( ISNA( VLOOKUP( APIF_Import!$M55 &amp; APIF_Import!$F$1,Podesavanja!$AA$3:$AD$24, 4, 0)), "", VLOOKUP( APIF_Import!$C55, INDIRECT( "Lookup_" &amp; APIF_Import!$M55), VLOOKUP( APIF_Import!$M55 &amp; APIF_Import!$F$1,Podesavanja!$AA$3:$AD$24, 4, 0), 0))</f>
        <v>0</v>
      </c>
      <c r="G55" s="364">
        <f ca="1">IF( ISNA( VLOOKUP( APIF_Import!$M55 &amp; APIF_Import!$G$1,Podesavanja!$AA$3:$AD$24, 4, 0)), "", VLOOKUP( APIF_Import!$C55, INDIRECT( "Lookup_" &amp; APIF_Import!$M55), VLOOKUP( APIF_Import!$M55 &amp; APIF_Import!$G$1,Podesavanja!$AA$3:$AD$24, 4, 0), 0))</f>
        <v>0</v>
      </c>
      <c r="H55" s="364" t="str">
        <f ca="1">IF( ISNA( VLOOKUP( APIF_Import!$M55 &amp; APIF_Import!$H$1,Podesavanja!$AA$3:$AD$24, 4, 0)), "", VLOOKUP( APIF_Import!$C55, INDIRECT( "Lookup_" &amp; APIF_Import!$M55), VLOOKUP( APIF_Import!$M55 &amp; APIF_Import!$H$1,Podesavanja!$AA$3:$AD$24, 4, 0), 0))</f>
        <v/>
      </c>
      <c r="I55" s="364" t="str">
        <f ca="1">IF( ISNA( VLOOKUP( APIF_Import!$M55 &amp; APIF_Import!$I$1,Podesavanja!$AA$3:$AD$24, 4, 0)), "", VLOOKUP( APIF_Import!$C55, INDIRECT( "Lookup_" &amp; APIF_Import!$M55), VLOOKUP( APIF_Import!$M55 &amp; APIF_Import!$I$1,Podesavanja!$AA$3:$AD$24, 4, 0), 0))</f>
        <v/>
      </c>
      <c r="J55" s="364" t="str">
        <f ca="1">IF( ISNA( VLOOKUP( APIF_Import!$M55 &amp; APIF_Import!$J$1,Podesavanja!$AA$3:$AD$24, 4, 0)), "", VLOOKUP( APIF_Import!$C55, INDIRECT( "Lookup_" &amp; APIF_Import!$M55), VLOOKUP( APIF_Import!$M55 &amp; APIF_Import!$J$1,Podesavanja!$AA$3:$AD$24, 4, 0), 0))</f>
        <v/>
      </c>
      <c r="K55" s="364" t="str">
        <f ca="1">IF( ISNA( VLOOKUP( APIF_Import!$M55 &amp; APIF_Import!$K$1,Podesavanja!$AA$3:$AD$24, 4, 0)), "", VLOOKUP( APIF_Import!$C55, INDIRECT( "Lookup_" &amp; APIF_Import!$M55), VLOOKUP( APIF_Import!$M55 &amp; APIF_Import!$K$1,Podesavanja!$AA$3:$AD$24, 4, 0), 0))</f>
        <v/>
      </c>
      <c r="L55" s="8">
        <v>55</v>
      </c>
      <c r="M55" s="8" t="s">
        <v>297</v>
      </c>
    </row>
    <row r="56" spans="2:13" x14ac:dyDescent="0.2">
      <c r="B56" s="8">
        <f>VLOOKUP( APIF_Import!$M56, Podesavanja!$N$3:$Q$9, 4, 0)</f>
        <v>1</v>
      </c>
      <c r="C56" s="363">
        <f>VLOOKUP( APIF_Import!$L56, Aop!$A$2:$N$415, 4, 0)</f>
        <v>55</v>
      </c>
      <c r="D56" s="364" t="str">
        <f ca="1">IF( ISNA( VLOOKUP( APIF_Import!$M56 &amp; APIF_Import!$D$1,Podesavanja!$AA$3:$AD$24, 4, 0)), "", SUBSTITUTE( VALUE( VLOOKUP( APIF_Import!$C56, INDIRECT( "Lookup_" &amp; APIF_Import!$M56), VLOOKUP( APIF_Import!$M56 &amp; APIF_Import!$D$1,Podesavanja!$AA$3:$AD$24, 4, 0), 0)), ".", ","))</f>
        <v>0</v>
      </c>
      <c r="E56" s="364" t="str">
        <f ca="1">IF( ISNA( VLOOKUP( APIF_Import!$M56 &amp; APIF_Import!$E$1,Podesavanja!$AA$3:$AD$24, 4, 0)), "", SUBSTITUTE( VALUE( VLOOKUP( APIF_Import!$C56, INDIRECT( "Lookup_" &amp; APIF_Import!$M56), VLOOKUP( APIF_Import!$M56 &amp; APIF_Import!$E$1,Podesavanja!$AA$3:$AD$24, 4, 0), 0)), ".", ","))</f>
        <v>0</v>
      </c>
      <c r="F56" s="364">
        <f ca="1">IF( ISNA( VLOOKUP( APIF_Import!$M56 &amp; APIF_Import!$F$1,Podesavanja!$AA$3:$AD$24, 4, 0)), "", VLOOKUP( APIF_Import!$C56, INDIRECT( "Lookup_" &amp; APIF_Import!$M56), VLOOKUP( APIF_Import!$M56 &amp; APIF_Import!$F$1,Podesavanja!$AA$3:$AD$24, 4, 0), 0))</f>
        <v>0</v>
      </c>
      <c r="G56" s="364">
        <f ca="1">IF( ISNA( VLOOKUP( APIF_Import!$M56 &amp; APIF_Import!$G$1,Podesavanja!$AA$3:$AD$24, 4, 0)), "", VLOOKUP( APIF_Import!$C56, INDIRECT( "Lookup_" &amp; APIF_Import!$M56), VLOOKUP( APIF_Import!$M56 &amp; APIF_Import!$G$1,Podesavanja!$AA$3:$AD$24, 4, 0), 0))</f>
        <v>0</v>
      </c>
      <c r="H56" s="364" t="str">
        <f ca="1">IF( ISNA( VLOOKUP( APIF_Import!$M56 &amp; APIF_Import!$H$1,Podesavanja!$AA$3:$AD$24, 4, 0)), "", VLOOKUP( APIF_Import!$C56, INDIRECT( "Lookup_" &amp; APIF_Import!$M56), VLOOKUP( APIF_Import!$M56 &amp; APIF_Import!$H$1,Podesavanja!$AA$3:$AD$24, 4, 0), 0))</f>
        <v/>
      </c>
      <c r="I56" s="364" t="str">
        <f ca="1">IF( ISNA( VLOOKUP( APIF_Import!$M56 &amp; APIF_Import!$I$1,Podesavanja!$AA$3:$AD$24, 4, 0)), "", VLOOKUP( APIF_Import!$C56, INDIRECT( "Lookup_" &amp; APIF_Import!$M56), VLOOKUP( APIF_Import!$M56 &amp; APIF_Import!$I$1,Podesavanja!$AA$3:$AD$24, 4, 0), 0))</f>
        <v/>
      </c>
      <c r="J56" s="364" t="str">
        <f ca="1">IF( ISNA( VLOOKUP( APIF_Import!$M56 &amp; APIF_Import!$J$1,Podesavanja!$AA$3:$AD$24, 4, 0)), "", VLOOKUP( APIF_Import!$C56, INDIRECT( "Lookup_" &amp; APIF_Import!$M56), VLOOKUP( APIF_Import!$M56 &amp; APIF_Import!$J$1,Podesavanja!$AA$3:$AD$24, 4, 0), 0))</f>
        <v/>
      </c>
      <c r="K56" s="364" t="str">
        <f ca="1">IF( ISNA( VLOOKUP( APIF_Import!$M56 &amp; APIF_Import!$K$1,Podesavanja!$AA$3:$AD$24, 4, 0)), "", VLOOKUP( APIF_Import!$C56, INDIRECT( "Lookup_" &amp; APIF_Import!$M56), VLOOKUP( APIF_Import!$M56 &amp; APIF_Import!$K$1,Podesavanja!$AA$3:$AD$24, 4, 0), 0))</f>
        <v/>
      </c>
      <c r="L56" s="8">
        <v>56</v>
      </c>
      <c r="M56" s="8" t="s">
        <v>297</v>
      </c>
    </row>
    <row r="57" spans="2:13" x14ac:dyDescent="0.2">
      <c r="B57" s="8">
        <f>VLOOKUP( APIF_Import!$M57, Podesavanja!$N$3:$Q$9, 4, 0)</f>
        <v>1</v>
      </c>
      <c r="C57" s="363">
        <f>VLOOKUP( APIF_Import!$L57, Aop!$A$2:$N$415, 4, 0)</f>
        <v>56</v>
      </c>
      <c r="D57" s="364" t="str">
        <f ca="1">IF( ISNA( VLOOKUP( APIF_Import!$M57 &amp; APIF_Import!$D$1,Podesavanja!$AA$3:$AD$24, 4, 0)), "", SUBSTITUTE( VALUE( VLOOKUP( APIF_Import!$C57, INDIRECT( "Lookup_" &amp; APIF_Import!$M57), VLOOKUP( APIF_Import!$M57 &amp; APIF_Import!$D$1,Podesavanja!$AA$3:$AD$24, 4, 0), 0)), ".", ","))</f>
        <v>228552</v>
      </c>
      <c r="E57" s="364" t="str">
        <f ca="1">IF( ISNA( VLOOKUP( APIF_Import!$M57 &amp; APIF_Import!$E$1,Podesavanja!$AA$3:$AD$24, 4, 0)), "", SUBSTITUTE( VALUE( VLOOKUP( APIF_Import!$C57, INDIRECT( "Lookup_" &amp; APIF_Import!$M57), VLOOKUP( APIF_Import!$M57 &amp; APIF_Import!$E$1,Podesavanja!$AA$3:$AD$24, 4, 0), 0)), ".", ","))</f>
        <v>0</v>
      </c>
      <c r="F57" s="364">
        <f ca="1">IF( ISNA( VLOOKUP( APIF_Import!$M57 &amp; APIF_Import!$F$1,Podesavanja!$AA$3:$AD$24, 4, 0)), "", VLOOKUP( APIF_Import!$C57, INDIRECT( "Lookup_" &amp; APIF_Import!$M57), VLOOKUP( APIF_Import!$M57 &amp; APIF_Import!$F$1,Podesavanja!$AA$3:$AD$24, 4, 0), 0))</f>
        <v>228552</v>
      </c>
      <c r="G57" s="364">
        <f ca="1">IF( ISNA( VLOOKUP( APIF_Import!$M57 &amp; APIF_Import!$G$1,Podesavanja!$AA$3:$AD$24, 4, 0)), "", VLOOKUP( APIF_Import!$C57, INDIRECT( "Lookup_" &amp; APIF_Import!$M57), VLOOKUP( APIF_Import!$M57 &amp; APIF_Import!$G$1,Podesavanja!$AA$3:$AD$24, 4, 0), 0))</f>
        <v>26133</v>
      </c>
      <c r="H57" s="364" t="str">
        <f ca="1">IF( ISNA( VLOOKUP( APIF_Import!$M57 &amp; APIF_Import!$H$1,Podesavanja!$AA$3:$AD$24, 4, 0)), "", VLOOKUP( APIF_Import!$C57, INDIRECT( "Lookup_" &amp; APIF_Import!$M57), VLOOKUP( APIF_Import!$M57 &amp; APIF_Import!$H$1,Podesavanja!$AA$3:$AD$24, 4, 0), 0))</f>
        <v/>
      </c>
      <c r="I57" s="364" t="str">
        <f ca="1">IF( ISNA( VLOOKUP( APIF_Import!$M57 &amp; APIF_Import!$I$1,Podesavanja!$AA$3:$AD$24, 4, 0)), "", VLOOKUP( APIF_Import!$C57, INDIRECT( "Lookup_" &amp; APIF_Import!$M57), VLOOKUP( APIF_Import!$M57 &amp; APIF_Import!$I$1,Podesavanja!$AA$3:$AD$24, 4, 0), 0))</f>
        <v/>
      </c>
      <c r="J57" s="364" t="str">
        <f ca="1">IF( ISNA( VLOOKUP( APIF_Import!$M57 &amp; APIF_Import!$J$1,Podesavanja!$AA$3:$AD$24, 4, 0)), "", VLOOKUP( APIF_Import!$C57, INDIRECT( "Lookup_" &amp; APIF_Import!$M57), VLOOKUP( APIF_Import!$M57 &amp; APIF_Import!$J$1,Podesavanja!$AA$3:$AD$24, 4, 0), 0))</f>
        <v/>
      </c>
      <c r="K57" s="364" t="str">
        <f ca="1">IF( ISNA( VLOOKUP( APIF_Import!$M57 &amp; APIF_Import!$K$1,Podesavanja!$AA$3:$AD$24, 4, 0)), "", VLOOKUP( APIF_Import!$C57, INDIRECT( "Lookup_" &amp; APIF_Import!$M57), VLOOKUP( APIF_Import!$M57 &amp; APIF_Import!$K$1,Podesavanja!$AA$3:$AD$24, 4, 0), 0))</f>
        <v/>
      </c>
      <c r="L57" s="8">
        <v>57</v>
      </c>
      <c r="M57" s="8" t="s">
        <v>297</v>
      </c>
    </row>
    <row r="58" spans="2:13" x14ac:dyDescent="0.2">
      <c r="B58" s="8">
        <f>VLOOKUP( APIF_Import!$M58, Podesavanja!$N$3:$Q$9, 4, 0)</f>
        <v>1</v>
      </c>
      <c r="C58" s="363">
        <f>VLOOKUP( APIF_Import!$L58, Aop!$A$2:$N$415, 4, 0)</f>
        <v>57</v>
      </c>
      <c r="D58" s="364" t="str">
        <f ca="1">IF( ISNA( VLOOKUP( APIF_Import!$M58 &amp; APIF_Import!$D$1,Podesavanja!$AA$3:$AD$24, 4, 0)), "", SUBSTITUTE( VALUE( VLOOKUP( APIF_Import!$C58, INDIRECT( "Lookup_" &amp; APIF_Import!$M58), VLOOKUP( APIF_Import!$M58 &amp; APIF_Import!$D$1,Podesavanja!$AA$3:$AD$24, 4, 0), 0)), ".", ","))</f>
        <v>0</v>
      </c>
      <c r="E58" s="364" t="str">
        <f ca="1">IF( ISNA( VLOOKUP( APIF_Import!$M58 &amp; APIF_Import!$E$1,Podesavanja!$AA$3:$AD$24, 4, 0)), "", SUBSTITUTE( VALUE( VLOOKUP( APIF_Import!$C58, INDIRECT( "Lookup_" &amp; APIF_Import!$M58), VLOOKUP( APIF_Import!$M58 &amp; APIF_Import!$E$1,Podesavanja!$AA$3:$AD$24, 4, 0), 0)), ".", ","))</f>
        <v>0</v>
      </c>
      <c r="F58" s="364">
        <f ca="1">IF( ISNA( VLOOKUP( APIF_Import!$M58 &amp; APIF_Import!$F$1,Podesavanja!$AA$3:$AD$24, 4, 0)), "", VLOOKUP( APIF_Import!$C58, INDIRECT( "Lookup_" &amp; APIF_Import!$M58), VLOOKUP( APIF_Import!$M58 &amp; APIF_Import!$F$1,Podesavanja!$AA$3:$AD$24, 4, 0), 0))</f>
        <v>0</v>
      </c>
      <c r="G58" s="364">
        <f ca="1">IF( ISNA( VLOOKUP( APIF_Import!$M58 &amp; APIF_Import!$G$1,Podesavanja!$AA$3:$AD$24, 4, 0)), "", VLOOKUP( APIF_Import!$C58, INDIRECT( "Lookup_" &amp; APIF_Import!$M58), VLOOKUP( APIF_Import!$M58 &amp; APIF_Import!$G$1,Podesavanja!$AA$3:$AD$24, 4, 0), 0))</f>
        <v>0</v>
      </c>
      <c r="H58" s="364" t="str">
        <f ca="1">IF( ISNA( VLOOKUP( APIF_Import!$M58 &amp; APIF_Import!$H$1,Podesavanja!$AA$3:$AD$24, 4, 0)), "", VLOOKUP( APIF_Import!$C58, INDIRECT( "Lookup_" &amp; APIF_Import!$M58), VLOOKUP( APIF_Import!$M58 &amp; APIF_Import!$H$1,Podesavanja!$AA$3:$AD$24, 4, 0), 0))</f>
        <v/>
      </c>
      <c r="I58" s="364" t="str">
        <f ca="1">IF( ISNA( VLOOKUP( APIF_Import!$M58 &amp; APIF_Import!$I$1,Podesavanja!$AA$3:$AD$24, 4, 0)), "", VLOOKUP( APIF_Import!$C58, INDIRECT( "Lookup_" &amp; APIF_Import!$M58), VLOOKUP( APIF_Import!$M58 &amp; APIF_Import!$I$1,Podesavanja!$AA$3:$AD$24, 4, 0), 0))</f>
        <v/>
      </c>
      <c r="J58" s="364" t="str">
        <f ca="1">IF( ISNA( VLOOKUP( APIF_Import!$M58 &amp; APIF_Import!$J$1,Podesavanja!$AA$3:$AD$24, 4, 0)), "", VLOOKUP( APIF_Import!$C58, INDIRECT( "Lookup_" &amp; APIF_Import!$M58), VLOOKUP( APIF_Import!$M58 &amp; APIF_Import!$J$1,Podesavanja!$AA$3:$AD$24, 4, 0), 0))</f>
        <v/>
      </c>
      <c r="K58" s="364" t="str">
        <f ca="1">IF( ISNA( VLOOKUP( APIF_Import!$M58 &amp; APIF_Import!$K$1,Podesavanja!$AA$3:$AD$24, 4, 0)), "", VLOOKUP( APIF_Import!$C58, INDIRECT( "Lookup_" &amp; APIF_Import!$M58), VLOOKUP( APIF_Import!$M58 &amp; APIF_Import!$K$1,Podesavanja!$AA$3:$AD$24, 4, 0), 0))</f>
        <v/>
      </c>
      <c r="L58" s="8">
        <v>58</v>
      </c>
      <c r="M58" s="8" t="s">
        <v>297</v>
      </c>
    </row>
    <row r="59" spans="2:13" x14ac:dyDescent="0.2">
      <c r="B59" s="8">
        <f>VLOOKUP( APIF_Import!$M59, Podesavanja!$N$3:$Q$9, 4, 0)</f>
        <v>1</v>
      </c>
      <c r="C59" s="363">
        <f>VLOOKUP( APIF_Import!$L59, Aop!$A$2:$N$415, 4, 0)</f>
        <v>58</v>
      </c>
      <c r="D59" s="364" t="str">
        <f ca="1">IF( ISNA( VLOOKUP( APIF_Import!$M59 &amp; APIF_Import!$D$1,Podesavanja!$AA$3:$AD$24, 4, 0)), "", SUBSTITUTE( VALUE( VLOOKUP( APIF_Import!$C59, INDIRECT( "Lookup_" &amp; APIF_Import!$M59), VLOOKUP( APIF_Import!$M59 &amp; APIF_Import!$D$1,Podesavanja!$AA$3:$AD$24, 4, 0), 0)), ".", ","))</f>
        <v>228552</v>
      </c>
      <c r="E59" s="364" t="str">
        <f ca="1">IF( ISNA( VLOOKUP( APIF_Import!$M59 &amp; APIF_Import!$E$1,Podesavanja!$AA$3:$AD$24, 4, 0)), "", SUBSTITUTE( VALUE( VLOOKUP( APIF_Import!$C59, INDIRECT( "Lookup_" &amp; APIF_Import!$M59), VLOOKUP( APIF_Import!$M59 &amp; APIF_Import!$E$1,Podesavanja!$AA$3:$AD$24, 4, 0), 0)), ".", ","))</f>
        <v>0</v>
      </c>
      <c r="F59" s="364">
        <f ca="1">IF( ISNA( VLOOKUP( APIF_Import!$M59 &amp; APIF_Import!$F$1,Podesavanja!$AA$3:$AD$24, 4, 0)), "", VLOOKUP( APIF_Import!$C59, INDIRECT( "Lookup_" &amp; APIF_Import!$M59), VLOOKUP( APIF_Import!$M59 &amp; APIF_Import!$F$1,Podesavanja!$AA$3:$AD$24, 4, 0), 0))</f>
        <v>228552</v>
      </c>
      <c r="G59" s="364">
        <f ca="1">IF( ISNA( VLOOKUP( APIF_Import!$M59 &amp; APIF_Import!$G$1,Podesavanja!$AA$3:$AD$24, 4, 0)), "", VLOOKUP( APIF_Import!$C59, INDIRECT( "Lookup_" &amp; APIF_Import!$M59), VLOOKUP( APIF_Import!$M59 &amp; APIF_Import!$G$1,Podesavanja!$AA$3:$AD$24, 4, 0), 0))</f>
        <v>26133</v>
      </c>
      <c r="H59" s="364" t="str">
        <f ca="1">IF( ISNA( VLOOKUP( APIF_Import!$M59 &amp; APIF_Import!$H$1,Podesavanja!$AA$3:$AD$24, 4, 0)), "", VLOOKUP( APIF_Import!$C59, INDIRECT( "Lookup_" &amp; APIF_Import!$M59), VLOOKUP( APIF_Import!$M59 &amp; APIF_Import!$H$1,Podesavanja!$AA$3:$AD$24, 4, 0), 0))</f>
        <v/>
      </c>
      <c r="I59" s="364" t="str">
        <f ca="1">IF( ISNA( VLOOKUP( APIF_Import!$M59 &amp; APIF_Import!$I$1,Podesavanja!$AA$3:$AD$24, 4, 0)), "", VLOOKUP( APIF_Import!$C59, INDIRECT( "Lookup_" &amp; APIF_Import!$M59), VLOOKUP( APIF_Import!$M59 &amp; APIF_Import!$I$1,Podesavanja!$AA$3:$AD$24, 4, 0), 0))</f>
        <v/>
      </c>
      <c r="J59" s="364" t="str">
        <f ca="1">IF( ISNA( VLOOKUP( APIF_Import!$M59 &amp; APIF_Import!$J$1,Podesavanja!$AA$3:$AD$24, 4, 0)), "", VLOOKUP( APIF_Import!$C59, INDIRECT( "Lookup_" &amp; APIF_Import!$M59), VLOOKUP( APIF_Import!$M59 &amp; APIF_Import!$J$1,Podesavanja!$AA$3:$AD$24, 4, 0), 0))</f>
        <v/>
      </c>
      <c r="K59" s="364" t="str">
        <f ca="1">IF( ISNA( VLOOKUP( APIF_Import!$M59 &amp; APIF_Import!$K$1,Podesavanja!$AA$3:$AD$24, 4, 0)), "", VLOOKUP( APIF_Import!$C59, INDIRECT( "Lookup_" &amp; APIF_Import!$M59), VLOOKUP( APIF_Import!$M59 &amp; APIF_Import!$K$1,Podesavanja!$AA$3:$AD$24, 4, 0), 0))</f>
        <v/>
      </c>
      <c r="L59" s="8">
        <v>59</v>
      </c>
      <c r="M59" s="8" t="s">
        <v>297</v>
      </c>
    </row>
    <row r="60" spans="2:13" x14ac:dyDescent="0.2">
      <c r="B60" s="8">
        <f>VLOOKUP( APIF_Import!$M60, Podesavanja!$N$3:$Q$9, 4, 0)</f>
        <v>1</v>
      </c>
      <c r="C60" s="363">
        <f>VLOOKUP( APIF_Import!$L60, Aop!$A$2:$N$415, 4, 0)</f>
        <v>59</v>
      </c>
      <c r="D60" s="364" t="str">
        <f ca="1">IF( ISNA( VLOOKUP( APIF_Import!$M60 &amp; APIF_Import!$D$1,Podesavanja!$AA$3:$AD$24, 4, 0)), "", SUBSTITUTE( VALUE( VLOOKUP( APIF_Import!$C60, INDIRECT( "Lookup_" &amp; APIF_Import!$M60), VLOOKUP( APIF_Import!$M60 &amp; APIF_Import!$D$1,Podesavanja!$AA$3:$AD$24, 4, 0), 0)), ".", ","))</f>
        <v>281</v>
      </c>
      <c r="E60" s="364" t="str">
        <f ca="1">IF( ISNA( VLOOKUP( APIF_Import!$M60 &amp; APIF_Import!$E$1,Podesavanja!$AA$3:$AD$24, 4, 0)), "", SUBSTITUTE( VALUE( VLOOKUP( APIF_Import!$C60, INDIRECT( "Lookup_" &amp; APIF_Import!$M60), VLOOKUP( APIF_Import!$M60 &amp; APIF_Import!$E$1,Podesavanja!$AA$3:$AD$24, 4, 0), 0)), ".", ","))</f>
        <v>0</v>
      </c>
      <c r="F60" s="364">
        <f ca="1">IF( ISNA( VLOOKUP( APIF_Import!$M60 &amp; APIF_Import!$F$1,Podesavanja!$AA$3:$AD$24, 4, 0)), "", VLOOKUP( APIF_Import!$C60, INDIRECT( "Lookup_" &amp; APIF_Import!$M60), VLOOKUP( APIF_Import!$M60 &amp; APIF_Import!$F$1,Podesavanja!$AA$3:$AD$24, 4, 0), 0))</f>
        <v>281</v>
      </c>
      <c r="G60" s="364">
        <f ca="1">IF( ISNA( VLOOKUP( APIF_Import!$M60 &amp; APIF_Import!$G$1,Podesavanja!$AA$3:$AD$24, 4, 0)), "", VLOOKUP( APIF_Import!$C60, INDIRECT( "Lookup_" &amp; APIF_Import!$M60), VLOOKUP( APIF_Import!$M60 &amp; APIF_Import!$G$1,Podesavanja!$AA$3:$AD$24, 4, 0), 0))</f>
        <v>153</v>
      </c>
      <c r="H60" s="364" t="str">
        <f ca="1">IF( ISNA( VLOOKUP( APIF_Import!$M60 &amp; APIF_Import!$H$1,Podesavanja!$AA$3:$AD$24, 4, 0)), "", VLOOKUP( APIF_Import!$C60, INDIRECT( "Lookup_" &amp; APIF_Import!$M60), VLOOKUP( APIF_Import!$M60 &amp; APIF_Import!$H$1,Podesavanja!$AA$3:$AD$24, 4, 0), 0))</f>
        <v/>
      </c>
      <c r="I60" s="364" t="str">
        <f ca="1">IF( ISNA( VLOOKUP( APIF_Import!$M60 &amp; APIF_Import!$I$1,Podesavanja!$AA$3:$AD$24, 4, 0)), "", VLOOKUP( APIF_Import!$C60, INDIRECT( "Lookup_" &amp; APIF_Import!$M60), VLOOKUP( APIF_Import!$M60 &amp; APIF_Import!$I$1,Podesavanja!$AA$3:$AD$24, 4, 0), 0))</f>
        <v/>
      </c>
      <c r="J60" s="364" t="str">
        <f ca="1">IF( ISNA( VLOOKUP( APIF_Import!$M60 &amp; APIF_Import!$J$1,Podesavanja!$AA$3:$AD$24, 4, 0)), "", VLOOKUP( APIF_Import!$C60, INDIRECT( "Lookup_" &amp; APIF_Import!$M60), VLOOKUP( APIF_Import!$M60 &amp; APIF_Import!$J$1,Podesavanja!$AA$3:$AD$24, 4, 0), 0))</f>
        <v/>
      </c>
      <c r="K60" s="364" t="str">
        <f ca="1">IF( ISNA( VLOOKUP( APIF_Import!$M60 &amp; APIF_Import!$K$1,Podesavanja!$AA$3:$AD$24, 4, 0)), "", VLOOKUP( APIF_Import!$C60, INDIRECT( "Lookup_" &amp; APIF_Import!$M60), VLOOKUP( APIF_Import!$M60 &amp; APIF_Import!$K$1,Podesavanja!$AA$3:$AD$24, 4, 0), 0))</f>
        <v/>
      </c>
      <c r="L60" s="8">
        <v>60</v>
      </c>
      <c r="M60" s="8" t="s">
        <v>297</v>
      </c>
    </row>
    <row r="61" spans="2:13" x14ac:dyDescent="0.2">
      <c r="B61" s="8">
        <f>VLOOKUP( APIF_Import!$M61, Podesavanja!$N$3:$Q$9, 4, 0)</f>
        <v>1</v>
      </c>
      <c r="C61" s="363">
        <f>VLOOKUP( APIF_Import!$L61, Aop!$A$2:$N$415, 4, 0)</f>
        <v>60</v>
      </c>
      <c r="D61" s="364" t="str">
        <f ca="1">IF( ISNA( VLOOKUP( APIF_Import!$M61 &amp; APIF_Import!$D$1,Podesavanja!$AA$3:$AD$24, 4, 0)), "", SUBSTITUTE( VALUE( VLOOKUP( APIF_Import!$C61, INDIRECT( "Lookup_" &amp; APIF_Import!$M61), VLOOKUP( APIF_Import!$M61 &amp; APIF_Import!$D$1,Podesavanja!$AA$3:$AD$24, 4, 0), 0)), ".", ","))</f>
        <v>6817</v>
      </c>
      <c r="E61" s="364" t="str">
        <f ca="1">IF( ISNA( VLOOKUP( APIF_Import!$M61 &amp; APIF_Import!$E$1,Podesavanja!$AA$3:$AD$24, 4, 0)), "", SUBSTITUTE( VALUE( VLOOKUP( APIF_Import!$C61, INDIRECT( "Lookup_" &amp; APIF_Import!$M61), VLOOKUP( APIF_Import!$M61 &amp; APIF_Import!$E$1,Podesavanja!$AA$3:$AD$24, 4, 0), 0)), ".", ","))</f>
        <v>0</v>
      </c>
      <c r="F61" s="364">
        <f ca="1">IF( ISNA( VLOOKUP( APIF_Import!$M61 &amp; APIF_Import!$F$1,Podesavanja!$AA$3:$AD$24, 4, 0)), "", VLOOKUP( APIF_Import!$C61, INDIRECT( "Lookup_" &amp; APIF_Import!$M61), VLOOKUP( APIF_Import!$M61 &amp; APIF_Import!$F$1,Podesavanja!$AA$3:$AD$24, 4, 0), 0))</f>
        <v>6817</v>
      </c>
      <c r="G61" s="364">
        <f ca="1">IF( ISNA( VLOOKUP( APIF_Import!$M61 &amp; APIF_Import!$G$1,Podesavanja!$AA$3:$AD$24, 4, 0)), "", VLOOKUP( APIF_Import!$C61, INDIRECT( "Lookup_" &amp; APIF_Import!$M61), VLOOKUP( APIF_Import!$M61 &amp; APIF_Import!$G$1,Podesavanja!$AA$3:$AD$24, 4, 0), 0))</f>
        <v>17563</v>
      </c>
      <c r="H61" s="364" t="str">
        <f ca="1">IF( ISNA( VLOOKUP( APIF_Import!$M61 &amp; APIF_Import!$H$1,Podesavanja!$AA$3:$AD$24, 4, 0)), "", VLOOKUP( APIF_Import!$C61, INDIRECT( "Lookup_" &amp; APIF_Import!$M61), VLOOKUP( APIF_Import!$M61 &amp; APIF_Import!$H$1,Podesavanja!$AA$3:$AD$24, 4, 0), 0))</f>
        <v/>
      </c>
      <c r="I61" s="364" t="str">
        <f ca="1">IF( ISNA( VLOOKUP( APIF_Import!$M61 &amp; APIF_Import!$I$1,Podesavanja!$AA$3:$AD$24, 4, 0)), "", VLOOKUP( APIF_Import!$C61, INDIRECT( "Lookup_" &amp; APIF_Import!$M61), VLOOKUP( APIF_Import!$M61 &amp; APIF_Import!$I$1,Podesavanja!$AA$3:$AD$24, 4, 0), 0))</f>
        <v/>
      </c>
      <c r="J61" s="364" t="str">
        <f ca="1">IF( ISNA( VLOOKUP( APIF_Import!$M61 &amp; APIF_Import!$J$1,Podesavanja!$AA$3:$AD$24, 4, 0)), "", VLOOKUP( APIF_Import!$C61, INDIRECT( "Lookup_" &amp; APIF_Import!$M61), VLOOKUP( APIF_Import!$M61 &amp; APIF_Import!$J$1,Podesavanja!$AA$3:$AD$24, 4, 0), 0))</f>
        <v/>
      </c>
      <c r="K61" s="364" t="str">
        <f ca="1">IF( ISNA( VLOOKUP( APIF_Import!$M61 &amp; APIF_Import!$K$1,Podesavanja!$AA$3:$AD$24, 4, 0)), "", VLOOKUP( APIF_Import!$C61, INDIRECT( "Lookup_" &amp; APIF_Import!$M61), VLOOKUP( APIF_Import!$M61 &amp; APIF_Import!$K$1,Podesavanja!$AA$3:$AD$24, 4, 0), 0))</f>
        <v/>
      </c>
      <c r="L61" s="8">
        <v>61</v>
      </c>
      <c r="M61" s="8" t="s">
        <v>297</v>
      </c>
    </row>
    <row r="62" spans="2:13" x14ac:dyDescent="0.2">
      <c r="B62" s="8">
        <f>VLOOKUP( APIF_Import!$M62, Podesavanja!$N$3:$Q$9, 4, 0)</f>
        <v>1</v>
      </c>
      <c r="C62" s="363">
        <f>VLOOKUP( APIF_Import!$L62, Aop!$A$2:$N$415, 4, 0)</f>
        <v>61</v>
      </c>
      <c r="D62" s="364" t="str">
        <f ca="1">IF( ISNA( VLOOKUP( APIF_Import!$M62 &amp; APIF_Import!$D$1,Podesavanja!$AA$3:$AD$24, 4, 0)), "", SUBSTITUTE( VALUE( VLOOKUP( APIF_Import!$C62, INDIRECT( "Lookup_" &amp; APIF_Import!$M62), VLOOKUP( APIF_Import!$M62 &amp; APIF_Import!$D$1,Podesavanja!$AA$3:$AD$24, 4, 0), 0)), ".", ","))</f>
        <v>0</v>
      </c>
      <c r="E62" s="364" t="str">
        <f ca="1">IF( ISNA( VLOOKUP( APIF_Import!$M62 &amp; APIF_Import!$E$1,Podesavanja!$AA$3:$AD$24, 4, 0)), "", SUBSTITUTE( VALUE( VLOOKUP( APIF_Import!$C62, INDIRECT( "Lookup_" &amp; APIF_Import!$M62), VLOOKUP( APIF_Import!$M62 &amp; APIF_Import!$E$1,Podesavanja!$AA$3:$AD$24, 4, 0), 0)), ".", ","))</f>
        <v>0</v>
      </c>
      <c r="F62" s="364">
        <f ca="1">IF( ISNA( VLOOKUP( APIF_Import!$M62 &amp; APIF_Import!$F$1,Podesavanja!$AA$3:$AD$24, 4, 0)), "", VLOOKUP( APIF_Import!$C62, INDIRECT( "Lookup_" &amp; APIF_Import!$M62), VLOOKUP( APIF_Import!$M62 &amp; APIF_Import!$F$1,Podesavanja!$AA$3:$AD$24, 4, 0), 0))</f>
        <v>0</v>
      </c>
      <c r="G62" s="364">
        <f ca="1">IF( ISNA( VLOOKUP( APIF_Import!$M62 &amp; APIF_Import!$G$1,Podesavanja!$AA$3:$AD$24, 4, 0)), "", VLOOKUP( APIF_Import!$C62, INDIRECT( "Lookup_" &amp; APIF_Import!$M62), VLOOKUP( APIF_Import!$M62 &amp; APIF_Import!$G$1,Podesavanja!$AA$3:$AD$24, 4, 0), 0))</f>
        <v>0</v>
      </c>
      <c r="H62" s="364" t="str">
        <f ca="1">IF( ISNA( VLOOKUP( APIF_Import!$M62 &amp; APIF_Import!$H$1,Podesavanja!$AA$3:$AD$24, 4, 0)), "", VLOOKUP( APIF_Import!$C62, INDIRECT( "Lookup_" &amp; APIF_Import!$M62), VLOOKUP( APIF_Import!$M62 &amp; APIF_Import!$H$1,Podesavanja!$AA$3:$AD$24, 4, 0), 0))</f>
        <v/>
      </c>
      <c r="I62" s="364" t="str">
        <f ca="1">IF( ISNA( VLOOKUP( APIF_Import!$M62 &amp; APIF_Import!$I$1,Podesavanja!$AA$3:$AD$24, 4, 0)), "", VLOOKUP( APIF_Import!$C62, INDIRECT( "Lookup_" &amp; APIF_Import!$M62), VLOOKUP( APIF_Import!$M62 &amp; APIF_Import!$I$1,Podesavanja!$AA$3:$AD$24, 4, 0), 0))</f>
        <v/>
      </c>
      <c r="J62" s="364" t="str">
        <f ca="1">IF( ISNA( VLOOKUP( APIF_Import!$M62 &amp; APIF_Import!$J$1,Podesavanja!$AA$3:$AD$24, 4, 0)), "", VLOOKUP( APIF_Import!$C62, INDIRECT( "Lookup_" &amp; APIF_Import!$M62), VLOOKUP( APIF_Import!$M62 &amp; APIF_Import!$J$1,Podesavanja!$AA$3:$AD$24, 4, 0), 0))</f>
        <v/>
      </c>
      <c r="K62" s="364" t="str">
        <f ca="1">IF( ISNA( VLOOKUP( APIF_Import!$M62 &amp; APIF_Import!$K$1,Podesavanja!$AA$3:$AD$24, 4, 0)), "", VLOOKUP( APIF_Import!$C62, INDIRECT( "Lookup_" &amp; APIF_Import!$M62), VLOOKUP( APIF_Import!$M62 &amp; APIF_Import!$K$1,Podesavanja!$AA$3:$AD$24, 4, 0), 0))</f>
        <v/>
      </c>
      <c r="L62" s="8">
        <v>62</v>
      </c>
      <c r="M62" s="8" t="s">
        <v>297</v>
      </c>
    </row>
    <row r="63" spans="2:13" x14ac:dyDescent="0.2">
      <c r="B63" s="8">
        <f>VLOOKUP( APIF_Import!$M63, Podesavanja!$N$3:$Q$9, 4, 0)</f>
        <v>1</v>
      </c>
      <c r="C63" s="363">
        <f>VLOOKUP( APIF_Import!$L63, Aop!$A$2:$N$415, 4, 0)</f>
        <v>62</v>
      </c>
      <c r="D63" s="364" t="str">
        <f ca="1">IF( ISNA( VLOOKUP( APIF_Import!$M63 &amp; APIF_Import!$D$1,Podesavanja!$AA$3:$AD$24, 4, 0)), "", SUBSTITUTE( VALUE( VLOOKUP( APIF_Import!$C63, INDIRECT( "Lookup_" &amp; APIF_Import!$M63), VLOOKUP( APIF_Import!$M63 &amp; APIF_Import!$D$1,Podesavanja!$AA$3:$AD$24, 4, 0), 0)), ".", ","))</f>
        <v>13102408</v>
      </c>
      <c r="E63" s="364" t="str">
        <f ca="1">IF( ISNA( VLOOKUP( APIF_Import!$M63 &amp; APIF_Import!$E$1,Podesavanja!$AA$3:$AD$24, 4, 0)), "", SUBSTITUTE( VALUE( VLOOKUP( APIF_Import!$C63, INDIRECT( "Lookup_" &amp; APIF_Import!$M63), VLOOKUP( APIF_Import!$M63 &amp; APIF_Import!$E$1,Podesavanja!$AA$3:$AD$24, 4, 0), 0)), ".", ","))</f>
        <v>3214526</v>
      </c>
      <c r="F63" s="364">
        <f ca="1">IF( ISNA( VLOOKUP( APIF_Import!$M63 &amp; APIF_Import!$F$1,Podesavanja!$AA$3:$AD$24, 4, 0)), "", VLOOKUP( APIF_Import!$C63, INDIRECT( "Lookup_" &amp; APIF_Import!$M63), VLOOKUP( APIF_Import!$M63 &amp; APIF_Import!$F$1,Podesavanja!$AA$3:$AD$24, 4, 0), 0))</f>
        <v>9887882</v>
      </c>
      <c r="G63" s="364">
        <f ca="1">IF( ISNA( VLOOKUP( APIF_Import!$M63 &amp; APIF_Import!$G$1,Podesavanja!$AA$3:$AD$24, 4, 0)), "", VLOOKUP( APIF_Import!$C63, INDIRECT( "Lookup_" &amp; APIF_Import!$M63), VLOOKUP( APIF_Import!$M63 &amp; APIF_Import!$G$1,Podesavanja!$AA$3:$AD$24, 4, 0), 0))</f>
        <v>9074711</v>
      </c>
      <c r="H63" s="364" t="str">
        <f ca="1">IF( ISNA( VLOOKUP( APIF_Import!$M63 &amp; APIF_Import!$H$1,Podesavanja!$AA$3:$AD$24, 4, 0)), "", VLOOKUP( APIF_Import!$C63, INDIRECT( "Lookup_" &amp; APIF_Import!$M63), VLOOKUP( APIF_Import!$M63 &amp; APIF_Import!$H$1,Podesavanja!$AA$3:$AD$24, 4, 0), 0))</f>
        <v/>
      </c>
      <c r="I63" s="364" t="str">
        <f ca="1">IF( ISNA( VLOOKUP( APIF_Import!$M63 &amp; APIF_Import!$I$1,Podesavanja!$AA$3:$AD$24, 4, 0)), "", VLOOKUP( APIF_Import!$C63, INDIRECT( "Lookup_" &amp; APIF_Import!$M63), VLOOKUP( APIF_Import!$M63 &amp; APIF_Import!$I$1,Podesavanja!$AA$3:$AD$24, 4, 0), 0))</f>
        <v/>
      </c>
      <c r="J63" s="364" t="str">
        <f ca="1">IF( ISNA( VLOOKUP( APIF_Import!$M63 &amp; APIF_Import!$J$1,Podesavanja!$AA$3:$AD$24, 4, 0)), "", VLOOKUP( APIF_Import!$C63, INDIRECT( "Lookup_" &amp; APIF_Import!$M63), VLOOKUP( APIF_Import!$M63 &amp; APIF_Import!$J$1,Podesavanja!$AA$3:$AD$24, 4, 0), 0))</f>
        <v/>
      </c>
      <c r="K63" s="364" t="str">
        <f ca="1">IF( ISNA( VLOOKUP( APIF_Import!$M63 &amp; APIF_Import!$K$1,Podesavanja!$AA$3:$AD$24, 4, 0)), "", VLOOKUP( APIF_Import!$C63, INDIRECT( "Lookup_" &amp; APIF_Import!$M63), VLOOKUP( APIF_Import!$M63 &amp; APIF_Import!$K$1,Podesavanja!$AA$3:$AD$24, 4, 0), 0))</f>
        <v/>
      </c>
      <c r="L63" s="8">
        <v>63</v>
      </c>
      <c r="M63" s="8" t="s">
        <v>297</v>
      </c>
    </row>
    <row r="64" spans="2:13" x14ac:dyDescent="0.2">
      <c r="B64" s="8">
        <f>VLOOKUP( APIF_Import!$M64, Podesavanja!$N$3:$Q$9, 4, 0)</f>
        <v>1</v>
      </c>
      <c r="C64" s="363">
        <f>VLOOKUP( APIF_Import!$L64, Aop!$A$2:$N$415, 4, 0)</f>
        <v>63</v>
      </c>
      <c r="D64" s="364" t="str">
        <f ca="1">IF( ISNA( VLOOKUP( APIF_Import!$M64 &amp; APIF_Import!$D$1,Podesavanja!$AA$3:$AD$24, 4, 0)), "", SUBSTITUTE( VALUE( VLOOKUP( APIF_Import!$C64, INDIRECT( "Lookup_" &amp; APIF_Import!$M64), VLOOKUP( APIF_Import!$M64 &amp; APIF_Import!$D$1,Podesavanja!$AA$3:$AD$24, 4, 0), 0)), ".", ","))</f>
        <v>0</v>
      </c>
      <c r="E64" s="364" t="str">
        <f ca="1">IF( ISNA( VLOOKUP( APIF_Import!$M64 &amp; APIF_Import!$E$1,Podesavanja!$AA$3:$AD$24, 4, 0)), "", SUBSTITUTE( VALUE( VLOOKUP( APIF_Import!$C64, INDIRECT( "Lookup_" &amp; APIF_Import!$M64), VLOOKUP( APIF_Import!$M64 &amp; APIF_Import!$E$1,Podesavanja!$AA$3:$AD$24, 4, 0), 0)), ".", ","))</f>
        <v>0</v>
      </c>
      <c r="F64" s="364">
        <f ca="1">IF( ISNA( VLOOKUP( APIF_Import!$M64 &amp; APIF_Import!$F$1,Podesavanja!$AA$3:$AD$24, 4, 0)), "", VLOOKUP( APIF_Import!$C64, INDIRECT( "Lookup_" &amp; APIF_Import!$M64), VLOOKUP( APIF_Import!$M64 &amp; APIF_Import!$F$1,Podesavanja!$AA$3:$AD$24, 4, 0), 0))</f>
        <v>0</v>
      </c>
      <c r="G64" s="364">
        <f ca="1">IF( ISNA( VLOOKUP( APIF_Import!$M64 &amp; APIF_Import!$G$1,Podesavanja!$AA$3:$AD$24, 4, 0)), "", VLOOKUP( APIF_Import!$C64, INDIRECT( "Lookup_" &amp; APIF_Import!$M64), VLOOKUP( APIF_Import!$M64 &amp; APIF_Import!$G$1,Podesavanja!$AA$3:$AD$24, 4, 0), 0))</f>
        <v>0</v>
      </c>
      <c r="H64" s="364" t="str">
        <f ca="1">IF( ISNA( VLOOKUP( APIF_Import!$M64 &amp; APIF_Import!$H$1,Podesavanja!$AA$3:$AD$24, 4, 0)), "", VLOOKUP( APIF_Import!$C64, INDIRECT( "Lookup_" &amp; APIF_Import!$M64), VLOOKUP( APIF_Import!$M64 &amp; APIF_Import!$H$1,Podesavanja!$AA$3:$AD$24, 4, 0), 0))</f>
        <v/>
      </c>
      <c r="I64" s="364" t="str">
        <f ca="1">IF( ISNA( VLOOKUP( APIF_Import!$M64 &amp; APIF_Import!$I$1,Podesavanja!$AA$3:$AD$24, 4, 0)), "", VLOOKUP( APIF_Import!$C64, INDIRECT( "Lookup_" &amp; APIF_Import!$M64), VLOOKUP( APIF_Import!$M64 &amp; APIF_Import!$I$1,Podesavanja!$AA$3:$AD$24, 4, 0), 0))</f>
        <v/>
      </c>
      <c r="J64" s="364" t="str">
        <f ca="1">IF( ISNA( VLOOKUP( APIF_Import!$M64 &amp; APIF_Import!$J$1,Podesavanja!$AA$3:$AD$24, 4, 0)), "", VLOOKUP( APIF_Import!$C64, INDIRECT( "Lookup_" &amp; APIF_Import!$M64), VLOOKUP( APIF_Import!$M64 &amp; APIF_Import!$J$1,Podesavanja!$AA$3:$AD$24, 4, 0), 0))</f>
        <v/>
      </c>
      <c r="K64" s="364" t="str">
        <f ca="1">IF( ISNA( VLOOKUP( APIF_Import!$M64 &amp; APIF_Import!$K$1,Podesavanja!$AA$3:$AD$24, 4, 0)), "", VLOOKUP( APIF_Import!$C64, INDIRECT( "Lookup_" &amp; APIF_Import!$M64), VLOOKUP( APIF_Import!$M64 &amp; APIF_Import!$K$1,Podesavanja!$AA$3:$AD$24, 4, 0), 0))</f>
        <v/>
      </c>
      <c r="L64" s="8">
        <v>64</v>
      </c>
      <c r="M64" s="8" t="s">
        <v>297</v>
      </c>
    </row>
    <row r="65" spans="2:14" x14ac:dyDescent="0.2">
      <c r="B65" s="8">
        <f>VLOOKUP( APIF_Import!$M65, Podesavanja!$N$3:$Q$9, 4, 0)</f>
        <v>1</v>
      </c>
      <c r="C65" s="363">
        <f>VLOOKUP( APIF_Import!$L65, Aop!$A$2:$N$415, 4, 0)</f>
        <v>64</v>
      </c>
      <c r="D65" s="364" t="str">
        <f ca="1">IF( ISNA( VLOOKUP( APIF_Import!$M65 &amp; APIF_Import!$D$1,Podesavanja!$AA$3:$AD$24, 4, 0)), "", SUBSTITUTE( VALUE( VLOOKUP( APIF_Import!$C65, INDIRECT( "Lookup_" &amp; APIF_Import!$M65), VLOOKUP( APIF_Import!$M65 &amp; APIF_Import!$D$1,Podesavanja!$AA$3:$AD$24, 4, 0), 0)), ".", ","))</f>
        <v>13102408</v>
      </c>
      <c r="E65" s="364" t="str">
        <f ca="1">IF( ISNA( VLOOKUP( APIF_Import!$M65 &amp; APIF_Import!$E$1,Podesavanja!$AA$3:$AD$24, 4, 0)), "", SUBSTITUTE( VALUE( VLOOKUP( APIF_Import!$C65, INDIRECT( "Lookup_" &amp; APIF_Import!$M65), VLOOKUP( APIF_Import!$M65 &amp; APIF_Import!$E$1,Podesavanja!$AA$3:$AD$24, 4, 0), 0)), ".", ","))</f>
        <v>3214526</v>
      </c>
      <c r="F65" s="364">
        <f ca="1">IF( ISNA( VLOOKUP( APIF_Import!$M65 &amp; APIF_Import!$F$1,Podesavanja!$AA$3:$AD$24, 4, 0)), "", VLOOKUP( APIF_Import!$C65, INDIRECT( "Lookup_" &amp; APIF_Import!$M65), VLOOKUP( APIF_Import!$M65 &amp; APIF_Import!$F$1,Podesavanja!$AA$3:$AD$24, 4, 0), 0))</f>
        <v>9887882</v>
      </c>
      <c r="G65" s="364">
        <f ca="1">IF( ISNA( VLOOKUP( APIF_Import!$M65 &amp; APIF_Import!$G$1,Podesavanja!$AA$3:$AD$24, 4, 0)), "", VLOOKUP( APIF_Import!$C65, INDIRECT( "Lookup_" &amp; APIF_Import!$M65), VLOOKUP( APIF_Import!$M65 &amp; APIF_Import!$G$1,Podesavanja!$AA$3:$AD$24, 4, 0), 0))</f>
        <v>9074711</v>
      </c>
      <c r="H65" s="364" t="str">
        <f ca="1">IF( ISNA( VLOOKUP( APIF_Import!$M65 &amp; APIF_Import!$H$1,Podesavanja!$AA$3:$AD$24, 4, 0)), "", VLOOKUP( APIF_Import!$C65, INDIRECT( "Lookup_" &amp; APIF_Import!$M65), VLOOKUP( APIF_Import!$M65 &amp; APIF_Import!$H$1,Podesavanja!$AA$3:$AD$24, 4, 0), 0))</f>
        <v/>
      </c>
      <c r="I65" s="364" t="str">
        <f ca="1">IF( ISNA( VLOOKUP( APIF_Import!$M65 &amp; APIF_Import!$I$1,Podesavanja!$AA$3:$AD$24, 4, 0)), "", VLOOKUP( APIF_Import!$C65, INDIRECT( "Lookup_" &amp; APIF_Import!$M65), VLOOKUP( APIF_Import!$M65 &amp; APIF_Import!$I$1,Podesavanja!$AA$3:$AD$24, 4, 0), 0))</f>
        <v/>
      </c>
      <c r="J65" s="364" t="str">
        <f ca="1">IF( ISNA( VLOOKUP( APIF_Import!$M65 &amp; APIF_Import!$J$1,Podesavanja!$AA$3:$AD$24, 4, 0)), "", VLOOKUP( APIF_Import!$C65, INDIRECT( "Lookup_" &amp; APIF_Import!$M65), VLOOKUP( APIF_Import!$M65 &amp; APIF_Import!$J$1,Podesavanja!$AA$3:$AD$24, 4, 0), 0))</f>
        <v/>
      </c>
      <c r="K65" s="364" t="str">
        <f ca="1">IF( ISNA( VLOOKUP( APIF_Import!$M65 &amp; APIF_Import!$K$1,Podesavanja!$AA$3:$AD$24, 4, 0)), "", VLOOKUP( APIF_Import!$C65, INDIRECT( "Lookup_" &amp; APIF_Import!$M65), VLOOKUP( APIF_Import!$M65 &amp; APIF_Import!$K$1,Podesavanja!$AA$3:$AD$24, 4, 0), 0))</f>
        <v/>
      </c>
      <c r="L65" s="8">
        <v>65</v>
      </c>
      <c r="M65" s="8" t="s">
        <v>297</v>
      </c>
    </row>
    <row r="66" spans="2:14" x14ac:dyDescent="0.2">
      <c r="B66" s="8">
        <f>VLOOKUP( APIF_Import!$M66, Podesavanja!$N$3:$Q$9, 4, 0)</f>
        <v>1</v>
      </c>
      <c r="C66" s="363">
        <f>VLOOKUP( APIF_Import!$L66, Aop!$A$2:$N$415, 4, 0)</f>
        <v>65</v>
      </c>
      <c r="D66" s="364" t="str">
        <f ca="1">IF( ISNA( VLOOKUP( APIF_Import!$M66 &amp; APIF_Import!$D$1,Podesavanja!$AA$3:$AD$24, 4, 0)), "", SUBSTITUTE( VALUE( VLOOKUP( APIF_Import!$C66, INDIRECT( "Lookup_" &amp; APIF_Import!$M66), VLOOKUP( APIF_Import!$M66 &amp; APIF_Import!$D$1,Podesavanja!$AA$3:$AD$24, 4, 0), 0)), ".", ","))</f>
        <v>0</v>
      </c>
      <c r="E66" s="364" t="str">
        <f ca="1">IF( ISNA( VLOOKUP( APIF_Import!$M66 &amp; APIF_Import!$E$1,Podesavanja!$AA$3:$AD$24, 4, 0)), "", SUBSTITUTE( VALUE( VLOOKUP( APIF_Import!$C66, INDIRECT( "Lookup_" &amp; APIF_Import!$M66), VLOOKUP( APIF_Import!$M66 &amp; APIF_Import!$E$1,Podesavanja!$AA$3:$AD$24, 4, 0), 0)), ".", ","))</f>
        <v>0</v>
      </c>
      <c r="F66" s="364">
        <f ca="1">IF( ISNA( VLOOKUP( APIF_Import!$M66 &amp; APIF_Import!$F$1,Podesavanja!$AA$3:$AD$24, 4, 0)), "", VLOOKUP( APIF_Import!$C66, INDIRECT( "Lookup_" &amp; APIF_Import!$M66), VLOOKUP( APIF_Import!$M66 &amp; APIF_Import!$F$1,Podesavanja!$AA$3:$AD$24, 4, 0), 0))</f>
        <v>0</v>
      </c>
      <c r="G66" s="364">
        <f ca="1">IF( ISNA( VLOOKUP( APIF_Import!$M66 &amp; APIF_Import!$G$1,Podesavanja!$AA$3:$AD$24, 4, 0)), "", VLOOKUP( APIF_Import!$C66, INDIRECT( "Lookup_" &amp; APIF_Import!$M66), VLOOKUP( APIF_Import!$M66 &amp; APIF_Import!$G$1,Podesavanja!$AA$3:$AD$24, 4, 0), 0))</f>
        <v>0</v>
      </c>
      <c r="H66" s="364" t="str">
        <f ca="1">IF( ISNA( VLOOKUP( APIF_Import!$M66 &amp; APIF_Import!$H$1,Podesavanja!$AA$3:$AD$24, 4, 0)), "", VLOOKUP( APIF_Import!$C66, INDIRECT( "Lookup_" &amp; APIF_Import!$M66), VLOOKUP( APIF_Import!$M66 &amp; APIF_Import!$H$1,Podesavanja!$AA$3:$AD$24, 4, 0), 0))</f>
        <v/>
      </c>
      <c r="I66" s="364" t="str">
        <f ca="1">IF( ISNA( VLOOKUP( APIF_Import!$M66 &amp; APIF_Import!$I$1,Podesavanja!$AA$3:$AD$24, 4, 0)), "", VLOOKUP( APIF_Import!$C66, INDIRECT( "Lookup_" &amp; APIF_Import!$M66), VLOOKUP( APIF_Import!$M66 &amp; APIF_Import!$I$1,Podesavanja!$AA$3:$AD$24, 4, 0), 0))</f>
        <v/>
      </c>
      <c r="J66" s="364" t="str">
        <f ca="1">IF( ISNA( VLOOKUP( APIF_Import!$M66 &amp; APIF_Import!$J$1,Podesavanja!$AA$3:$AD$24, 4, 0)), "", VLOOKUP( APIF_Import!$C66, INDIRECT( "Lookup_" &amp; APIF_Import!$M66), VLOOKUP( APIF_Import!$M66 &amp; APIF_Import!$J$1,Podesavanja!$AA$3:$AD$24, 4, 0), 0))</f>
        <v/>
      </c>
      <c r="K66" s="364" t="str">
        <f ca="1">IF( ISNA( VLOOKUP( APIF_Import!$M66 &amp; APIF_Import!$K$1,Podesavanja!$AA$3:$AD$24, 4, 0)), "", VLOOKUP( APIF_Import!$C66, INDIRECT( "Lookup_" &amp; APIF_Import!$M66), VLOOKUP( APIF_Import!$M66 &amp; APIF_Import!$K$1,Podesavanja!$AA$3:$AD$24, 4, 0), 0))</f>
        <v/>
      </c>
      <c r="L66" s="8">
        <v>66</v>
      </c>
      <c r="M66" s="8" t="s">
        <v>297</v>
      </c>
    </row>
    <row r="67" spans="2:14" x14ac:dyDescent="0.2">
      <c r="B67" s="9">
        <f>VLOOKUP( APIF_Import!$M67, Podesavanja!$N$3:$Q$9, 4, 0)</f>
        <v>1</v>
      </c>
      <c r="C67" s="365">
        <f>VLOOKUP( APIF_Import!$L67, Aop!$A$2:$N$415, 4, 0)</f>
        <v>66</v>
      </c>
      <c r="D67" s="366" t="str">
        <f ca="1">IF( ISNA( VLOOKUP( APIF_Import!$M67 &amp; APIF_Import!$D$1,Podesavanja!$AA$3:$AD$24, 4, 0)), "", SUBSTITUTE( VALUE( VLOOKUP( APIF_Import!$C67, INDIRECT( "Lookup_" &amp; APIF_Import!$M67), VLOOKUP( APIF_Import!$M67 &amp; APIF_Import!$D$1,Podesavanja!$AA$3:$AD$24, 4, 0), 0)), ".", ","))</f>
        <v>13102408</v>
      </c>
      <c r="E67" s="366" t="str">
        <f ca="1">IF( ISNA( VLOOKUP( APIF_Import!$M67 &amp; APIF_Import!$E$1,Podesavanja!$AA$3:$AD$24, 4, 0)), "", SUBSTITUTE( VALUE( VLOOKUP( APIF_Import!$C67, INDIRECT( "Lookup_" &amp; APIF_Import!$M67), VLOOKUP( APIF_Import!$M67 &amp; APIF_Import!$E$1,Podesavanja!$AA$3:$AD$24, 4, 0), 0)), ".", ","))</f>
        <v>3214526</v>
      </c>
      <c r="F67" s="366">
        <f ca="1">IF( ISNA( VLOOKUP( APIF_Import!$M67 &amp; APIF_Import!$F$1,Podesavanja!$AA$3:$AD$24, 4, 0)), "", VLOOKUP( APIF_Import!$C67, INDIRECT( "Lookup_" &amp; APIF_Import!$M67), VLOOKUP( APIF_Import!$M67 &amp; APIF_Import!$F$1,Podesavanja!$AA$3:$AD$24, 4, 0), 0))</f>
        <v>9887882</v>
      </c>
      <c r="G67" s="366">
        <f ca="1">IF( ISNA( VLOOKUP( APIF_Import!$M67 &amp; APIF_Import!$G$1,Podesavanja!$AA$3:$AD$24, 4, 0)), "", VLOOKUP( APIF_Import!$C67, INDIRECT( "Lookup_" &amp; APIF_Import!$M67), VLOOKUP( APIF_Import!$M67 &amp; APIF_Import!$G$1,Podesavanja!$AA$3:$AD$24, 4, 0), 0))</f>
        <v>9074711</v>
      </c>
      <c r="H67" s="366" t="str">
        <f ca="1">IF( ISNA( VLOOKUP( APIF_Import!$M67 &amp; APIF_Import!$H$1,Podesavanja!$AA$3:$AD$24, 4, 0)), "", VLOOKUP( APIF_Import!$C67, INDIRECT( "Lookup_" &amp; APIF_Import!$M67), VLOOKUP( APIF_Import!$M67 &amp; APIF_Import!$H$1,Podesavanja!$AA$3:$AD$24, 4, 0), 0))</f>
        <v/>
      </c>
      <c r="I67" s="366" t="str">
        <f ca="1">IF( ISNA( VLOOKUP( APIF_Import!$M67 &amp; APIF_Import!$I$1,Podesavanja!$AA$3:$AD$24, 4, 0)), "", VLOOKUP( APIF_Import!$C67, INDIRECT( "Lookup_" &amp; APIF_Import!$M67), VLOOKUP( APIF_Import!$M67 &amp; APIF_Import!$I$1,Podesavanja!$AA$3:$AD$24, 4, 0), 0))</f>
        <v/>
      </c>
      <c r="J67" s="366" t="str">
        <f ca="1">IF( ISNA( VLOOKUP( APIF_Import!$M67 &amp; APIF_Import!$J$1,Podesavanja!$AA$3:$AD$24, 4, 0)), "", VLOOKUP( APIF_Import!$C67, INDIRECT( "Lookup_" &amp; APIF_Import!$M67), VLOOKUP( APIF_Import!$M67 &amp; APIF_Import!$J$1,Podesavanja!$AA$3:$AD$24, 4, 0), 0))</f>
        <v/>
      </c>
      <c r="K67" s="366" t="str">
        <f ca="1">IF( ISNA( VLOOKUP( APIF_Import!$M67 &amp; APIF_Import!$K$1,Podesavanja!$AA$3:$AD$24, 4, 0)), "", VLOOKUP( APIF_Import!$C67, INDIRECT( "Lookup_" &amp; APIF_Import!$M67), VLOOKUP( APIF_Import!$M67 &amp; APIF_Import!$K$1,Podesavanja!$AA$3:$AD$24, 4, 0), 0))</f>
        <v/>
      </c>
      <c r="L67" s="9">
        <v>67</v>
      </c>
      <c r="M67" s="9" t="s">
        <v>297</v>
      </c>
      <c r="N67" s="9"/>
    </row>
    <row r="68" spans="2:14" x14ac:dyDescent="0.2">
      <c r="B68" s="9">
        <f>VLOOKUP( APIF_Import!$M68, Podesavanja!$N$3:$Q$9, 4, 0)</f>
        <v>2</v>
      </c>
      <c r="C68" s="365">
        <f>VLOOKUP( APIF_Import!$L68, Aop!$A$2:$N$415, 4, 0)</f>
        <v>101</v>
      </c>
      <c r="D68" s="366" t="str">
        <f ca="1">IF( ISNA( VLOOKUP( APIF_Import!$M68 &amp; APIF_Import!$D$1,Podesavanja!$AA$3:$AD$24, 4, 0)), "", SUBSTITUTE( VALUE( VLOOKUP( APIF_Import!$C68, INDIRECT( "Lookup_" &amp; APIF_Import!$M68), VLOOKUP( APIF_Import!$M68 &amp; APIF_Import!$D$1,Podesavanja!$AA$3:$AD$24, 4, 0), 0)), ".", ","))</f>
        <v>3727884</v>
      </c>
      <c r="E68" s="366" t="str">
        <f ca="1">IF( ISNA( VLOOKUP( APIF_Import!$M68 &amp; APIF_Import!$E$1,Podesavanja!$AA$3:$AD$24, 4, 0)), "", SUBSTITUTE( VALUE( VLOOKUP( APIF_Import!$C68, INDIRECT( "Lookup_" &amp; APIF_Import!$M68), VLOOKUP( APIF_Import!$M68 &amp; APIF_Import!$E$1,Podesavanja!$AA$3:$AD$24, 4, 0), 0)), ".", ","))</f>
        <v>3288914</v>
      </c>
      <c r="F68" s="366" t="str">
        <f ca="1">IF( ISNA( VLOOKUP( APIF_Import!$M68 &amp; APIF_Import!$F$1,Podesavanja!$AA$3:$AD$24, 4, 0)), "", VLOOKUP( APIF_Import!$C68, INDIRECT( "Lookup_" &amp; APIF_Import!$M68), VLOOKUP( APIF_Import!$M68 &amp; APIF_Import!$F$1,Podesavanja!$AA$3:$AD$24, 4, 0), 0))</f>
        <v/>
      </c>
      <c r="G68" s="366" t="str">
        <f ca="1">IF( ISNA( VLOOKUP( APIF_Import!$M68 &amp; APIF_Import!$G$1,Podesavanja!$AA$3:$AD$24, 4, 0)), "", VLOOKUP( APIF_Import!$C68, INDIRECT( "Lookup_" &amp; APIF_Import!$M68), VLOOKUP( APIF_Import!$M68 &amp; APIF_Import!$G$1,Podesavanja!$AA$3:$AD$24, 4, 0), 0))</f>
        <v/>
      </c>
      <c r="H68" s="366" t="str">
        <f ca="1">IF( ISNA( VLOOKUP( APIF_Import!$M68 &amp; APIF_Import!$H$1,Podesavanja!$AA$3:$AD$24, 4, 0)), "", VLOOKUP( APIF_Import!$C68, INDIRECT( "Lookup_" &amp; APIF_Import!$M68), VLOOKUP( APIF_Import!$M68 &amp; APIF_Import!$H$1,Podesavanja!$AA$3:$AD$24, 4, 0), 0))</f>
        <v/>
      </c>
      <c r="I68" s="366" t="str">
        <f ca="1">IF( ISNA( VLOOKUP( APIF_Import!$M68 &amp; APIF_Import!$I$1,Podesavanja!$AA$3:$AD$24, 4, 0)), "", VLOOKUP( APIF_Import!$C68, INDIRECT( "Lookup_" &amp; APIF_Import!$M68), VLOOKUP( APIF_Import!$M68 &amp; APIF_Import!$I$1,Podesavanja!$AA$3:$AD$24, 4, 0), 0))</f>
        <v/>
      </c>
      <c r="J68" s="366" t="str">
        <f ca="1">IF( ISNA( VLOOKUP( APIF_Import!$M68 &amp; APIF_Import!$J$1,Podesavanja!$AA$3:$AD$24, 4, 0)), "", VLOOKUP( APIF_Import!$C68, INDIRECT( "Lookup_" &amp; APIF_Import!$M68), VLOOKUP( APIF_Import!$M68 &amp; APIF_Import!$J$1,Podesavanja!$AA$3:$AD$24, 4, 0), 0))</f>
        <v/>
      </c>
      <c r="K68" s="366" t="str">
        <f ca="1">IF( ISNA( VLOOKUP( APIF_Import!$M68 &amp; APIF_Import!$K$1,Podesavanja!$AA$3:$AD$24, 4, 0)), "", VLOOKUP( APIF_Import!$C68, INDIRECT( "Lookup_" &amp; APIF_Import!$M68), VLOOKUP( APIF_Import!$M68 &amp; APIF_Import!$K$1,Podesavanja!$AA$3:$AD$24, 4, 0), 0))</f>
        <v/>
      </c>
      <c r="L68" s="9">
        <v>69</v>
      </c>
      <c r="M68" s="9" t="s">
        <v>296</v>
      </c>
    </row>
    <row r="69" spans="2:14" x14ac:dyDescent="0.2">
      <c r="B69" s="8">
        <f>VLOOKUP( APIF_Import!$M69, Podesavanja!$N$3:$Q$9, 4, 0)</f>
        <v>2</v>
      </c>
      <c r="C69" s="363">
        <f>VLOOKUP( APIF_Import!$L69, Aop!$A$2:$N$415, 4, 0)</f>
        <v>102</v>
      </c>
      <c r="D69" s="364" t="str">
        <f ca="1">IF( ISNA( VLOOKUP( APIF_Import!$M69 &amp; APIF_Import!$D$1,Podesavanja!$AA$3:$AD$24, 4, 0)), "", SUBSTITUTE( VALUE( VLOOKUP( APIF_Import!$C69, INDIRECT( "Lookup_" &amp; APIF_Import!$M69), VLOOKUP( APIF_Import!$M69 &amp; APIF_Import!$D$1,Podesavanja!$AA$3:$AD$24, 4, 0), 0)), ".", ","))</f>
        <v>2833016</v>
      </c>
      <c r="E69" s="364" t="str">
        <f ca="1">IF( ISNA( VLOOKUP( APIF_Import!$M69 &amp; APIF_Import!$E$1,Podesavanja!$AA$3:$AD$24, 4, 0)), "", SUBSTITUTE( VALUE( VLOOKUP( APIF_Import!$C69, INDIRECT( "Lookup_" &amp; APIF_Import!$M69), VLOOKUP( APIF_Import!$M69 &amp; APIF_Import!$E$1,Podesavanja!$AA$3:$AD$24, 4, 0), 0)), ".", ","))</f>
        <v>2833016</v>
      </c>
      <c r="F69" s="364" t="str">
        <f ca="1">IF( ISNA( VLOOKUP( APIF_Import!$M69 &amp; APIF_Import!$F$1,Podesavanja!$AA$3:$AD$24, 4, 0)), "", VLOOKUP( APIF_Import!$C69, INDIRECT( "Lookup_" &amp; APIF_Import!$M69), VLOOKUP( APIF_Import!$M69 &amp; APIF_Import!$F$1,Podesavanja!$AA$3:$AD$24, 4, 0), 0))</f>
        <v/>
      </c>
      <c r="G69" s="364" t="str">
        <f ca="1">IF( ISNA( VLOOKUP( APIF_Import!$M69 &amp; APIF_Import!$G$1,Podesavanja!$AA$3:$AD$24, 4, 0)), "", VLOOKUP( APIF_Import!$C69, INDIRECT( "Lookup_" &amp; APIF_Import!$M69), VLOOKUP( APIF_Import!$M69 &amp; APIF_Import!$G$1,Podesavanja!$AA$3:$AD$24, 4, 0), 0))</f>
        <v/>
      </c>
      <c r="H69" s="364" t="str">
        <f ca="1">IF( ISNA( VLOOKUP( APIF_Import!$M69 &amp; APIF_Import!$H$1,Podesavanja!$AA$3:$AD$24, 4, 0)), "", VLOOKUP( APIF_Import!$C69, INDIRECT( "Lookup_" &amp; APIF_Import!$M69), VLOOKUP( APIF_Import!$M69 &amp; APIF_Import!$H$1,Podesavanja!$AA$3:$AD$24, 4, 0), 0))</f>
        <v/>
      </c>
      <c r="I69" s="364" t="str">
        <f ca="1">IF( ISNA( VLOOKUP( APIF_Import!$M69 &amp; APIF_Import!$I$1,Podesavanja!$AA$3:$AD$24, 4, 0)), "", VLOOKUP( APIF_Import!$C69, INDIRECT( "Lookup_" &amp; APIF_Import!$M69), VLOOKUP( APIF_Import!$M69 &amp; APIF_Import!$I$1,Podesavanja!$AA$3:$AD$24, 4, 0), 0))</f>
        <v/>
      </c>
      <c r="J69" s="364" t="str">
        <f ca="1">IF( ISNA( VLOOKUP( APIF_Import!$M69 &amp; APIF_Import!$J$1,Podesavanja!$AA$3:$AD$24, 4, 0)), "", VLOOKUP( APIF_Import!$C69, INDIRECT( "Lookup_" &amp; APIF_Import!$M69), VLOOKUP( APIF_Import!$M69 &amp; APIF_Import!$J$1,Podesavanja!$AA$3:$AD$24, 4, 0), 0))</f>
        <v/>
      </c>
      <c r="K69" s="364" t="str">
        <f ca="1">IF( ISNA( VLOOKUP( APIF_Import!$M69 &amp; APIF_Import!$K$1,Podesavanja!$AA$3:$AD$24, 4, 0)), "", VLOOKUP( APIF_Import!$C69, INDIRECT( "Lookup_" &amp; APIF_Import!$M69), VLOOKUP( APIF_Import!$M69 &amp; APIF_Import!$K$1,Podesavanja!$AA$3:$AD$24, 4, 0), 0))</f>
        <v/>
      </c>
      <c r="L69" s="8">
        <v>70</v>
      </c>
      <c r="M69" s="8" t="s">
        <v>296</v>
      </c>
    </row>
    <row r="70" spans="2:14" x14ac:dyDescent="0.2">
      <c r="B70" s="8">
        <f>VLOOKUP( APIF_Import!$M70, Podesavanja!$N$3:$Q$9, 4, 0)</f>
        <v>2</v>
      </c>
      <c r="C70" s="363">
        <f>VLOOKUP( APIF_Import!$L70, Aop!$A$2:$N$415, 4, 0)</f>
        <v>103</v>
      </c>
      <c r="D70" s="364" t="str">
        <f ca="1">IF( ISNA( VLOOKUP( APIF_Import!$M70 &amp; APIF_Import!$D$1,Podesavanja!$AA$3:$AD$24, 4, 0)), "", SUBSTITUTE( VALUE( VLOOKUP( APIF_Import!$C70, INDIRECT( "Lookup_" &amp; APIF_Import!$M70), VLOOKUP( APIF_Import!$M70 &amp; APIF_Import!$D$1,Podesavanja!$AA$3:$AD$24, 4, 0), 0)), ".", ","))</f>
        <v>2833016</v>
      </c>
      <c r="E70" s="364" t="str">
        <f ca="1">IF( ISNA( VLOOKUP( APIF_Import!$M70 &amp; APIF_Import!$E$1,Podesavanja!$AA$3:$AD$24, 4, 0)), "", SUBSTITUTE( VALUE( VLOOKUP( APIF_Import!$C70, INDIRECT( "Lookup_" &amp; APIF_Import!$M70), VLOOKUP( APIF_Import!$M70 &amp; APIF_Import!$E$1,Podesavanja!$AA$3:$AD$24, 4, 0), 0)), ".", ","))</f>
        <v>2833016</v>
      </c>
      <c r="F70" s="364" t="str">
        <f ca="1">IF( ISNA( VLOOKUP( APIF_Import!$M70 &amp; APIF_Import!$F$1,Podesavanja!$AA$3:$AD$24, 4, 0)), "", VLOOKUP( APIF_Import!$C70, INDIRECT( "Lookup_" &amp; APIF_Import!$M70), VLOOKUP( APIF_Import!$M70 &amp; APIF_Import!$F$1,Podesavanja!$AA$3:$AD$24, 4, 0), 0))</f>
        <v/>
      </c>
      <c r="G70" s="364" t="str">
        <f ca="1">IF( ISNA( VLOOKUP( APIF_Import!$M70 &amp; APIF_Import!$G$1,Podesavanja!$AA$3:$AD$24, 4, 0)), "", VLOOKUP( APIF_Import!$C70, INDIRECT( "Lookup_" &amp; APIF_Import!$M70), VLOOKUP( APIF_Import!$M70 &amp; APIF_Import!$G$1,Podesavanja!$AA$3:$AD$24, 4, 0), 0))</f>
        <v/>
      </c>
      <c r="H70" s="364" t="str">
        <f ca="1">IF( ISNA( VLOOKUP( APIF_Import!$M70 &amp; APIF_Import!$H$1,Podesavanja!$AA$3:$AD$24, 4, 0)), "", VLOOKUP( APIF_Import!$C70, INDIRECT( "Lookup_" &amp; APIF_Import!$M70), VLOOKUP( APIF_Import!$M70 &amp; APIF_Import!$H$1,Podesavanja!$AA$3:$AD$24, 4, 0), 0))</f>
        <v/>
      </c>
      <c r="I70" s="364" t="str">
        <f ca="1">IF( ISNA( VLOOKUP( APIF_Import!$M70 &amp; APIF_Import!$I$1,Podesavanja!$AA$3:$AD$24, 4, 0)), "", VLOOKUP( APIF_Import!$C70, INDIRECT( "Lookup_" &amp; APIF_Import!$M70), VLOOKUP( APIF_Import!$M70 &amp; APIF_Import!$I$1,Podesavanja!$AA$3:$AD$24, 4, 0), 0))</f>
        <v/>
      </c>
      <c r="J70" s="364" t="str">
        <f ca="1">IF( ISNA( VLOOKUP( APIF_Import!$M70 &amp; APIF_Import!$J$1,Podesavanja!$AA$3:$AD$24, 4, 0)), "", VLOOKUP( APIF_Import!$C70, INDIRECT( "Lookup_" &amp; APIF_Import!$M70), VLOOKUP( APIF_Import!$M70 &amp; APIF_Import!$J$1,Podesavanja!$AA$3:$AD$24, 4, 0), 0))</f>
        <v/>
      </c>
      <c r="K70" s="364" t="str">
        <f ca="1">IF( ISNA( VLOOKUP( APIF_Import!$M70 &amp; APIF_Import!$K$1,Podesavanja!$AA$3:$AD$24, 4, 0)), "", VLOOKUP( APIF_Import!$C70, INDIRECT( "Lookup_" &amp; APIF_Import!$M70), VLOOKUP( APIF_Import!$M70 &amp; APIF_Import!$K$1,Podesavanja!$AA$3:$AD$24, 4, 0), 0))</f>
        <v/>
      </c>
      <c r="L70" s="8">
        <v>71</v>
      </c>
      <c r="M70" s="8" t="s">
        <v>296</v>
      </c>
    </row>
    <row r="71" spans="2:14" x14ac:dyDescent="0.2">
      <c r="B71" s="8">
        <f>VLOOKUP( APIF_Import!$M71, Podesavanja!$N$3:$Q$9, 4, 0)</f>
        <v>2</v>
      </c>
      <c r="C71" s="363">
        <f>VLOOKUP( APIF_Import!$L71, Aop!$A$2:$N$415, 4, 0)</f>
        <v>104</v>
      </c>
      <c r="D71" s="364" t="str">
        <f ca="1">IF( ISNA( VLOOKUP( APIF_Import!$M71 &amp; APIF_Import!$D$1,Podesavanja!$AA$3:$AD$24, 4, 0)), "", SUBSTITUTE( VALUE( VLOOKUP( APIF_Import!$C71, INDIRECT( "Lookup_" &amp; APIF_Import!$M71), VLOOKUP( APIF_Import!$M71 &amp; APIF_Import!$D$1,Podesavanja!$AA$3:$AD$24, 4, 0), 0)), ".", ","))</f>
        <v>0</v>
      </c>
      <c r="E71" s="364" t="str">
        <f ca="1">IF( ISNA( VLOOKUP( APIF_Import!$M71 &amp; APIF_Import!$E$1,Podesavanja!$AA$3:$AD$24, 4, 0)), "", SUBSTITUTE( VALUE( VLOOKUP( APIF_Import!$C71, INDIRECT( "Lookup_" &amp; APIF_Import!$M71), VLOOKUP( APIF_Import!$M71 &amp; APIF_Import!$E$1,Podesavanja!$AA$3:$AD$24, 4, 0), 0)), ".", ","))</f>
        <v>0</v>
      </c>
      <c r="F71" s="364" t="str">
        <f ca="1">IF( ISNA( VLOOKUP( APIF_Import!$M71 &amp; APIF_Import!$F$1,Podesavanja!$AA$3:$AD$24, 4, 0)), "", VLOOKUP( APIF_Import!$C71, INDIRECT( "Lookup_" &amp; APIF_Import!$M71), VLOOKUP( APIF_Import!$M71 &amp; APIF_Import!$F$1,Podesavanja!$AA$3:$AD$24, 4, 0), 0))</f>
        <v/>
      </c>
      <c r="G71" s="364" t="str">
        <f ca="1">IF( ISNA( VLOOKUP( APIF_Import!$M71 &amp; APIF_Import!$G$1,Podesavanja!$AA$3:$AD$24, 4, 0)), "", VLOOKUP( APIF_Import!$C71, INDIRECT( "Lookup_" &amp; APIF_Import!$M71), VLOOKUP( APIF_Import!$M71 &amp; APIF_Import!$G$1,Podesavanja!$AA$3:$AD$24, 4, 0), 0))</f>
        <v/>
      </c>
      <c r="H71" s="364" t="str">
        <f ca="1">IF( ISNA( VLOOKUP( APIF_Import!$M71 &amp; APIF_Import!$H$1,Podesavanja!$AA$3:$AD$24, 4, 0)), "", VLOOKUP( APIF_Import!$C71, INDIRECT( "Lookup_" &amp; APIF_Import!$M71), VLOOKUP( APIF_Import!$M71 &amp; APIF_Import!$H$1,Podesavanja!$AA$3:$AD$24, 4, 0), 0))</f>
        <v/>
      </c>
      <c r="I71" s="364" t="str">
        <f ca="1">IF( ISNA( VLOOKUP( APIF_Import!$M71 &amp; APIF_Import!$I$1,Podesavanja!$AA$3:$AD$24, 4, 0)), "", VLOOKUP( APIF_Import!$C71, INDIRECT( "Lookup_" &amp; APIF_Import!$M71), VLOOKUP( APIF_Import!$M71 &amp; APIF_Import!$I$1,Podesavanja!$AA$3:$AD$24, 4, 0), 0))</f>
        <v/>
      </c>
      <c r="J71" s="364" t="str">
        <f ca="1">IF( ISNA( VLOOKUP( APIF_Import!$M71 &amp; APIF_Import!$J$1,Podesavanja!$AA$3:$AD$24, 4, 0)), "", VLOOKUP( APIF_Import!$C71, INDIRECT( "Lookup_" &amp; APIF_Import!$M71), VLOOKUP( APIF_Import!$M71 &amp; APIF_Import!$J$1,Podesavanja!$AA$3:$AD$24, 4, 0), 0))</f>
        <v/>
      </c>
      <c r="K71" s="364" t="str">
        <f ca="1">IF( ISNA( VLOOKUP( APIF_Import!$M71 &amp; APIF_Import!$K$1,Podesavanja!$AA$3:$AD$24, 4, 0)), "", VLOOKUP( APIF_Import!$C71, INDIRECT( "Lookup_" &amp; APIF_Import!$M71), VLOOKUP( APIF_Import!$M71 &amp; APIF_Import!$K$1,Podesavanja!$AA$3:$AD$24, 4, 0), 0))</f>
        <v/>
      </c>
      <c r="L71" s="8">
        <v>72</v>
      </c>
      <c r="M71" s="8" t="s">
        <v>296</v>
      </c>
    </row>
    <row r="72" spans="2:14" x14ac:dyDescent="0.2">
      <c r="B72" s="8">
        <f>VLOOKUP( APIF_Import!$M72, Podesavanja!$N$3:$Q$9, 4, 0)</f>
        <v>2</v>
      </c>
      <c r="C72" s="363">
        <f>VLOOKUP( APIF_Import!$L72, Aop!$A$2:$N$415, 4, 0)</f>
        <v>105</v>
      </c>
      <c r="D72" s="364" t="str">
        <f ca="1">IF( ISNA( VLOOKUP( APIF_Import!$M72 &amp; APIF_Import!$D$1,Podesavanja!$AA$3:$AD$24, 4, 0)), "", SUBSTITUTE( VALUE( VLOOKUP( APIF_Import!$C72, INDIRECT( "Lookup_" &amp; APIF_Import!$M72), VLOOKUP( APIF_Import!$M72 &amp; APIF_Import!$D$1,Podesavanja!$AA$3:$AD$24, 4, 0), 0)), ".", ","))</f>
        <v>0</v>
      </c>
      <c r="E72" s="364" t="str">
        <f ca="1">IF( ISNA( VLOOKUP( APIF_Import!$M72 &amp; APIF_Import!$E$1,Podesavanja!$AA$3:$AD$24, 4, 0)), "", SUBSTITUTE( VALUE( VLOOKUP( APIF_Import!$C72, INDIRECT( "Lookup_" &amp; APIF_Import!$M72), VLOOKUP( APIF_Import!$M72 &amp; APIF_Import!$E$1,Podesavanja!$AA$3:$AD$24, 4, 0), 0)), ".", ","))</f>
        <v>0</v>
      </c>
      <c r="F72" s="364" t="str">
        <f ca="1">IF( ISNA( VLOOKUP( APIF_Import!$M72 &amp; APIF_Import!$F$1,Podesavanja!$AA$3:$AD$24, 4, 0)), "", VLOOKUP( APIF_Import!$C72, INDIRECT( "Lookup_" &amp; APIF_Import!$M72), VLOOKUP( APIF_Import!$M72 &amp; APIF_Import!$F$1,Podesavanja!$AA$3:$AD$24, 4, 0), 0))</f>
        <v/>
      </c>
      <c r="G72" s="364" t="str">
        <f ca="1">IF( ISNA( VLOOKUP( APIF_Import!$M72 &amp; APIF_Import!$G$1,Podesavanja!$AA$3:$AD$24, 4, 0)), "", VLOOKUP( APIF_Import!$C72, INDIRECT( "Lookup_" &amp; APIF_Import!$M72), VLOOKUP( APIF_Import!$M72 &amp; APIF_Import!$G$1,Podesavanja!$AA$3:$AD$24, 4, 0), 0))</f>
        <v/>
      </c>
      <c r="H72" s="364" t="str">
        <f ca="1">IF( ISNA( VLOOKUP( APIF_Import!$M72 &amp; APIF_Import!$H$1,Podesavanja!$AA$3:$AD$24, 4, 0)), "", VLOOKUP( APIF_Import!$C72, INDIRECT( "Lookup_" &amp; APIF_Import!$M72), VLOOKUP( APIF_Import!$M72 &amp; APIF_Import!$H$1,Podesavanja!$AA$3:$AD$24, 4, 0), 0))</f>
        <v/>
      </c>
      <c r="I72" s="364" t="str">
        <f ca="1">IF( ISNA( VLOOKUP( APIF_Import!$M72 &amp; APIF_Import!$I$1,Podesavanja!$AA$3:$AD$24, 4, 0)), "", VLOOKUP( APIF_Import!$C72, INDIRECT( "Lookup_" &amp; APIF_Import!$M72), VLOOKUP( APIF_Import!$M72 &amp; APIF_Import!$I$1,Podesavanja!$AA$3:$AD$24, 4, 0), 0))</f>
        <v/>
      </c>
      <c r="J72" s="364" t="str">
        <f ca="1">IF( ISNA( VLOOKUP( APIF_Import!$M72 &amp; APIF_Import!$J$1,Podesavanja!$AA$3:$AD$24, 4, 0)), "", VLOOKUP( APIF_Import!$C72, INDIRECT( "Lookup_" &amp; APIF_Import!$M72), VLOOKUP( APIF_Import!$M72 &amp; APIF_Import!$J$1,Podesavanja!$AA$3:$AD$24, 4, 0), 0))</f>
        <v/>
      </c>
      <c r="K72" s="364" t="str">
        <f ca="1">IF( ISNA( VLOOKUP( APIF_Import!$M72 &amp; APIF_Import!$K$1,Podesavanja!$AA$3:$AD$24, 4, 0)), "", VLOOKUP( APIF_Import!$C72, INDIRECT( "Lookup_" &amp; APIF_Import!$M72), VLOOKUP( APIF_Import!$M72 &amp; APIF_Import!$K$1,Podesavanja!$AA$3:$AD$24, 4, 0), 0))</f>
        <v/>
      </c>
      <c r="L72" s="8">
        <v>73</v>
      </c>
      <c r="M72" s="8" t="s">
        <v>296</v>
      </c>
    </row>
    <row r="73" spans="2:14" x14ac:dyDescent="0.2">
      <c r="B73" s="8">
        <f>VLOOKUP( APIF_Import!$M73, Podesavanja!$N$3:$Q$9, 4, 0)</f>
        <v>2</v>
      </c>
      <c r="C73" s="363">
        <f>VLOOKUP( APIF_Import!$L73, Aop!$A$2:$N$415, 4, 0)</f>
        <v>106</v>
      </c>
      <c r="D73" s="364" t="str">
        <f ca="1">IF( ISNA( VLOOKUP( APIF_Import!$M73 &amp; APIF_Import!$D$1,Podesavanja!$AA$3:$AD$24, 4, 0)), "", SUBSTITUTE( VALUE( VLOOKUP( APIF_Import!$C73, INDIRECT( "Lookup_" &amp; APIF_Import!$M73), VLOOKUP( APIF_Import!$M73 &amp; APIF_Import!$D$1,Podesavanja!$AA$3:$AD$24, 4, 0), 0)), ".", ","))</f>
        <v>0</v>
      </c>
      <c r="E73" s="364" t="str">
        <f ca="1">IF( ISNA( VLOOKUP( APIF_Import!$M73 &amp; APIF_Import!$E$1,Podesavanja!$AA$3:$AD$24, 4, 0)), "", SUBSTITUTE( VALUE( VLOOKUP( APIF_Import!$C73, INDIRECT( "Lookup_" &amp; APIF_Import!$M73), VLOOKUP( APIF_Import!$M73 &amp; APIF_Import!$E$1,Podesavanja!$AA$3:$AD$24, 4, 0), 0)), ".", ","))</f>
        <v>0</v>
      </c>
      <c r="F73" s="364" t="str">
        <f ca="1">IF( ISNA( VLOOKUP( APIF_Import!$M73 &amp; APIF_Import!$F$1,Podesavanja!$AA$3:$AD$24, 4, 0)), "", VLOOKUP( APIF_Import!$C73, INDIRECT( "Lookup_" &amp; APIF_Import!$M73), VLOOKUP( APIF_Import!$M73 &amp; APIF_Import!$F$1,Podesavanja!$AA$3:$AD$24, 4, 0), 0))</f>
        <v/>
      </c>
      <c r="G73" s="364" t="str">
        <f ca="1">IF( ISNA( VLOOKUP( APIF_Import!$M73 &amp; APIF_Import!$G$1,Podesavanja!$AA$3:$AD$24, 4, 0)), "", VLOOKUP( APIF_Import!$C73, INDIRECT( "Lookup_" &amp; APIF_Import!$M73), VLOOKUP( APIF_Import!$M73 &amp; APIF_Import!$G$1,Podesavanja!$AA$3:$AD$24, 4, 0), 0))</f>
        <v/>
      </c>
      <c r="H73" s="364" t="str">
        <f ca="1">IF( ISNA( VLOOKUP( APIF_Import!$M73 &amp; APIF_Import!$H$1,Podesavanja!$AA$3:$AD$24, 4, 0)), "", VLOOKUP( APIF_Import!$C73, INDIRECT( "Lookup_" &amp; APIF_Import!$M73), VLOOKUP( APIF_Import!$M73 &amp; APIF_Import!$H$1,Podesavanja!$AA$3:$AD$24, 4, 0), 0))</f>
        <v/>
      </c>
      <c r="I73" s="364" t="str">
        <f ca="1">IF( ISNA( VLOOKUP( APIF_Import!$M73 &amp; APIF_Import!$I$1,Podesavanja!$AA$3:$AD$24, 4, 0)), "", VLOOKUP( APIF_Import!$C73, INDIRECT( "Lookup_" &amp; APIF_Import!$M73), VLOOKUP( APIF_Import!$M73 &amp; APIF_Import!$I$1,Podesavanja!$AA$3:$AD$24, 4, 0), 0))</f>
        <v/>
      </c>
      <c r="J73" s="364" t="str">
        <f ca="1">IF( ISNA( VLOOKUP( APIF_Import!$M73 &amp; APIF_Import!$J$1,Podesavanja!$AA$3:$AD$24, 4, 0)), "", VLOOKUP( APIF_Import!$C73, INDIRECT( "Lookup_" &amp; APIF_Import!$M73), VLOOKUP( APIF_Import!$M73 &amp; APIF_Import!$J$1,Podesavanja!$AA$3:$AD$24, 4, 0), 0))</f>
        <v/>
      </c>
      <c r="K73" s="364" t="str">
        <f ca="1">IF( ISNA( VLOOKUP( APIF_Import!$M73 &amp; APIF_Import!$K$1,Podesavanja!$AA$3:$AD$24, 4, 0)), "", VLOOKUP( APIF_Import!$C73, INDIRECT( "Lookup_" &amp; APIF_Import!$M73), VLOOKUP( APIF_Import!$M73 &amp; APIF_Import!$K$1,Podesavanja!$AA$3:$AD$24, 4, 0), 0))</f>
        <v/>
      </c>
      <c r="L73" s="8">
        <v>74</v>
      </c>
      <c r="M73" s="8" t="s">
        <v>296</v>
      </c>
    </row>
    <row r="74" spans="2:14" x14ac:dyDescent="0.2">
      <c r="B74" s="8">
        <f>VLOOKUP( APIF_Import!$M74, Podesavanja!$N$3:$Q$9, 4, 0)</f>
        <v>2</v>
      </c>
      <c r="C74" s="363">
        <f>VLOOKUP( APIF_Import!$L74, Aop!$A$2:$N$415, 4, 0)</f>
        <v>107</v>
      </c>
      <c r="D74" s="364" t="str">
        <f ca="1">IF( ISNA( VLOOKUP( APIF_Import!$M74 &amp; APIF_Import!$D$1,Podesavanja!$AA$3:$AD$24, 4, 0)), "", SUBSTITUTE( VALUE( VLOOKUP( APIF_Import!$C74, INDIRECT( "Lookup_" &amp; APIF_Import!$M74), VLOOKUP( APIF_Import!$M74 &amp; APIF_Import!$D$1,Podesavanja!$AA$3:$AD$24, 4, 0), 0)), ".", ","))</f>
        <v>0</v>
      </c>
      <c r="E74" s="364" t="str">
        <f ca="1">IF( ISNA( VLOOKUP( APIF_Import!$M74 &amp; APIF_Import!$E$1,Podesavanja!$AA$3:$AD$24, 4, 0)), "", SUBSTITUTE( VALUE( VLOOKUP( APIF_Import!$C74, INDIRECT( "Lookup_" &amp; APIF_Import!$M74), VLOOKUP( APIF_Import!$M74 &amp; APIF_Import!$E$1,Podesavanja!$AA$3:$AD$24, 4, 0), 0)), ".", ","))</f>
        <v>0</v>
      </c>
      <c r="F74" s="364" t="str">
        <f ca="1">IF( ISNA( VLOOKUP( APIF_Import!$M74 &amp; APIF_Import!$F$1,Podesavanja!$AA$3:$AD$24, 4, 0)), "", VLOOKUP( APIF_Import!$C74, INDIRECT( "Lookup_" &amp; APIF_Import!$M74), VLOOKUP( APIF_Import!$M74 &amp; APIF_Import!$F$1,Podesavanja!$AA$3:$AD$24, 4, 0), 0))</f>
        <v/>
      </c>
      <c r="G74" s="364" t="str">
        <f ca="1">IF( ISNA( VLOOKUP( APIF_Import!$M74 &amp; APIF_Import!$G$1,Podesavanja!$AA$3:$AD$24, 4, 0)), "", VLOOKUP( APIF_Import!$C74, INDIRECT( "Lookup_" &amp; APIF_Import!$M74), VLOOKUP( APIF_Import!$M74 &amp; APIF_Import!$G$1,Podesavanja!$AA$3:$AD$24, 4, 0), 0))</f>
        <v/>
      </c>
      <c r="H74" s="364" t="str">
        <f ca="1">IF( ISNA( VLOOKUP( APIF_Import!$M74 &amp; APIF_Import!$H$1,Podesavanja!$AA$3:$AD$24, 4, 0)), "", VLOOKUP( APIF_Import!$C74, INDIRECT( "Lookup_" &amp; APIF_Import!$M74), VLOOKUP( APIF_Import!$M74 &amp; APIF_Import!$H$1,Podesavanja!$AA$3:$AD$24, 4, 0), 0))</f>
        <v/>
      </c>
      <c r="I74" s="364" t="str">
        <f ca="1">IF( ISNA( VLOOKUP( APIF_Import!$M74 &amp; APIF_Import!$I$1,Podesavanja!$AA$3:$AD$24, 4, 0)), "", VLOOKUP( APIF_Import!$C74, INDIRECT( "Lookup_" &amp; APIF_Import!$M74), VLOOKUP( APIF_Import!$M74 &amp; APIF_Import!$I$1,Podesavanja!$AA$3:$AD$24, 4, 0), 0))</f>
        <v/>
      </c>
      <c r="J74" s="364" t="str">
        <f ca="1">IF( ISNA( VLOOKUP( APIF_Import!$M74 &amp; APIF_Import!$J$1,Podesavanja!$AA$3:$AD$24, 4, 0)), "", VLOOKUP( APIF_Import!$C74, INDIRECT( "Lookup_" &amp; APIF_Import!$M74), VLOOKUP( APIF_Import!$M74 &amp; APIF_Import!$J$1,Podesavanja!$AA$3:$AD$24, 4, 0), 0))</f>
        <v/>
      </c>
      <c r="K74" s="364" t="str">
        <f ca="1">IF( ISNA( VLOOKUP( APIF_Import!$M74 &amp; APIF_Import!$K$1,Podesavanja!$AA$3:$AD$24, 4, 0)), "", VLOOKUP( APIF_Import!$C74, INDIRECT( "Lookup_" &amp; APIF_Import!$M74), VLOOKUP( APIF_Import!$M74 &amp; APIF_Import!$K$1,Podesavanja!$AA$3:$AD$24, 4, 0), 0))</f>
        <v/>
      </c>
      <c r="L74" s="8">
        <v>75</v>
      </c>
      <c r="M74" s="8" t="s">
        <v>296</v>
      </c>
    </row>
    <row r="75" spans="2:14" x14ac:dyDescent="0.2">
      <c r="B75" s="8">
        <f>VLOOKUP( APIF_Import!$M75, Podesavanja!$N$3:$Q$9, 4, 0)</f>
        <v>2</v>
      </c>
      <c r="C75" s="363">
        <f>VLOOKUP( APIF_Import!$L75, Aop!$A$2:$N$415, 4, 0)</f>
        <v>108</v>
      </c>
      <c r="D75" s="364" t="str">
        <f ca="1">IF( ISNA( VLOOKUP( APIF_Import!$M75 &amp; APIF_Import!$D$1,Podesavanja!$AA$3:$AD$24, 4, 0)), "", SUBSTITUTE( VALUE( VLOOKUP( APIF_Import!$C75, INDIRECT( "Lookup_" &amp; APIF_Import!$M75), VLOOKUP( APIF_Import!$M75 &amp; APIF_Import!$D$1,Podesavanja!$AA$3:$AD$24, 4, 0), 0)), ".", ","))</f>
        <v>0</v>
      </c>
      <c r="E75" s="364" t="str">
        <f ca="1">IF( ISNA( VLOOKUP( APIF_Import!$M75 &amp; APIF_Import!$E$1,Podesavanja!$AA$3:$AD$24, 4, 0)), "", SUBSTITUTE( VALUE( VLOOKUP( APIF_Import!$C75, INDIRECT( "Lookup_" &amp; APIF_Import!$M75), VLOOKUP( APIF_Import!$M75 &amp; APIF_Import!$E$1,Podesavanja!$AA$3:$AD$24, 4, 0), 0)), ".", ","))</f>
        <v>0</v>
      </c>
      <c r="F75" s="364" t="str">
        <f ca="1">IF( ISNA( VLOOKUP( APIF_Import!$M75 &amp; APIF_Import!$F$1,Podesavanja!$AA$3:$AD$24, 4, 0)), "", VLOOKUP( APIF_Import!$C75, INDIRECT( "Lookup_" &amp; APIF_Import!$M75), VLOOKUP( APIF_Import!$M75 &amp; APIF_Import!$F$1,Podesavanja!$AA$3:$AD$24, 4, 0), 0))</f>
        <v/>
      </c>
      <c r="G75" s="364" t="str">
        <f ca="1">IF( ISNA( VLOOKUP( APIF_Import!$M75 &amp; APIF_Import!$G$1,Podesavanja!$AA$3:$AD$24, 4, 0)), "", VLOOKUP( APIF_Import!$C75, INDIRECT( "Lookup_" &amp; APIF_Import!$M75), VLOOKUP( APIF_Import!$M75 &amp; APIF_Import!$G$1,Podesavanja!$AA$3:$AD$24, 4, 0), 0))</f>
        <v/>
      </c>
      <c r="H75" s="364" t="str">
        <f ca="1">IF( ISNA( VLOOKUP( APIF_Import!$M75 &amp; APIF_Import!$H$1,Podesavanja!$AA$3:$AD$24, 4, 0)), "", VLOOKUP( APIF_Import!$C75, INDIRECT( "Lookup_" &amp; APIF_Import!$M75), VLOOKUP( APIF_Import!$M75 &amp; APIF_Import!$H$1,Podesavanja!$AA$3:$AD$24, 4, 0), 0))</f>
        <v/>
      </c>
      <c r="I75" s="364" t="str">
        <f ca="1">IF( ISNA( VLOOKUP( APIF_Import!$M75 &amp; APIF_Import!$I$1,Podesavanja!$AA$3:$AD$24, 4, 0)), "", VLOOKUP( APIF_Import!$C75, INDIRECT( "Lookup_" &amp; APIF_Import!$M75), VLOOKUP( APIF_Import!$M75 &amp; APIF_Import!$I$1,Podesavanja!$AA$3:$AD$24, 4, 0), 0))</f>
        <v/>
      </c>
      <c r="J75" s="364" t="str">
        <f ca="1">IF( ISNA( VLOOKUP( APIF_Import!$M75 &amp; APIF_Import!$J$1,Podesavanja!$AA$3:$AD$24, 4, 0)), "", VLOOKUP( APIF_Import!$C75, INDIRECT( "Lookup_" &amp; APIF_Import!$M75), VLOOKUP( APIF_Import!$M75 &amp; APIF_Import!$J$1,Podesavanja!$AA$3:$AD$24, 4, 0), 0))</f>
        <v/>
      </c>
      <c r="K75" s="364" t="str">
        <f ca="1">IF( ISNA( VLOOKUP( APIF_Import!$M75 &amp; APIF_Import!$K$1,Podesavanja!$AA$3:$AD$24, 4, 0)), "", VLOOKUP( APIF_Import!$C75, INDIRECT( "Lookup_" &amp; APIF_Import!$M75), VLOOKUP( APIF_Import!$M75 &amp; APIF_Import!$K$1,Podesavanja!$AA$3:$AD$24, 4, 0), 0))</f>
        <v/>
      </c>
      <c r="L75" s="8">
        <v>76</v>
      </c>
      <c r="M75" s="8" t="s">
        <v>296</v>
      </c>
    </row>
    <row r="76" spans="2:14" x14ac:dyDescent="0.2">
      <c r="B76" s="8">
        <f>VLOOKUP( APIF_Import!$M76, Podesavanja!$N$3:$Q$9, 4, 0)</f>
        <v>2</v>
      </c>
      <c r="C76" s="363">
        <f>VLOOKUP( APIF_Import!$L76, Aop!$A$2:$N$415, 4, 0)</f>
        <v>109</v>
      </c>
      <c r="D76" s="364" t="str">
        <f ca="1">IF( ISNA( VLOOKUP( APIF_Import!$M76 &amp; APIF_Import!$D$1,Podesavanja!$AA$3:$AD$24, 4, 0)), "", SUBSTITUTE( VALUE( VLOOKUP( APIF_Import!$C76, INDIRECT( "Lookup_" &amp; APIF_Import!$M76), VLOOKUP( APIF_Import!$M76 &amp; APIF_Import!$D$1,Podesavanja!$AA$3:$AD$24, 4, 0), 0)), ".", ","))</f>
        <v>0</v>
      </c>
      <c r="E76" s="364" t="str">
        <f ca="1">IF( ISNA( VLOOKUP( APIF_Import!$M76 &amp; APIF_Import!$E$1,Podesavanja!$AA$3:$AD$24, 4, 0)), "", SUBSTITUTE( VALUE( VLOOKUP( APIF_Import!$C76, INDIRECT( "Lookup_" &amp; APIF_Import!$M76), VLOOKUP( APIF_Import!$M76 &amp; APIF_Import!$E$1,Podesavanja!$AA$3:$AD$24, 4, 0), 0)), ".", ","))</f>
        <v>0</v>
      </c>
      <c r="F76" s="364" t="str">
        <f ca="1">IF( ISNA( VLOOKUP( APIF_Import!$M76 &amp; APIF_Import!$F$1,Podesavanja!$AA$3:$AD$24, 4, 0)), "", VLOOKUP( APIF_Import!$C76, INDIRECT( "Lookup_" &amp; APIF_Import!$M76), VLOOKUP( APIF_Import!$M76 &amp; APIF_Import!$F$1,Podesavanja!$AA$3:$AD$24, 4, 0), 0))</f>
        <v/>
      </c>
      <c r="G76" s="364" t="str">
        <f ca="1">IF( ISNA( VLOOKUP( APIF_Import!$M76 &amp; APIF_Import!$G$1,Podesavanja!$AA$3:$AD$24, 4, 0)), "", VLOOKUP( APIF_Import!$C76, INDIRECT( "Lookup_" &amp; APIF_Import!$M76), VLOOKUP( APIF_Import!$M76 &amp; APIF_Import!$G$1,Podesavanja!$AA$3:$AD$24, 4, 0), 0))</f>
        <v/>
      </c>
      <c r="H76" s="364" t="str">
        <f ca="1">IF( ISNA( VLOOKUP( APIF_Import!$M76 &amp; APIF_Import!$H$1,Podesavanja!$AA$3:$AD$24, 4, 0)), "", VLOOKUP( APIF_Import!$C76, INDIRECT( "Lookup_" &amp; APIF_Import!$M76), VLOOKUP( APIF_Import!$M76 &amp; APIF_Import!$H$1,Podesavanja!$AA$3:$AD$24, 4, 0), 0))</f>
        <v/>
      </c>
      <c r="I76" s="364" t="str">
        <f ca="1">IF( ISNA( VLOOKUP( APIF_Import!$M76 &amp; APIF_Import!$I$1,Podesavanja!$AA$3:$AD$24, 4, 0)), "", VLOOKUP( APIF_Import!$C76, INDIRECT( "Lookup_" &amp; APIF_Import!$M76), VLOOKUP( APIF_Import!$M76 &amp; APIF_Import!$I$1,Podesavanja!$AA$3:$AD$24, 4, 0), 0))</f>
        <v/>
      </c>
      <c r="J76" s="364" t="str">
        <f ca="1">IF( ISNA( VLOOKUP( APIF_Import!$M76 &amp; APIF_Import!$J$1,Podesavanja!$AA$3:$AD$24, 4, 0)), "", VLOOKUP( APIF_Import!$C76, INDIRECT( "Lookup_" &amp; APIF_Import!$M76), VLOOKUP( APIF_Import!$M76 &amp; APIF_Import!$J$1,Podesavanja!$AA$3:$AD$24, 4, 0), 0))</f>
        <v/>
      </c>
      <c r="K76" s="364" t="str">
        <f ca="1">IF( ISNA( VLOOKUP( APIF_Import!$M76 &amp; APIF_Import!$K$1,Podesavanja!$AA$3:$AD$24, 4, 0)), "", VLOOKUP( APIF_Import!$C76, INDIRECT( "Lookup_" &amp; APIF_Import!$M76), VLOOKUP( APIF_Import!$M76 &amp; APIF_Import!$K$1,Podesavanja!$AA$3:$AD$24, 4, 0), 0))</f>
        <v/>
      </c>
      <c r="L76" s="8">
        <v>77</v>
      </c>
      <c r="M76" s="8" t="s">
        <v>296</v>
      </c>
    </row>
    <row r="77" spans="2:14" x14ac:dyDescent="0.2">
      <c r="B77" s="8">
        <f>VLOOKUP( APIF_Import!$M77, Podesavanja!$N$3:$Q$9, 4, 0)</f>
        <v>2</v>
      </c>
      <c r="C77" s="363">
        <f>VLOOKUP( APIF_Import!$L77, Aop!$A$2:$N$415, 4, 0)</f>
        <v>110</v>
      </c>
      <c r="D77" s="364" t="str">
        <f ca="1">IF( ISNA( VLOOKUP( APIF_Import!$M77 &amp; APIF_Import!$D$1,Podesavanja!$AA$3:$AD$24, 4, 0)), "", SUBSTITUTE( VALUE( VLOOKUP( APIF_Import!$C77, INDIRECT( "Lookup_" &amp; APIF_Import!$M77), VLOOKUP( APIF_Import!$M77 &amp; APIF_Import!$D$1,Podesavanja!$AA$3:$AD$24, 4, 0), 0)), ".", ","))</f>
        <v>0</v>
      </c>
      <c r="E77" s="364" t="str">
        <f ca="1">IF( ISNA( VLOOKUP( APIF_Import!$M77 &amp; APIF_Import!$E$1,Podesavanja!$AA$3:$AD$24, 4, 0)), "", SUBSTITUTE( VALUE( VLOOKUP( APIF_Import!$C77, INDIRECT( "Lookup_" &amp; APIF_Import!$M77), VLOOKUP( APIF_Import!$M77 &amp; APIF_Import!$E$1,Podesavanja!$AA$3:$AD$24, 4, 0), 0)), ".", ","))</f>
        <v>0</v>
      </c>
      <c r="F77" s="364" t="str">
        <f ca="1">IF( ISNA( VLOOKUP( APIF_Import!$M77 &amp; APIF_Import!$F$1,Podesavanja!$AA$3:$AD$24, 4, 0)), "", VLOOKUP( APIF_Import!$C77, INDIRECT( "Lookup_" &amp; APIF_Import!$M77), VLOOKUP( APIF_Import!$M77 &amp; APIF_Import!$F$1,Podesavanja!$AA$3:$AD$24, 4, 0), 0))</f>
        <v/>
      </c>
      <c r="G77" s="364" t="str">
        <f ca="1">IF( ISNA( VLOOKUP( APIF_Import!$M77 &amp; APIF_Import!$G$1,Podesavanja!$AA$3:$AD$24, 4, 0)), "", VLOOKUP( APIF_Import!$C77, INDIRECT( "Lookup_" &amp; APIF_Import!$M77), VLOOKUP( APIF_Import!$M77 &amp; APIF_Import!$G$1,Podesavanja!$AA$3:$AD$24, 4, 0), 0))</f>
        <v/>
      </c>
      <c r="H77" s="364" t="str">
        <f ca="1">IF( ISNA( VLOOKUP( APIF_Import!$M77 &amp; APIF_Import!$H$1,Podesavanja!$AA$3:$AD$24, 4, 0)), "", VLOOKUP( APIF_Import!$C77, INDIRECT( "Lookup_" &amp; APIF_Import!$M77), VLOOKUP( APIF_Import!$M77 &amp; APIF_Import!$H$1,Podesavanja!$AA$3:$AD$24, 4, 0), 0))</f>
        <v/>
      </c>
      <c r="I77" s="364" t="str">
        <f ca="1">IF( ISNA( VLOOKUP( APIF_Import!$M77 &amp; APIF_Import!$I$1,Podesavanja!$AA$3:$AD$24, 4, 0)), "", VLOOKUP( APIF_Import!$C77, INDIRECT( "Lookup_" &amp; APIF_Import!$M77), VLOOKUP( APIF_Import!$M77 &amp; APIF_Import!$I$1,Podesavanja!$AA$3:$AD$24, 4, 0), 0))</f>
        <v/>
      </c>
      <c r="J77" s="364" t="str">
        <f ca="1">IF( ISNA( VLOOKUP( APIF_Import!$M77 &amp; APIF_Import!$J$1,Podesavanja!$AA$3:$AD$24, 4, 0)), "", VLOOKUP( APIF_Import!$C77, INDIRECT( "Lookup_" &amp; APIF_Import!$M77), VLOOKUP( APIF_Import!$M77 &amp; APIF_Import!$J$1,Podesavanja!$AA$3:$AD$24, 4, 0), 0))</f>
        <v/>
      </c>
      <c r="K77" s="364" t="str">
        <f ca="1">IF( ISNA( VLOOKUP( APIF_Import!$M77 &amp; APIF_Import!$K$1,Podesavanja!$AA$3:$AD$24, 4, 0)), "", VLOOKUP( APIF_Import!$C77, INDIRECT( "Lookup_" &amp; APIF_Import!$M77), VLOOKUP( APIF_Import!$M77 &amp; APIF_Import!$K$1,Podesavanja!$AA$3:$AD$24, 4, 0), 0))</f>
        <v/>
      </c>
      <c r="L77" s="8">
        <v>78</v>
      </c>
      <c r="M77" s="8" t="s">
        <v>296</v>
      </c>
    </row>
    <row r="78" spans="2:14" x14ac:dyDescent="0.2">
      <c r="B78" s="8">
        <f>VLOOKUP( APIF_Import!$M78, Podesavanja!$N$3:$Q$9, 4, 0)</f>
        <v>2</v>
      </c>
      <c r="C78" s="363">
        <f>VLOOKUP( APIF_Import!$L78, Aop!$A$2:$N$415, 4, 0)</f>
        <v>111</v>
      </c>
      <c r="D78" s="364" t="str">
        <f ca="1">IF( ISNA( VLOOKUP( APIF_Import!$M78 &amp; APIF_Import!$D$1,Podesavanja!$AA$3:$AD$24, 4, 0)), "", SUBSTITUTE( VALUE( VLOOKUP( APIF_Import!$C78, INDIRECT( "Lookup_" &amp; APIF_Import!$M78), VLOOKUP( APIF_Import!$M78 &amp; APIF_Import!$D$1,Podesavanja!$AA$3:$AD$24, 4, 0), 0)), ".", ","))</f>
        <v>0</v>
      </c>
      <c r="E78" s="364" t="str">
        <f ca="1">IF( ISNA( VLOOKUP( APIF_Import!$M78 &amp; APIF_Import!$E$1,Podesavanja!$AA$3:$AD$24, 4, 0)), "", SUBSTITUTE( VALUE( VLOOKUP( APIF_Import!$C78, INDIRECT( "Lookup_" &amp; APIF_Import!$M78), VLOOKUP( APIF_Import!$M78 &amp; APIF_Import!$E$1,Podesavanja!$AA$3:$AD$24, 4, 0), 0)), ".", ","))</f>
        <v>0</v>
      </c>
      <c r="F78" s="364" t="str">
        <f ca="1">IF( ISNA( VLOOKUP( APIF_Import!$M78 &amp; APIF_Import!$F$1,Podesavanja!$AA$3:$AD$24, 4, 0)), "", VLOOKUP( APIF_Import!$C78, INDIRECT( "Lookup_" &amp; APIF_Import!$M78), VLOOKUP( APIF_Import!$M78 &amp; APIF_Import!$F$1,Podesavanja!$AA$3:$AD$24, 4, 0), 0))</f>
        <v/>
      </c>
      <c r="G78" s="364" t="str">
        <f ca="1">IF( ISNA( VLOOKUP( APIF_Import!$M78 &amp; APIF_Import!$G$1,Podesavanja!$AA$3:$AD$24, 4, 0)), "", VLOOKUP( APIF_Import!$C78, INDIRECT( "Lookup_" &amp; APIF_Import!$M78), VLOOKUP( APIF_Import!$M78 &amp; APIF_Import!$G$1,Podesavanja!$AA$3:$AD$24, 4, 0), 0))</f>
        <v/>
      </c>
      <c r="H78" s="364" t="str">
        <f ca="1">IF( ISNA( VLOOKUP( APIF_Import!$M78 &amp; APIF_Import!$H$1,Podesavanja!$AA$3:$AD$24, 4, 0)), "", VLOOKUP( APIF_Import!$C78, INDIRECT( "Lookup_" &amp; APIF_Import!$M78), VLOOKUP( APIF_Import!$M78 &amp; APIF_Import!$H$1,Podesavanja!$AA$3:$AD$24, 4, 0), 0))</f>
        <v/>
      </c>
      <c r="I78" s="364" t="str">
        <f ca="1">IF( ISNA( VLOOKUP( APIF_Import!$M78 &amp; APIF_Import!$I$1,Podesavanja!$AA$3:$AD$24, 4, 0)), "", VLOOKUP( APIF_Import!$C78, INDIRECT( "Lookup_" &amp; APIF_Import!$M78), VLOOKUP( APIF_Import!$M78 &amp; APIF_Import!$I$1,Podesavanja!$AA$3:$AD$24, 4, 0), 0))</f>
        <v/>
      </c>
      <c r="J78" s="364" t="str">
        <f ca="1">IF( ISNA( VLOOKUP( APIF_Import!$M78 &amp; APIF_Import!$J$1,Podesavanja!$AA$3:$AD$24, 4, 0)), "", VLOOKUP( APIF_Import!$C78, INDIRECT( "Lookup_" &amp; APIF_Import!$M78), VLOOKUP( APIF_Import!$M78 &amp; APIF_Import!$J$1,Podesavanja!$AA$3:$AD$24, 4, 0), 0))</f>
        <v/>
      </c>
      <c r="K78" s="364" t="str">
        <f ca="1">IF( ISNA( VLOOKUP( APIF_Import!$M78 &amp; APIF_Import!$K$1,Podesavanja!$AA$3:$AD$24, 4, 0)), "", VLOOKUP( APIF_Import!$C78, INDIRECT( "Lookup_" &amp; APIF_Import!$M78), VLOOKUP( APIF_Import!$M78 &amp; APIF_Import!$K$1,Podesavanja!$AA$3:$AD$24, 4, 0), 0))</f>
        <v/>
      </c>
      <c r="L78" s="8">
        <v>79</v>
      </c>
      <c r="M78" s="8" t="s">
        <v>296</v>
      </c>
    </row>
    <row r="79" spans="2:14" x14ac:dyDescent="0.2">
      <c r="B79" s="8">
        <f>VLOOKUP( APIF_Import!$M79, Podesavanja!$N$3:$Q$9, 4, 0)</f>
        <v>2</v>
      </c>
      <c r="C79" s="363">
        <f>VLOOKUP( APIF_Import!$L79, Aop!$A$2:$N$415, 4, 0)</f>
        <v>112</v>
      </c>
      <c r="D79" s="364" t="str">
        <f ca="1">IF( ISNA( VLOOKUP( APIF_Import!$M79 &amp; APIF_Import!$D$1,Podesavanja!$AA$3:$AD$24, 4, 0)), "", SUBSTITUTE( VALUE( VLOOKUP( APIF_Import!$C79, INDIRECT( "Lookup_" &amp; APIF_Import!$M79), VLOOKUP( APIF_Import!$M79 &amp; APIF_Import!$D$1,Podesavanja!$AA$3:$AD$24, 4, 0), 0)), ".", ","))</f>
        <v>283302</v>
      </c>
      <c r="E79" s="364" t="str">
        <f ca="1">IF( ISNA( VLOOKUP( APIF_Import!$M79 &amp; APIF_Import!$E$1,Podesavanja!$AA$3:$AD$24, 4, 0)), "", SUBSTITUTE( VALUE( VLOOKUP( APIF_Import!$C79, INDIRECT( "Lookup_" &amp; APIF_Import!$M79), VLOOKUP( APIF_Import!$M79 &amp; APIF_Import!$E$1,Podesavanja!$AA$3:$AD$24, 4, 0), 0)), ".", ","))</f>
        <v>283302</v>
      </c>
      <c r="F79" s="364" t="str">
        <f ca="1">IF( ISNA( VLOOKUP( APIF_Import!$M79 &amp; APIF_Import!$F$1,Podesavanja!$AA$3:$AD$24, 4, 0)), "", VLOOKUP( APIF_Import!$C79, INDIRECT( "Lookup_" &amp; APIF_Import!$M79), VLOOKUP( APIF_Import!$M79 &amp; APIF_Import!$F$1,Podesavanja!$AA$3:$AD$24, 4, 0), 0))</f>
        <v/>
      </c>
      <c r="G79" s="364" t="str">
        <f ca="1">IF( ISNA( VLOOKUP( APIF_Import!$M79 &amp; APIF_Import!$G$1,Podesavanja!$AA$3:$AD$24, 4, 0)), "", VLOOKUP( APIF_Import!$C79, INDIRECT( "Lookup_" &amp; APIF_Import!$M79), VLOOKUP( APIF_Import!$M79 &amp; APIF_Import!$G$1,Podesavanja!$AA$3:$AD$24, 4, 0), 0))</f>
        <v/>
      </c>
      <c r="H79" s="364" t="str">
        <f ca="1">IF( ISNA( VLOOKUP( APIF_Import!$M79 &amp; APIF_Import!$H$1,Podesavanja!$AA$3:$AD$24, 4, 0)), "", VLOOKUP( APIF_Import!$C79, INDIRECT( "Lookup_" &amp; APIF_Import!$M79), VLOOKUP( APIF_Import!$M79 &amp; APIF_Import!$H$1,Podesavanja!$AA$3:$AD$24, 4, 0), 0))</f>
        <v/>
      </c>
      <c r="I79" s="364" t="str">
        <f ca="1">IF( ISNA( VLOOKUP( APIF_Import!$M79 &amp; APIF_Import!$I$1,Podesavanja!$AA$3:$AD$24, 4, 0)), "", VLOOKUP( APIF_Import!$C79, INDIRECT( "Lookup_" &amp; APIF_Import!$M79), VLOOKUP( APIF_Import!$M79 &amp; APIF_Import!$I$1,Podesavanja!$AA$3:$AD$24, 4, 0), 0))</f>
        <v/>
      </c>
      <c r="J79" s="364" t="str">
        <f ca="1">IF( ISNA( VLOOKUP( APIF_Import!$M79 &amp; APIF_Import!$J$1,Podesavanja!$AA$3:$AD$24, 4, 0)), "", VLOOKUP( APIF_Import!$C79, INDIRECT( "Lookup_" &amp; APIF_Import!$M79), VLOOKUP( APIF_Import!$M79 &amp; APIF_Import!$J$1,Podesavanja!$AA$3:$AD$24, 4, 0), 0))</f>
        <v/>
      </c>
      <c r="K79" s="364" t="str">
        <f ca="1">IF( ISNA( VLOOKUP( APIF_Import!$M79 &amp; APIF_Import!$K$1,Podesavanja!$AA$3:$AD$24, 4, 0)), "", VLOOKUP( APIF_Import!$C79, INDIRECT( "Lookup_" &amp; APIF_Import!$M79), VLOOKUP( APIF_Import!$M79 &amp; APIF_Import!$K$1,Podesavanja!$AA$3:$AD$24, 4, 0), 0))</f>
        <v/>
      </c>
      <c r="L79" s="8">
        <v>80</v>
      </c>
      <c r="M79" s="8" t="s">
        <v>296</v>
      </c>
    </row>
    <row r="80" spans="2:14" x14ac:dyDescent="0.2">
      <c r="B80" s="8">
        <f>VLOOKUP( APIF_Import!$M80, Podesavanja!$N$3:$Q$9, 4, 0)</f>
        <v>2</v>
      </c>
      <c r="C80" s="363">
        <f>VLOOKUP( APIF_Import!$L80, Aop!$A$2:$N$415, 4, 0)</f>
        <v>113</v>
      </c>
      <c r="D80" s="364" t="str">
        <f ca="1">IF( ISNA( VLOOKUP( APIF_Import!$M80 &amp; APIF_Import!$D$1,Podesavanja!$AA$3:$AD$24, 4, 0)), "", SUBSTITUTE( VALUE( VLOOKUP( APIF_Import!$C80, INDIRECT( "Lookup_" &amp; APIF_Import!$M80), VLOOKUP( APIF_Import!$M80 &amp; APIF_Import!$D$1,Podesavanja!$AA$3:$AD$24, 4, 0), 0)), ".", ","))</f>
        <v>283302</v>
      </c>
      <c r="E80" s="364" t="str">
        <f ca="1">IF( ISNA( VLOOKUP( APIF_Import!$M80 &amp; APIF_Import!$E$1,Podesavanja!$AA$3:$AD$24, 4, 0)), "", SUBSTITUTE( VALUE( VLOOKUP( APIF_Import!$C80, INDIRECT( "Lookup_" &amp; APIF_Import!$M80), VLOOKUP( APIF_Import!$M80 &amp; APIF_Import!$E$1,Podesavanja!$AA$3:$AD$24, 4, 0), 0)), ".", ","))</f>
        <v>283302</v>
      </c>
      <c r="F80" s="364" t="str">
        <f ca="1">IF( ISNA( VLOOKUP( APIF_Import!$M80 &amp; APIF_Import!$F$1,Podesavanja!$AA$3:$AD$24, 4, 0)), "", VLOOKUP( APIF_Import!$C80, INDIRECT( "Lookup_" &amp; APIF_Import!$M80), VLOOKUP( APIF_Import!$M80 &amp; APIF_Import!$F$1,Podesavanja!$AA$3:$AD$24, 4, 0), 0))</f>
        <v/>
      </c>
      <c r="G80" s="364" t="str">
        <f ca="1">IF( ISNA( VLOOKUP( APIF_Import!$M80 &amp; APIF_Import!$G$1,Podesavanja!$AA$3:$AD$24, 4, 0)), "", VLOOKUP( APIF_Import!$C80, INDIRECT( "Lookup_" &amp; APIF_Import!$M80), VLOOKUP( APIF_Import!$M80 &amp; APIF_Import!$G$1,Podesavanja!$AA$3:$AD$24, 4, 0), 0))</f>
        <v/>
      </c>
      <c r="H80" s="364" t="str">
        <f ca="1">IF( ISNA( VLOOKUP( APIF_Import!$M80 &amp; APIF_Import!$H$1,Podesavanja!$AA$3:$AD$24, 4, 0)), "", VLOOKUP( APIF_Import!$C80, INDIRECT( "Lookup_" &amp; APIF_Import!$M80), VLOOKUP( APIF_Import!$M80 &amp; APIF_Import!$H$1,Podesavanja!$AA$3:$AD$24, 4, 0), 0))</f>
        <v/>
      </c>
      <c r="I80" s="364" t="str">
        <f ca="1">IF( ISNA( VLOOKUP( APIF_Import!$M80 &amp; APIF_Import!$I$1,Podesavanja!$AA$3:$AD$24, 4, 0)), "", VLOOKUP( APIF_Import!$C80, INDIRECT( "Lookup_" &amp; APIF_Import!$M80), VLOOKUP( APIF_Import!$M80 &amp; APIF_Import!$I$1,Podesavanja!$AA$3:$AD$24, 4, 0), 0))</f>
        <v/>
      </c>
      <c r="J80" s="364" t="str">
        <f ca="1">IF( ISNA( VLOOKUP( APIF_Import!$M80 &amp; APIF_Import!$J$1,Podesavanja!$AA$3:$AD$24, 4, 0)), "", VLOOKUP( APIF_Import!$C80, INDIRECT( "Lookup_" &amp; APIF_Import!$M80), VLOOKUP( APIF_Import!$M80 &amp; APIF_Import!$J$1,Podesavanja!$AA$3:$AD$24, 4, 0), 0))</f>
        <v/>
      </c>
      <c r="K80" s="364" t="str">
        <f ca="1">IF( ISNA( VLOOKUP( APIF_Import!$M80 &amp; APIF_Import!$K$1,Podesavanja!$AA$3:$AD$24, 4, 0)), "", VLOOKUP( APIF_Import!$C80, INDIRECT( "Lookup_" &amp; APIF_Import!$M80), VLOOKUP( APIF_Import!$M80 &amp; APIF_Import!$K$1,Podesavanja!$AA$3:$AD$24, 4, 0), 0))</f>
        <v/>
      </c>
      <c r="L80" s="8">
        <v>81</v>
      </c>
      <c r="M80" s="8" t="s">
        <v>296</v>
      </c>
    </row>
    <row r="81" spans="2:13" x14ac:dyDescent="0.2">
      <c r="B81" s="8">
        <f>VLOOKUP( APIF_Import!$M81, Podesavanja!$N$3:$Q$9, 4, 0)</f>
        <v>2</v>
      </c>
      <c r="C81" s="363">
        <f>VLOOKUP( APIF_Import!$L81, Aop!$A$2:$N$415, 4, 0)</f>
        <v>114</v>
      </c>
      <c r="D81" s="364" t="str">
        <f ca="1">IF( ISNA( VLOOKUP( APIF_Import!$M81 &amp; APIF_Import!$D$1,Podesavanja!$AA$3:$AD$24, 4, 0)), "", SUBSTITUTE( VALUE( VLOOKUP( APIF_Import!$C81, INDIRECT( "Lookup_" &amp; APIF_Import!$M81), VLOOKUP( APIF_Import!$M81 &amp; APIF_Import!$D$1,Podesavanja!$AA$3:$AD$24, 4, 0), 0)), ".", ","))</f>
        <v>0</v>
      </c>
      <c r="E81" s="364" t="str">
        <f ca="1">IF( ISNA( VLOOKUP( APIF_Import!$M81 &amp; APIF_Import!$E$1,Podesavanja!$AA$3:$AD$24, 4, 0)), "", SUBSTITUTE( VALUE( VLOOKUP( APIF_Import!$C81, INDIRECT( "Lookup_" &amp; APIF_Import!$M81), VLOOKUP( APIF_Import!$M81 &amp; APIF_Import!$E$1,Podesavanja!$AA$3:$AD$24, 4, 0), 0)), ".", ","))</f>
        <v>0</v>
      </c>
      <c r="F81" s="364" t="str">
        <f ca="1">IF( ISNA( VLOOKUP( APIF_Import!$M81 &amp; APIF_Import!$F$1,Podesavanja!$AA$3:$AD$24, 4, 0)), "", VLOOKUP( APIF_Import!$C81, INDIRECT( "Lookup_" &amp; APIF_Import!$M81), VLOOKUP( APIF_Import!$M81 &amp; APIF_Import!$F$1,Podesavanja!$AA$3:$AD$24, 4, 0), 0))</f>
        <v/>
      </c>
      <c r="G81" s="364" t="str">
        <f ca="1">IF( ISNA( VLOOKUP( APIF_Import!$M81 &amp; APIF_Import!$G$1,Podesavanja!$AA$3:$AD$24, 4, 0)), "", VLOOKUP( APIF_Import!$C81, INDIRECT( "Lookup_" &amp; APIF_Import!$M81), VLOOKUP( APIF_Import!$M81 &amp; APIF_Import!$G$1,Podesavanja!$AA$3:$AD$24, 4, 0), 0))</f>
        <v/>
      </c>
      <c r="H81" s="364" t="str">
        <f ca="1">IF( ISNA( VLOOKUP( APIF_Import!$M81 &amp; APIF_Import!$H$1,Podesavanja!$AA$3:$AD$24, 4, 0)), "", VLOOKUP( APIF_Import!$C81, INDIRECT( "Lookup_" &amp; APIF_Import!$M81), VLOOKUP( APIF_Import!$M81 &amp; APIF_Import!$H$1,Podesavanja!$AA$3:$AD$24, 4, 0), 0))</f>
        <v/>
      </c>
      <c r="I81" s="364" t="str">
        <f ca="1">IF( ISNA( VLOOKUP( APIF_Import!$M81 &amp; APIF_Import!$I$1,Podesavanja!$AA$3:$AD$24, 4, 0)), "", VLOOKUP( APIF_Import!$C81, INDIRECT( "Lookup_" &amp; APIF_Import!$M81), VLOOKUP( APIF_Import!$M81 &amp; APIF_Import!$I$1,Podesavanja!$AA$3:$AD$24, 4, 0), 0))</f>
        <v/>
      </c>
      <c r="J81" s="364" t="str">
        <f ca="1">IF( ISNA( VLOOKUP( APIF_Import!$M81 &amp; APIF_Import!$J$1,Podesavanja!$AA$3:$AD$24, 4, 0)), "", VLOOKUP( APIF_Import!$C81, INDIRECT( "Lookup_" &amp; APIF_Import!$M81), VLOOKUP( APIF_Import!$M81 &amp; APIF_Import!$J$1,Podesavanja!$AA$3:$AD$24, 4, 0), 0))</f>
        <v/>
      </c>
      <c r="K81" s="364" t="str">
        <f ca="1">IF( ISNA( VLOOKUP( APIF_Import!$M81 &amp; APIF_Import!$K$1,Podesavanja!$AA$3:$AD$24, 4, 0)), "", VLOOKUP( APIF_Import!$C81, INDIRECT( "Lookup_" &amp; APIF_Import!$M81), VLOOKUP( APIF_Import!$M81 &amp; APIF_Import!$K$1,Podesavanja!$AA$3:$AD$24, 4, 0), 0))</f>
        <v/>
      </c>
      <c r="L81" s="8">
        <v>82</v>
      </c>
      <c r="M81" s="8" t="s">
        <v>296</v>
      </c>
    </row>
    <row r="82" spans="2:13" x14ac:dyDescent="0.2">
      <c r="B82" s="8">
        <f>VLOOKUP( APIF_Import!$M82, Podesavanja!$N$3:$Q$9, 4, 0)</f>
        <v>2</v>
      </c>
      <c r="C82" s="363">
        <f>VLOOKUP( APIF_Import!$L82, Aop!$A$2:$N$415, 4, 0)</f>
        <v>115</v>
      </c>
      <c r="D82" s="364" t="str">
        <f ca="1">IF( ISNA( VLOOKUP( APIF_Import!$M82 &amp; APIF_Import!$D$1,Podesavanja!$AA$3:$AD$24, 4, 0)), "", SUBSTITUTE( VALUE( VLOOKUP( APIF_Import!$C82, INDIRECT( "Lookup_" &amp; APIF_Import!$M82), VLOOKUP( APIF_Import!$M82 &amp; APIF_Import!$D$1,Podesavanja!$AA$3:$AD$24, 4, 0), 0)), ".", ","))</f>
        <v>0</v>
      </c>
      <c r="E82" s="364" t="str">
        <f ca="1">IF( ISNA( VLOOKUP( APIF_Import!$M82 &amp; APIF_Import!$E$1,Podesavanja!$AA$3:$AD$24, 4, 0)), "", SUBSTITUTE( VALUE( VLOOKUP( APIF_Import!$C82, INDIRECT( "Lookup_" &amp; APIF_Import!$M82), VLOOKUP( APIF_Import!$M82 &amp; APIF_Import!$E$1,Podesavanja!$AA$3:$AD$24, 4, 0), 0)), ".", ","))</f>
        <v>0</v>
      </c>
      <c r="F82" s="364" t="str">
        <f ca="1">IF( ISNA( VLOOKUP( APIF_Import!$M82 &amp; APIF_Import!$F$1,Podesavanja!$AA$3:$AD$24, 4, 0)), "", VLOOKUP( APIF_Import!$C82, INDIRECT( "Lookup_" &amp; APIF_Import!$M82), VLOOKUP( APIF_Import!$M82 &amp; APIF_Import!$F$1,Podesavanja!$AA$3:$AD$24, 4, 0), 0))</f>
        <v/>
      </c>
      <c r="G82" s="364" t="str">
        <f ca="1">IF( ISNA( VLOOKUP( APIF_Import!$M82 &amp; APIF_Import!$G$1,Podesavanja!$AA$3:$AD$24, 4, 0)), "", VLOOKUP( APIF_Import!$C82, INDIRECT( "Lookup_" &amp; APIF_Import!$M82), VLOOKUP( APIF_Import!$M82 &amp; APIF_Import!$G$1,Podesavanja!$AA$3:$AD$24, 4, 0), 0))</f>
        <v/>
      </c>
      <c r="H82" s="364" t="str">
        <f ca="1">IF( ISNA( VLOOKUP( APIF_Import!$M82 &amp; APIF_Import!$H$1,Podesavanja!$AA$3:$AD$24, 4, 0)), "", VLOOKUP( APIF_Import!$C82, INDIRECT( "Lookup_" &amp; APIF_Import!$M82), VLOOKUP( APIF_Import!$M82 &amp; APIF_Import!$H$1,Podesavanja!$AA$3:$AD$24, 4, 0), 0))</f>
        <v/>
      </c>
      <c r="I82" s="364" t="str">
        <f ca="1">IF( ISNA( VLOOKUP( APIF_Import!$M82 &amp; APIF_Import!$I$1,Podesavanja!$AA$3:$AD$24, 4, 0)), "", VLOOKUP( APIF_Import!$C82, INDIRECT( "Lookup_" &amp; APIF_Import!$M82), VLOOKUP( APIF_Import!$M82 &amp; APIF_Import!$I$1,Podesavanja!$AA$3:$AD$24, 4, 0), 0))</f>
        <v/>
      </c>
      <c r="J82" s="364" t="str">
        <f ca="1">IF( ISNA( VLOOKUP( APIF_Import!$M82 &amp; APIF_Import!$J$1,Podesavanja!$AA$3:$AD$24, 4, 0)), "", VLOOKUP( APIF_Import!$C82, INDIRECT( "Lookup_" &amp; APIF_Import!$M82), VLOOKUP( APIF_Import!$M82 &amp; APIF_Import!$J$1,Podesavanja!$AA$3:$AD$24, 4, 0), 0))</f>
        <v/>
      </c>
      <c r="K82" s="364" t="str">
        <f ca="1">IF( ISNA( VLOOKUP( APIF_Import!$M82 &amp; APIF_Import!$K$1,Podesavanja!$AA$3:$AD$24, 4, 0)), "", VLOOKUP( APIF_Import!$C82, INDIRECT( "Lookup_" &amp; APIF_Import!$M82), VLOOKUP( APIF_Import!$M82 &amp; APIF_Import!$K$1,Podesavanja!$AA$3:$AD$24, 4, 0), 0))</f>
        <v/>
      </c>
      <c r="L82" s="8">
        <v>83</v>
      </c>
      <c r="M82" s="8" t="s">
        <v>296</v>
      </c>
    </row>
    <row r="83" spans="2:13" x14ac:dyDescent="0.2">
      <c r="B83" s="8">
        <f>VLOOKUP( APIF_Import!$M83, Podesavanja!$N$3:$Q$9, 4, 0)</f>
        <v>2</v>
      </c>
      <c r="C83" s="363">
        <f>VLOOKUP( APIF_Import!$L83, Aop!$A$2:$N$415, 4, 0)</f>
        <v>116</v>
      </c>
      <c r="D83" s="364" t="str">
        <f ca="1">IF( ISNA( VLOOKUP( APIF_Import!$M83 &amp; APIF_Import!$D$1,Podesavanja!$AA$3:$AD$24, 4, 0)), "", SUBSTITUTE( VALUE( VLOOKUP( APIF_Import!$C83, INDIRECT( "Lookup_" &amp; APIF_Import!$M83), VLOOKUP( APIF_Import!$M83 &amp; APIF_Import!$D$1,Podesavanja!$AA$3:$AD$24, 4, 0), 0)), ".", ","))</f>
        <v>0</v>
      </c>
      <c r="E83" s="364" t="str">
        <f ca="1">IF( ISNA( VLOOKUP( APIF_Import!$M83 &amp; APIF_Import!$E$1,Podesavanja!$AA$3:$AD$24, 4, 0)), "", SUBSTITUTE( VALUE( VLOOKUP( APIF_Import!$C83, INDIRECT( "Lookup_" &amp; APIF_Import!$M83), VLOOKUP( APIF_Import!$M83 &amp; APIF_Import!$E$1,Podesavanja!$AA$3:$AD$24, 4, 0), 0)), ".", ","))</f>
        <v>0</v>
      </c>
      <c r="F83" s="364" t="str">
        <f ca="1">IF( ISNA( VLOOKUP( APIF_Import!$M83 &amp; APIF_Import!$F$1,Podesavanja!$AA$3:$AD$24, 4, 0)), "", VLOOKUP( APIF_Import!$C83, INDIRECT( "Lookup_" &amp; APIF_Import!$M83), VLOOKUP( APIF_Import!$M83 &amp; APIF_Import!$F$1,Podesavanja!$AA$3:$AD$24, 4, 0), 0))</f>
        <v/>
      </c>
      <c r="G83" s="364" t="str">
        <f ca="1">IF( ISNA( VLOOKUP( APIF_Import!$M83 &amp; APIF_Import!$G$1,Podesavanja!$AA$3:$AD$24, 4, 0)), "", VLOOKUP( APIF_Import!$C83, INDIRECT( "Lookup_" &amp; APIF_Import!$M83), VLOOKUP( APIF_Import!$M83 &amp; APIF_Import!$G$1,Podesavanja!$AA$3:$AD$24, 4, 0), 0))</f>
        <v/>
      </c>
      <c r="H83" s="364" t="str">
        <f ca="1">IF( ISNA( VLOOKUP( APIF_Import!$M83 &amp; APIF_Import!$H$1,Podesavanja!$AA$3:$AD$24, 4, 0)), "", VLOOKUP( APIF_Import!$C83, INDIRECT( "Lookup_" &amp; APIF_Import!$M83), VLOOKUP( APIF_Import!$M83 &amp; APIF_Import!$H$1,Podesavanja!$AA$3:$AD$24, 4, 0), 0))</f>
        <v/>
      </c>
      <c r="I83" s="364" t="str">
        <f ca="1">IF( ISNA( VLOOKUP( APIF_Import!$M83 &amp; APIF_Import!$I$1,Podesavanja!$AA$3:$AD$24, 4, 0)), "", VLOOKUP( APIF_Import!$C83, INDIRECT( "Lookup_" &amp; APIF_Import!$M83), VLOOKUP( APIF_Import!$M83 &amp; APIF_Import!$I$1,Podesavanja!$AA$3:$AD$24, 4, 0), 0))</f>
        <v/>
      </c>
      <c r="J83" s="364" t="str">
        <f ca="1">IF( ISNA( VLOOKUP( APIF_Import!$M83 &amp; APIF_Import!$J$1,Podesavanja!$AA$3:$AD$24, 4, 0)), "", VLOOKUP( APIF_Import!$C83, INDIRECT( "Lookup_" &amp; APIF_Import!$M83), VLOOKUP( APIF_Import!$M83 &amp; APIF_Import!$J$1,Podesavanja!$AA$3:$AD$24, 4, 0), 0))</f>
        <v/>
      </c>
      <c r="K83" s="364" t="str">
        <f ca="1">IF( ISNA( VLOOKUP( APIF_Import!$M83 &amp; APIF_Import!$K$1,Podesavanja!$AA$3:$AD$24, 4, 0)), "", VLOOKUP( APIF_Import!$C83, INDIRECT( "Lookup_" &amp; APIF_Import!$M83), VLOOKUP( APIF_Import!$M83 &amp; APIF_Import!$K$1,Podesavanja!$AA$3:$AD$24, 4, 0), 0))</f>
        <v/>
      </c>
      <c r="L83" s="8">
        <v>84</v>
      </c>
      <c r="M83" s="8" t="s">
        <v>296</v>
      </c>
    </row>
    <row r="84" spans="2:13" x14ac:dyDescent="0.2">
      <c r="B84" s="8">
        <f>VLOOKUP( APIF_Import!$M84, Podesavanja!$N$3:$Q$9, 4, 0)</f>
        <v>2</v>
      </c>
      <c r="C84" s="363">
        <f>VLOOKUP( APIF_Import!$L84, Aop!$A$2:$N$415, 4, 0)</f>
        <v>117</v>
      </c>
      <c r="D84" s="364" t="str">
        <f ca="1">IF( ISNA( VLOOKUP( APIF_Import!$M84 &amp; APIF_Import!$D$1,Podesavanja!$AA$3:$AD$24, 4, 0)), "", SUBSTITUTE( VALUE( VLOOKUP( APIF_Import!$C84, INDIRECT( "Lookup_" &amp; APIF_Import!$M84), VLOOKUP( APIF_Import!$M84 &amp; APIF_Import!$D$1,Podesavanja!$AA$3:$AD$24, 4, 0), 0)), ".", ","))</f>
        <v>0</v>
      </c>
      <c r="E84" s="364" t="str">
        <f ca="1">IF( ISNA( VLOOKUP( APIF_Import!$M84 &amp; APIF_Import!$E$1,Podesavanja!$AA$3:$AD$24, 4, 0)), "", SUBSTITUTE( VALUE( VLOOKUP( APIF_Import!$C84, INDIRECT( "Lookup_" &amp; APIF_Import!$M84), VLOOKUP( APIF_Import!$M84 &amp; APIF_Import!$E$1,Podesavanja!$AA$3:$AD$24, 4, 0), 0)), ".", ","))</f>
        <v>0</v>
      </c>
      <c r="F84" s="364" t="str">
        <f ca="1">IF( ISNA( VLOOKUP( APIF_Import!$M84 &amp; APIF_Import!$F$1,Podesavanja!$AA$3:$AD$24, 4, 0)), "", VLOOKUP( APIF_Import!$C84, INDIRECT( "Lookup_" &amp; APIF_Import!$M84), VLOOKUP( APIF_Import!$M84 &amp; APIF_Import!$F$1,Podesavanja!$AA$3:$AD$24, 4, 0), 0))</f>
        <v/>
      </c>
      <c r="G84" s="364" t="str">
        <f ca="1">IF( ISNA( VLOOKUP( APIF_Import!$M84 &amp; APIF_Import!$G$1,Podesavanja!$AA$3:$AD$24, 4, 0)), "", VLOOKUP( APIF_Import!$C84, INDIRECT( "Lookup_" &amp; APIF_Import!$M84), VLOOKUP( APIF_Import!$M84 &amp; APIF_Import!$G$1,Podesavanja!$AA$3:$AD$24, 4, 0), 0))</f>
        <v/>
      </c>
      <c r="H84" s="364" t="str">
        <f ca="1">IF( ISNA( VLOOKUP( APIF_Import!$M84 &amp; APIF_Import!$H$1,Podesavanja!$AA$3:$AD$24, 4, 0)), "", VLOOKUP( APIF_Import!$C84, INDIRECT( "Lookup_" &amp; APIF_Import!$M84), VLOOKUP( APIF_Import!$M84 &amp; APIF_Import!$H$1,Podesavanja!$AA$3:$AD$24, 4, 0), 0))</f>
        <v/>
      </c>
      <c r="I84" s="364" t="str">
        <f ca="1">IF( ISNA( VLOOKUP( APIF_Import!$M84 &amp; APIF_Import!$I$1,Podesavanja!$AA$3:$AD$24, 4, 0)), "", VLOOKUP( APIF_Import!$C84, INDIRECT( "Lookup_" &amp; APIF_Import!$M84), VLOOKUP( APIF_Import!$M84 &amp; APIF_Import!$I$1,Podesavanja!$AA$3:$AD$24, 4, 0), 0))</f>
        <v/>
      </c>
      <c r="J84" s="364" t="str">
        <f ca="1">IF( ISNA( VLOOKUP( APIF_Import!$M84 &amp; APIF_Import!$J$1,Podesavanja!$AA$3:$AD$24, 4, 0)), "", VLOOKUP( APIF_Import!$C84, INDIRECT( "Lookup_" &amp; APIF_Import!$M84), VLOOKUP( APIF_Import!$M84 &amp; APIF_Import!$J$1,Podesavanja!$AA$3:$AD$24, 4, 0), 0))</f>
        <v/>
      </c>
      <c r="K84" s="364" t="str">
        <f ca="1">IF( ISNA( VLOOKUP( APIF_Import!$M84 &amp; APIF_Import!$K$1,Podesavanja!$AA$3:$AD$24, 4, 0)), "", VLOOKUP( APIF_Import!$C84, INDIRECT( "Lookup_" &amp; APIF_Import!$M84), VLOOKUP( APIF_Import!$M84 &amp; APIF_Import!$K$1,Podesavanja!$AA$3:$AD$24, 4, 0), 0))</f>
        <v/>
      </c>
      <c r="L84" s="8">
        <v>85</v>
      </c>
      <c r="M84" s="8" t="s">
        <v>296</v>
      </c>
    </row>
    <row r="85" spans="2:13" x14ac:dyDescent="0.2">
      <c r="B85" s="8">
        <f>VLOOKUP( APIF_Import!$M85, Podesavanja!$N$3:$Q$9, 4, 0)</f>
        <v>2</v>
      </c>
      <c r="C85" s="363">
        <f>VLOOKUP( APIF_Import!$L85, Aop!$A$2:$N$415, 4, 0)</f>
        <v>118</v>
      </c>
      <c r="D85" s="364" t="str">
        <f ca="1">IF( ISNA( VLOOKUP( APIF_Import!$M85 &amp; APIF_Import!$D$1,Podesavanja!$AA$3:$AD$24, 4, 0)), "", SUBSTITUTE( VALUE( VLOOKUP( APIF_Import!$C85, INDIRECT( "Lookup_" &amp; APIF_Import!$M85), VLOOKUP( APIF_Import!$M85 &amp; APIF_Import!$D$1,Podesavanja!$AA$3:$AD$24, 4, 0), 0)), ".", ","))</f>
        <v>0</v>
      </c>
      <c r="E85" s="364" t="str">
        <f ca="1">IF( ISNA( VLOOKUP( APIF_Import!$M85 &amp; APIF_Import!$E$1,Podesavanja!$AA$3:$AD$24, 4, 0)), "", SUBSTITUTE( VALUE( VLOOKUP( APIF_Import!$C85, INDIRECT( "Lookup_" &amp; APIF_Import!$M85), VLOOKUP( APIF_Import!$M85 &amp; APIF_Import!$E$1,Podesavanja!$AA$3:$AD$24, 4, 0), 0)), ".", ","))</f>
        <v>0</v>
      </c>
      <c r="F85" s="364" t="str">
        <f ca="1">IF( ISNA( VLOOKUP( APIF_Import!$M85 &amp; APIF_Import!$F$1,Podesavanja!$AA$3:$AD$24, 4, 0)), "", VLOOKUP( APIF_Import!$C85, INDIRECT( "Lookup_" &amp; APIF_Import!$M85), VLOOKUP( APIF_Import!$M85 &amp; APIF_Import!$F$1,Podesavanja!$AA$3:$AD$24, 4, 0), 0))</f>
        <v/>
      </c>
      <c r="G85" s="364" t="str">
        <f ca="1">IF( ISNA( VLOOKUP( APIF_Import!$M85 &amp; APIF_Import!$G$1,Podesavanja!$AA$3:$AD$24, 4, 0)), "", VLOOKUP( APIF_Import!$C85, INDIRECT( "Lookup_" &amp; APIF_Import!$M85), VLOOKUP( APIF_Import!$M85 &amp; APIF_Import!$G$1,Podesavanja!$AA$3:$AD$24, 4, 0), 0))</f>
        <v/>
      </c>
      <c r="H85" s="364" t="str">
        <f ca="1">IF( ISNA( VLOOKUP( APIF_Import!$M85 &amp; APIF_Import!$H$1,Podesavanja!$AA$3:$AD$24, 4, 0)), "", VLOOKUP( APIF_Import!$C85, INDIRECT( "Lookup_" &amp; APIF_Import!$M85), VLOOKUP( APIF_Import!$M85 &amp; APIF_Import!$H$1,Podesavanja!$AA$3:$AD$24, 4, 0), 0))</f>
        <v/>
      </c>
      <c r="I85" s="364" t="str">
        <f ca="1">IF( ISNA( VLOOKUP( APIF_Import!$M85 &amp; APIF_Import!$I$1,Podesavanja!$AA$3:$AD$24, 4, 0)), "", VLOOKUP( APIF_Import!$C85, INDIRECT( "Lookup_" &amp; APIF_Import!$M85), VLOOKUP( APIF_Import!$M85 &amp; APIF_Import!$I$1,Podesavanja!$AA$3:$AD$24, 4, 0), 0))</f>
        <v/>
      </c>
      <c r="J85" s="364" t="str">
        <f ca="1">IF( ISNA( VLOOKUP( APIF_Import!$M85 &amp; APIF_Import!$J$1,Podesavanja!$AA$3:$AD$24, 4, 0)), "", VLOOKUP( APIF_Import!$C85, INDIRECT( "Lookup_" &amp; APIF_Import!$M85), VLOOKUP( APIF_Import!$M85 &amp; APIF_Import!$J$1,Podesavanja!$AA$3:$AD$24, 4, 0), 0))</f>
        <v/>
      </c>
      <c r="K85" s="364" t="str">
        <f ca="1">IF( ISNA( VLOOKUP( APIF_Import!$M85 &amp; APIF_Import!$K$1,Podesavanja!$AA$3:$AD$24, 4, 0)), "", VLOOKUP( APIF_Import!$C85, INDIRECT( "Lookup_" &amp; APIF_Import!$M85), VLOOKUP( APIF_Import!$M85 &amp; APIF_Import!$K$1,Podesavanja!$AA$3:$AD$24, 4, 0), 0))</f>
        <v/>
      </c>
      <c r="L85" s="8">
        <v>86</v>
      </c>
      <c r="M85" s="8" t="s">
        <v>296</v>
      </c>
    </row>
    <row r="86" spans="2:13" x14ac:dyDescent="0.2">
      <c r="B86" s="8">
        <f>VLOOKUP( APIF_Import!$M86, Podesavanja!$N$3:$Q$9, 4, 0)</f>
        <v>2</v>
      </c>
      <c r="C86" s="363">
        <f>VLOOKUP( APIF_Import!$L86, Aop!$A$2:$N$415, 4, 0)</f>
        <v>119</v>
      </c>
      <c r="D86" s="364" t="str">
        <f ca="1">IF( ISNA( VLOOKUP( APIF_Import!$M86 &amp; APIF_Import!$D$1,Podesavanja!$AA$3:$AD$24, 4, 0)), "", SUBSTITUTE( VALUE( VLOOKUP( APIF_Import!$C86, INDIRECT( "Lookup_" &amp; APIF_Import!$M86), VLOOKUP( APIF_Import!$M86 &amp; APIF_Import!$D$1,Podesavanja!$AA$3:$AD$24, 4, 0), 0)), ".", ","))</f>
        <v>611566</v>
      </c>
      <c r="E86" s="364" t="str">
        <f ca="1">IF( ISNA( VLOOKUP( APIF_Import!$M86 &amp; APIF_Import!$E$1,Podesavanja!$AA$3:$AD$24, 4, 0)), "", SUBSTITUTE( VALUE( VLOOKUP( APIF_Import!$C86, INDIRECT( "Lookup_" &amp; APIF_Import!$M86), VLOOKUP( APIF_Import!$M86 &amp; APIF_Import!$E$1,Podesavanja!$AA$3:$AD$24, 4, 0), 0)), ".", ","))</f>
        <v>172596</v>
      </c>
      <c r="F86" s="364" t="str">
        <f ca="1">IF( ISNA( VLOOKUP( APIF_Import!$M86 &amp; APIF_Import!$F$1,Podesavanja!$AA$3:$AD$24, 4, 0)), "", VLOOKUP( APIF_Import!$C86, INDIRECT( "Lookup_" &amp; APIF_Import!$M86), VLOOKUP( APIF_Import!$M86 &amp; APIF_Import!$F$1,Podesavanja!$AA$3:$AD$24, 4, 0), 0))</f>
        <v/>
      </c>
      <c r="G86" s="364" t="str">
        <f ca="1">IF( ISNA( VLOOKUP( APIF_Import!$M86 &amp; APIF_Import!$G$1,Podesavanja!$AA$3:$AD$24, 4, 0)), "", VLOOKUP( APIF_Import!$C86, INDIRECT( "Lookup_" &amp; APIF_Import!$M86), VLOOKUP( APIF_Import!$M86 &amp; APIF_Import!$G$1,Podesavanja!$AA$3:$AD$24, 4, 0), 0))</f>
        <v/>
      </c>
      <c r="H86" s="364" t="str">
        <f ca="1">IF( ISNA( VLOOKUP( APIF_Import!$M86 &amp; APIF_Import!$H$1,Podesavanja!$AA$3:$AD$24, 4, 0)), "", VLOOKUP( APIF_Import!$C86, INDIRECT( "Lookup_" &amp; APIF_Import!$M86), VLOOKUP( APIF_Import!$M86 &amp; APIF_Import!$H$1,Podesavanja!$AA$3:$AD$24, 4, 0), 0))</f>
        <v/>
      </c>
      <c r="I86" s="364" t="str">
        <f ca="1">IF( ISNA( VLOOKUP( APIF_Import!$M86 &amp; APIF_Import!$I$1,Podesavanja!$AA$3:$AD$24, 4, 0)), "", VLOOKUP( APIF_Import!$C86, INDIRECT( "Lookup_" &amp; APIF_Import!$M86), VLOOKUP( APIF_Import!$M86 &amp; APIF_Import!$I$1,Podesavanja!$AA$3:$AD$24, 4, 0), 0))</f>
        <v/>
      </c>
      <c r="J86" s="364" t="str">
        <f ca="1">IF( ISNA( VLOOKUP( APIF_Import!$M86 &amp; APIF_Import!$J$1,Podesavanja!$AA$3:$AD$24, 4, 0)), "", VLOOKUP( APIF_Import!$C86, INDIRECT( "Lookup_" &amp; APIF_Import!$M86), VLOOKUP( APIF_Import!$M86 &amp; APIF_Import!$J$1,Podesavanja!$AA$3:$AD$24, 4, 0), 0))</f>
        <v/>
      </c>
      <c r="K86" s="364" t="str">
        <f ca="1">IF( ISNA( VLOOKUP( APIF_Import!$M86 &amp; APIF_Import!$K$1,Podesavanja!$AA$3:$AD$24, 4, 0)), "", VLOOKUP( APIF_Import!$C86, INDIRECT( "Lookup_" &amp; APIF_Import!$M86), VLOOKUP( APIF_Import!$M86 &amp; APIF_Import!$K$1,Podesavanja!$AA$3:$AD$24, 4, 0), 0))</f>
        <v/>
      </c>
      <c r="L86" s="8">
        <v>87</v>
      </c>
      <c r="M86" s="8" t="s">
        <v>296</v>
      </c>
    </row>
    <row r="87" spans="2:13" x14ac:dyDescent="0.2">
      <c r="B87" s="8">
        <f>VLOOKUP( APIF_Import!$M87, Podesavanja!$N$3:$Q$9, 4, 0)</f>
        <v>2</v>
      </c>
      <c r="C87" s="363">
        <f>VLOOKUP( APIF_Import!$L87, Aop!$A$2:$N$415, 4, 0)</f>
        <v>120</v>
      </c>
      <c r="D87" s="364" t="str">
        <f ca="1">IF( ISNA( VLOOKUP( APIF_Import!$M87 &amp; APIF_Import!$D$1,Podesavanja!$AA$3:$AD$24, 4, 0)), "", SUBSTITUTE( VALUE( VLOOKUP( APIF_Import!$C87, INDIRECT( "Lookup_" &amp; APIF_Import!$M87), VLOOKUP( APIF_Import!$M87 &amp; APIF_Import!$D$1,Podesavanja!$AA$3:$AD$24, 4, 0), 0)), ".", ","))</f>
        <v>130101</v>
      </c>
      <c r="E87" s="364" t="str">
        <f ca="1">IF( ISNA( VLOOKUP( APIF_Import!$M87 &amp; APIF_Import!$E$1,Podesavanja!$AA$3:$AD$24, 4, 0)), "", SUBSTITUTE( VALUE( VLOOKUP( APIF_Import!$C87, INDIRECT( "Lookup_" &amp; APIF_Import!$M87), VLOOKUP( APIF_Import!$M87 &amp; APIF_Import!$E$1,Podesavanja!$AA$3:$AD$24, 4, 0), 0)), ".", ","))</f>
        <v>165306</v>
      </c>
      <c r="F87" s="364" t="str">
        <f ca="1">IF( ISNA( VLOOKUP( APIF_Import!$M87 &amp; APIF_Import!$F$1,Podesavanja!$AA$3:$AD$24, 4, 0)), "", VLOOKUP( APIF_Import!$C87, INDIRECT( "Lookup_" &amp; APIF_Import!$M87), VLOOKUP( APIF_Import!$M87 &amp; APIF_Import!$F$1,Podesavanja!$AA$3:$AD$24, 4, 0), 0))</f>
        <v/>
      </c>
      <c r="G87" s="364" t="str">
        <f ca="1">IF( ISNA( VLOOKUP( APIF_Import!$M87 &amp; APIF_Import!$G$1,Podesavanja!$AA$3:$AD$24, 4, 0)), "", VLOOKUP( APIF_Import!$C87, INDIRECT( "Lookup_" &amp; APIF_Import!$M87), VLOOKUP( APIF_Import!$M87 &amp; APIF_Import!$G$1,Podesavanja!$AA$3:$AD$24, 4, 0), 0))</f>
        <v/>
      </c>
      <c r="H87" s="364" t="str">
        <f ca="1">IF( ISNA( VLOOKUP( APIF_Import!$M87 &amp; APIF_Import!$H$1,Podesavanja!$AA$3:$AD$24, 4, 0)), "", VLOOKUP( APIF_Import!$C87, INDIRECT( "Lookup_" &amp; APIF_Import!$M87), VLOOKUP( APIF_Import!$M87 &amp; APIF_Import!$H$1,Podesavanja!$AA$3:$AD$24, 4, 0), 0))</f>
        <v/>
      </c>
      <c r="I87" s="364" t="str">
        <f ca="1">IF( ISNA( VLOOKUP( APIF_Import!$M87 &amp; APIF_Import!$I$1,Podesavanja!$AA$3:$AD$24, 4, 0)), "", VLOOKUP( APIF_Import!$C87, INDIRECT( "Lookup_" &amp; APIF_Import!$M87), VLOOKUP( APIF_Import!$M87 &amp; APIF_Import!$I$1,Podesavanja!$AA$3:$AD$24, 4, 0), 0))</f>
        <v/>
      </c>
      <c r="J87" s="364" t="str">
        <f ca="1">IF( ISNA( VLOOKUP( APIF_Import!$M87 &amp; APIF_Import!$J$1,Podesavanja!$AA$3:$AD$24, 4, 0)), "", VLOOKUP( APIF_Import!$C87, INDIRECT( "Lookup_" &amp; APIF_Import!$M87), VLOOKUP( APIF_Import!$M87 &amp; APIF_Import!$J$1,Podesavanja!$AA$3:$AD$24, 4, 0), 0))</f>
        <v/>
      </c>
      <c r="K87" s="364" t="str">
        <f ca="1">IF( ISNA( VLOOKUP( APIF_Import!$M87 &amp; APIF_Import!$K$1,Podesavanja!$AA$3:$AD$24, 4, 0)), "", VLOOKUP( APIF_Import!$C87, INDIRECT( "Lookup_" &amp; APIF_Import!$M87), VLOOKUP( APIF_Import!$M87 &amp; APIF_Import!$K$1,Podesavanja!$AA$3:$AD$24, 4, 0), 0))</f>
        <v/>
      </c>
      <c r="L87" s="8">
        <v>88</v>
      </c>
      <c r="M87" s="8" t="s">
        <v>296</v>
      </c>
    </row>
    <row r="88" spans="2:13" x14ac:dyDescent="0.2">
      <c r="B88" s="8">
        <f>VLOOKUP( APIF_Import!$M88, Podesavanja!$N$3:$Q$9, 4, 0)</f>
        <v>2</v>
      </c>
      <c r="C88" s="363">
        <f>VLOOKUP( APIF_Import!$L88, Aop!$A$2:$N$415, 4, 0)</f>
        <v>121</v>
      </c>
      <c r="D88" s="364" t="str">
        <f ca="1">IF( ISNA( VLOOKUP( APIF_Import!$M88 &amp; APIF_Import!$D$1,Podesavanja!$AA$3:$AD$24, 4, 0)), "", SUBSTITUTE( VALUE( VLOOKUP( APIF_Import!$C88, INDIRECT( "Lookup_" &amp; APIF_Import!$M88), VLOOKUP( APIF_Import!$M88 &amp; APIF_Import!$D$1,Podesavanja!$AA$3:$AD$24, 4, 0), 0)), ".", ","))</f>
        <v>481465</v>
      </c>
      <c r="E88" s="364" t="str">
        <f ca="1">IF( ISNA( VLOOKUP( APIF_Import!$M88 &amp; APIF_Import!$E$1,Podesavanja!$AA$3:$AD$24, 4, 0)), "", SUBSTITUTE( VALUE( VLOOKUP( APIF_Import!$C88, INDIRECT( "Lookup_" &amp; APIF_Import!$M88), VLOOKUP( APIF_Import!$M88 &amp; APIF_Import!$E$1,Podesavanja!$AA$3:$AD$24, 4, 0), 0)), ".", ","))</f>
        <v>7290</v>
      </c>
      <c r="F88" s="364" t="str">
        <f ca="1">IF( ISNA( VLOOKUP( APIF_Import!$M88 &amp; APIF_Import!$F$1,Podesavanja!$AA$3:$AD$24, 4, 0)), "", VLOOKUP( APIF_Import!$C88, INDIRECT( "Lookup_" &amp; APIF_Import!$M88), VLOOKUP( APIF_Import!$M88 &amp; APIF_Import!$F$1,Podesavanja!$AA$3:$AD$24, 4, 0), 0))</f>
        <v/>
      </c>
      <c r="G88" s="364" t="str">
        <f ca="1">IF( ISNA( VLOOKUP( APIF_Import!$M88 &amp; APIF_Import!$G$1,Podesavanja!$AA$3:$AD$24, 4, 0)), "", VLOOKUP( APIF_Import!$C88, INDIRECT( "Lookup_" &amp; APIF_Import!$M88), VLOOKUP( APIF_Import!$M88 &amp; APIF_Import!$G$1,Podesavanja!$AA$3:$AD$24, 4, 0), 0))</f>
        <v/>
      </c>
      <c r="H88" s="364" t="str">
        <f ca="1">IF( ISNA( VLOOKUP( APIF_Import!$M88 &amp; APIF_Import!$H$1,Podesavanja!$AA$3:$AD$24, 4, 0)), "", VLOOKUP( APIF_Import!$C88, INDIRECT( "Lookup_" &amp; APIF_Import!$M88), VLOOKUP( APIF_Import!$M88 &amp; APIF_Import!$H$1,Podesavanja!$AA$3:$AD$24, 4, 0), 0))</f>
        <v/>
      </c>
      <c r="I88" s="364" t="str">
        <f ca="1">IF( ISNA( VLOOKUP( APIF_Import!$M88 &amp; APIF_Import!$I$1,Podesavanja!$AA$3:$AD$24, 4, 0)), "", VLOOKUP( APIF_Import!$C88, INDIRECT( "Lookup_" &amp; APIF_Import!$M88), VLOOKUP( APIF_Import!$M88 &amp; APIF_Import!$I$1,Podesavanja!$AA$3:$AD$24, 4, 0), 0))</f>
        <v/>
      </c>
      <c r="J88" s="364" t="str">
        <f ca="1">IF( ISNA( VLOOKUP( APIF_Import!$M88 &amp; APIF_Import!$J$1,Podesavanja!$AA$3:$AD$24, 4, 0)), "", VLOOKUP( APIF_Import!$C88, INDIRECT( "Lookup_" &amp; APIF_Import!$M88), VLOOKUP( APIF_Import!$M88 &amp; APIF_Import!$J$1,Podesavanja!$AA$3:$AD$24, 4, 0), 0))</f>
        <v/>
      </c>
      <c r="K88" s="364" t="str">
        <f ca="1">IF( ISNA( VLOOKUP( APIF_Import!$M88 &amp; APIF_Import!$K$1,Podesavanja!$AA$3:$AD$24, 4, 0)), "", VLOOKUP( APIF_Import!$C88, INDIRECT( "Lookup_" &amp; APIF_Import!$M88), VLOOKUP( APIF_Import!$M88 &amp; APIF_Import!$K$1,Podesavanja!$AA$3:$AD$24, 4, 0), 0))</f>
        <v/>
      </c>
      <c r="L88" s="8">
        <v>89</v>
      </c>
      <c r="M88" s="8" t="s">
        <v>296</v>
      </c>
    </row>
    <row r="89" spans="2:13" x14ac:dyDescent="0.2">
      <c r="B89" s="8">
        <f>VLOOKUP( APIF_Import!$M89, Podesavanja!$N$3:$Q$9, 4, 0)</f>
        <v>2</v>
      </c>
      <c r="C89" s="363">
        <f>VLOOKUP( APIF_Import!$L89, Aop!$A$2:$N$415, 4, 0)</f>
        <v>122</v>
      </c>
      <c r="D89" s="364" t="str">
        <f ca="1">IF( ISNA( VLOOKUP( APIF_Import!$M89 &amp; APIF_Import!$D$1,Podesavanja!$AA$3:$AD$24, 4, 0)), "", SUBSTITUTE( VALUE( VLOOKUP( APIF_Import!$C89, INDIRECT( "Lookup_" &amp; APIF_Import!$M89), VLOOKUP( APIF_Import!$M89 &amp; APIF_Import!$D$1,Podesavanja!$AA$3:$AD$24, 4, 0), 0)), ".", ","))</f>
        <v>0</v>
      </c>
      <c r="E89" s="364" t="str">
        <f ca="1">IF( ISNA( VLOOKUP( APIF_Import!$M89 &amp; APIF_Import!$E$1,Podesavanja!$AA$3:$AD$24, 4, 0)), "", SUBSTITUTE( VALUE( VLOOKUP( APIF_Import!$C89, INDIRECT( "Lookup_" &amp; APIF_Import!$M89), VLOOKUP( APIF_Import!$M89 &amp; APIF_Import!$E$1,Podesavanja!$AA$3:$AD$24, 4, 0), 0)), ".", ","))</f>
        <v>0</v>
      </c>
      <c r="F89" s="364" t="str">
        <f ca="1">IF( ISNA( VLOOKUP( APIF_Import!$M89 &amp; APIF_Import!$F$1,Podesavanja!$AA$3:$AD$24, 4, 0)), "", VLOOKUP( APIF_Import!$C89, INDIRECT( "Lookup_" &amp; APIF_Import!$M89), VLOOKUP( APIF_Import!$M89 &amp; APIF_Import!$F$1,Podesavanja!$AA$3:$AD$24, 4, 0), 0))</f>
        <v/>
      </c>
      <c r="G89" s="364" t="str">
        <f ca="1">IF( ISNA( VLOOKUP( APIF_Import!$M89 &amp; APIF_Import!$G$1,Podesavanja!$AA$3:$AD$24, 4, 0)), "", VLOOKUP( APIF_Import!$C89, INDIRECT( "Lookup_" &amp; APIF_Import!$M89), VLOOKUP( APIF_Import!$M89 &amp; APIF_Import!$G$1,Podesavanja!$AA$3:$AD$24, 4, 0), 0))</f>
        <v/>
      </c>
      <c r="H89" s="364" t="str">
        <f ca="1">IF( ISNA( VLOOKUP( APIF_Import!$M89 &amp; APIF_Import!$H$1,Podesavanja!$AA$3:$AD$24, 4, 0)), "", VLOOKUP( APIF_Import!$C89, INDIRECT( "Lookup_" &amp; APIF_Import!$M89), VLOOKUP( APIF_Import!$M89 &amp; APIF_Import!$H$1,Podesavanja!$AA$3:$AD$24, 4, 0), 0))</f>
        <v/>
      </c>
      <c r="I89" s="364" t="str">
        <f ca="1">IF( ISNA( VLOOKUP( APIF_Import!$M89 &amp; APIF_Import!$I$1,Podesavanja!$AA$3:$AD$24, 4, 0)), "", VLOOKUP( APIF_Import!$C89, INDIRECT( "Lookup_" &amp; APIF_Import!$M89), VLOOKUP( APIF_Import!$M89 &amp; APIF_Import!$I$1,Podesavanja!$AA$3:$AD$24, 4, 0), 0))</f>
        <v/>
      </c>
      <c r="J89" s="364" t="str">
        <f ca="1">IF( ISNA( VLOOKUP( APIF_Import!$M89 &amp; APIF_Import!$J$1,Podesavanja!$AA$3:$AD$24, 4, 0)), "", VLOOKUP( APIF_Import!$C89, INDIRECT( "Lookup_" &amp; APIF_Import!$M89), VLOOKUP( APIF_Import!$M89 &amp; APIF_Import!$J$1,Podesavanja!$AA$3:$AD$24, 4, 0), 0))</f>
        <v/>
      </c>
      <c r="K89" s="364" t="str">
        <f ca="1">IF( ISNA( VLOOKUP( APIF_Import!$M89 &amp; APIF_Import!$K$1,Podesavanja!$AA$3:$AD$24, 4, 0)), "", VLOOKUP( APIF_Import!$C89, INDIRECT( "Lookup_" &amp; APIF_Import!$M89), VLOOKUP( APIF_Import!$M89 &amp; APIF_Import!$K$1,Podesavanja!$AA$3:$AD$24, 4, 0), 0))</f>
        <v/>
      </c>
      <c r="L89" s="8">
        <v>90</v>
      </c>
      <c r="M89" s="8" t="s">
        <v>296</v>
      </c>
    </row>
    <row r="90" spans="2:13" x14ac:dyDescent="0.2">
      <c r="B90" s="8">
        <f>VLOOKUP( APIF_Import!$M90, Podesavanja!$N$3:$Q$9, 4, 0)</f>
        <v>2</v>
      </c>
      <c r="C90" s="363">
        <f>VLOOKUP( APIF_Import!$L90, Aop!$A$2:$N$415, 4, 0)</f>
        <v>123</v>
      </c>
      <c r="D90" s="364" t="str">
        <f ca="1">IF( ISNA( VLOOKUP( APIF_Import!$M90 &amp; APIF_Import!$D$1,Podesavanja!$AA$3:$AD$24, 4, 0)), "", SUBSTITUTE( VALUE( VLOOKUP( APIF_Import!$C90, INDIRECT( "Lookup_" &amp; APIF_Import!$M90), VLOOKUP( APIF_Import!$M90 &amp; APIF_Import!$D$1,Podesavanja!$AA$3:$AD$24, 4, 0), 0)), ".", ","))</f>
        <v>0</v>
      </c>
      <c r="E90" s="364" t="str">
        <f ca="1">IF( ISNA( VLOOKUP( APIF_Import!$M90 &amp; APIF_Import!$E$1,Podesavanja!$AA$3:$AD$24, 4, 0)), "", SUBSTITUTE( VALUE( VLOOKUP( APIF_Import!$C90, INDIRECT( "Lookup_" &amp; APIF_Import!$M90), VLOOKUP( APIF_Import!$M90 &amp; APIF_Import!$E$1,Podesavanja!$AA$3:$AD$24, 4, 0), 0)), ".", ","))</f>
        <v>0</v>
      </c>
      <c r="F90" s="364" t="str">
        <f ca="1">IF( ISNA( VLOOKUP( APIF_Import!$M90 &amp; APIF_Import!$F$1,Podesavanja!$AA$3:$AD$24, 4, 0)), "", VLOOKUP( APIF_Import!$C90, INDIRECT( "Lookup_" &amp; APIF_Import!$M90), VLOOKUP( APIF_Import!$M90 &amp; APIF_Import!$F$1,Podesavanja!$AA$3:$AD$24, 4, 0), 0))</f>
        <v/>
      </c>
      <c r="G90" s="364" t="str">
        <f ca="1">IF( ISNA( VLOOKUP( APIF_Import!$M90 &amp; APIF_Import!$G$1,Podesavanja!$AA$3:$AD$24, 4, 0)), "", VLOOKUP( APIF_Import!$C90, INDIRECT( "Lookup_" &amp; APIF_Import!$M90), VLOOKUP( APIF_Import!$M90 &amp; APIF_Import!$G$1,Podesavanja!$AA$3:$AD$24, 4, 0), 0))</f>
        <v/>
      </c>
      <c r="H90" s="364" t="str">
        <f ca="1">IF( ISNA( VLOOKUP( APIF_Import!$M90 &amp; APIF_Import!$H$1,Podesavanja!$AA$3:$AD$24, 4, 0)), "", VLOOKUP( APIF_Import!$C90, INDIRECT( "Lookup_" &amp; APIF_Import!$M90), VLOOKUP( APIF_Import!$M90 &amp; APIF_Import!$H$1,Podesavanja!$AA$3:$AD$24, 4, 0), 0))</f>
        <v/>
      </c>
      <c r="I90" s="364" t="str">
        <f ca="1">IF( ISNA( VLOOKUP( APIF_Import!$M90 &amp; APIF_Import!$I$1,Podesavanja!$AA$3:$AD$24, 4, 0)), "", VLOOKUP( APIF_Import!$C90, INDIRECT( "Lookup_" &amp; APIF_Import!$M90), VLOOKUP( APIF_Import!$M90 &amp; APIF_Import!$I$1,Podesavanja!$AA$3:$AD$24, 4, 0), 0))</f>
        <v/>
      </c>
      <c r="J90" s="364" t="str">
        <f ca="1">IF( ISNA( VLOOKUP( APIF_Import!$M90 &amp; APIF_Import!$J$1,Podesavanja!$AA$3:$AD$24, 4, 0)), "", VLOOKUP( APIF_Import!$C90, INDIRECT( "Lookup_" &amp; APIF_Import!$M90), VLOOKUP( APIF_Import!$M90 &amp; APIF_Import!$J$1,Podesavanja!$AA$3:$AD$24, 4, 0), 0))</f>
        <v/>
      </c>
      <c r="K90" s="364" t="str">
        <f ca="1">IF( ISNA( VLOOKUP( APIF_Import!$M90 &amp; APIF_Import!$K$1,Podesavanja!$AA$3:$AD$24, 4, 0)), "", VLOOKUP( APIF_Import!$C90, INDIRECT( "Lookup_" &amp; APIF_Import!$M90), VLOOKUP( APIF_Import!$M90 &amp; APIF_Import!$K$1,Podesavanja!$AA$3:$AD$24, 4, 0), 0))</f>
        <v/>
      </c>
      <c r="L90" s="8">
        <v>91</v>
      </c>
      <c r="M90" s="8" t="s">
        <v>296</v>
      </c>
    </row>
    <row r="91" spans="2:13" x14ac:dyDescent="0.2">
      <c r="B91" s="8">
        <f>VLOOKUP( APIF_Import!$M91, Podesavanja!$N$3:$Q$9, 4, 0)</f>
        <v>2</v>
      </c>
      <c r="C91" s="363">
        <f>VLOOKUP( APIF_Import!$L91, Aop!$A$2:$N$415, 4, 0)</f>
        <v>124</v>
      </c>
      <c r="D91" s="364" t="str">
        <f ca="1">IF( ISNA( VLOOKUP( APIF_Import!$M91 &amp; APIF_Import!$D$1,Podesavanja!$AA$3:$AD$24, 4, 0)), "", SUBSTITUTE( VALUE( VLOOKUP( APIF_Import!$C91, INDIRECT( "Lookup_" &amp; APIF_Import!$M91), VLOOKUP( APIF_Import!$M91 &amp; APIF_Import!$D$1,Podesavanja!$AA$3:$AD$24, 4, 0), 0)), ".", ","))</f>
        <v>0</v>
      </c>
      <c r="E91" s="364" t="str">
        <f ca="1">IF( ISNA( VLOOKUP( APIF_Import!$M91 &amp; APIF_Import!$E$1,Podesavanja!$AA$3:$AD$24, 4, 0)), "", SUBSTITUTE( VALUE( VLOOKUP( APIF_Import!$C91, INDIRECT( "Lookup_" &amp; APIF_Import!$M91), VLOOKUP( APIF_Import!$M91 &amp; APIF_Import!$E$1,Podesavanja!$AA$3:$AD$24, 4, 0), 0)), ".", ","))</f>
        <v>0</v>
      </c>
      <c r="F91" s="364" t="str">
        <f ca="1">IF( ISNA( VLOOKUP( APIF_Import!$M91 &amp; APIF_Import!$F$1,Podesavanja!$AA$3:$AD$24, 4, 0)), "", VLOOKUP( APIF_Import!$C91, INDIRECT( "Lookup_" &amp; APIF_Import!$M91), VLOOKUP( APIF_Import!$M91 &amp; APIF_Import!$F$1,Podesavanja!$AA$3:$AD$24, 4, 0), 0))</f>
        <v/>
      </c>
      <c r="G91" s="364" t="str">
        <f ca="1">IF( ISNA( VLOOKUP( APIF_Import!$M91 &amp; APIF_Import!$G$1,Podesavanja!$AA$3:$AD$24, 4, 0)), "", VLOOKUP( APIF_Import!$C91, INDIRECT( "Lookup_" &amp; APIF_Import!$M91), VLOOKUP( APIF_Import!$M91 &amp; APIF_Import!$G$1,Podesavanja!$AA$3:$AD$24, 4, 0), 0))</f>
        <v/>
      </c>
      <c r="H91" s="364" t="str">
        <f ca="1">IF( ISNA( VLOOKUP( APIF_Import!$M91 &amp; APIF_Import!$H$1,Podesavanja!$AA$3:$AD$24, 4, 0)), "", VLOOKUP( APIF_Import!$C91, INDIRECT( "Lookup_" &amp; APIF_Import!$M91), VLOOKUP( APIF_Import!$M91 &amp; APIF_Import!$H$1,Podesavanja!$AA$3:$AD$24, 4, 0), 0))</f>
        <v/>
      </c>
      <c r="I91" s="364" t="str">
        <f ca="1">IF( ISNA( VLOOKUP( APIF_Import!$M91 &amp; APIF_Import!$I$1,Podesavanja!$AA$3:$AD$24, 4, 0)), "", VLOOKUP( APIF_Import!$C91, INDIRECT( "Lookup_" &amp; APIF_Import!$M91), VLOOKUP( APIF_Import!$M91 &amp; APIF_Import!$I$1,Podesavanja!$AA$3:$AD$24, 4, 0), 0))</f>
        <v/>
      </c>
      <c r="J91" s="364" t="str">
        <f ca="1">IF( ISNA( VLOOKUP( APIF_Import!$M91 &amp; APIF_Import!$J$1,Podesavanja!$AA$3:$AD$24, 4, 0)), "", VLOOKUP( APIF_Import!$C91, INDIRECT( "Lookup_" &amp; APIF_Import!$M91), VLOOKUP( APIF_Import!$M91 &amp; APIF_Import!$J$1,Podesavanja!$AA$3:$AD$24, 4, 0), 0))</f>
        <v/>
      </c>
      <c r="K91" s="364" t="str">
        <f ca="1">IF( ISNA( VLOOKUP( APIF_Import!$M91 &amp; APIF_Import!$K$1,Podesavanja!$AA$3:$AD$24, 4, 0)), "", VLOOKUP( APIF_Import!$C91, INDIRECT( "Lookup_" &amp; APIF_Import!$M91), VLOOKUP( APIF_Import!$M91 &amp; APIF_Import!$K$1,Podesavanja!$AA$3:$AD$24, 4, 0), 0))</f>
        <v/>
      </c>
      <c r="L91" s="8">
        <v>92</v>
      </c>
      <c r="M91" s="8" t="s">
        <v>296</v>
      </c>
    </row>
    <row r="92" spans="2:13" x14ac:dyDescent="0.2">
      <c r="B92" s="8">
        <f>VLOOKUP( APIF_Import!$M92, Podesavanja!$N$3:$Q$9, 4, 0)</f>
        <v>2</v>
      </c>
      <c r="C92" s="363">
        <f>VLOOKUP( APIF_Import!$L92, Aop!$A$2:$N$415, 4, 0)</f>
        <v>125</v>
      </c>
      <c r="D92" s="364" t="str">
        <f ca="1">IF( ISNA( VLOOKUP( APIF_Import!$M92 &amp; APIF_Import!$D$1,Podesavanja!$AA$3:$AD$24, 4, 0)), "", SUBSTITUTE( VALUE( VLOOKUP( APIF_Import!$C92, INDIRECT( "Lookup_" &amp; APIF_Import!$M92), VLOOKUP( APIF_Import!$M92 &amp; APIF_Import!$D$1,Podesavanja!$AA$3:$AD$24, 4, 0), 0)), ".", ","))</f>
        <v>0</v>
      </c>
      <c r="E92" s="364" t="str">
        <f ca="1">IF( ISNA( VLOOKUP( APIF_Import!$M92 &amp; APIF_Import!$E$1,Podesavanja!$AA$3:$AD$24, 4, 0)), "", SUBSTITUTE( VALUE( VLOOKUP( APIF_Import!$C92, INDIRECT( "Lookup_" &amp; APIF_Import!$M92), VLOOKUP( APIF_Import!$M92 &amp; APIF_Import!$E$1,Podesavanja!$AA$3:$AD$24, 4, 0), 0)), ".", ","))</f>
        <v>0</v>
      </c>
      <c r="F92" s="364" t="str">
        <f ca="1">IF( ISNA( VLOOKUP( APIF_Import!$M92 &amp; APIF_Import!$F$1,Podesavanja!$AA$3:$AD$24, 4, 0)), "", VLOOKUP( APIF_Import!$C92, INDIRECT( "Lookup_" &amp; APIF_Import!$M92), VLOOKUP( APIF_Import!$M92 &amp; APIF_Import!$F$1,Podesavanja!$AA$3:$AD$24, 4, 0), 0))</f>
        <v/>
      </c>
      <c r="G92" s="364" t="str">
        <f ca="1">IF( ISNA( VLOOKUP( APIF_Import!$M92 &amp; APIF_Import!$G$1,Podesavanja!$AA$3:$AD$24, 4, 0)), "", VLOOKUP( APIF_Import!$C92, INDIRECT( "Lookup_" &amp; APIF_Import!$M92), VLOOKUP( APIF_Import!$M92 &amp; APIF_Import!$G$1,Podesavanja!$AA$3:$AD$24, 4, 0), 0))</f>
        <v/>
      </c>
      <c r="H92" s="364" t="str">
        <f ca="1">IF( ISNA( VLOOKUP( APIF_Import!$M92 &amp; APIF_Import!$H$1,Podesavanja!$AA$3:$AD$24, 4, 0)), "", VLOOKUP( APIF_Import!$C92, INDIRECT( "Lookup_" &amp; APIF_Import!$M92), VLOOKUP( APIF_Import!$M92 &amp; APIF_Import!$H$1,Podesavanja!$AA$3:$AD$24, 4, 0), 0))</f>
        <v/>
      </c>
      <c r="I92" s="364" t="str">
        <f ca="1">IF( ISNA( VLOOKUP( APIF_Import!$M92 &amp; APIF_Import!$I$1,Podesavanja!$AA$3:$AD$24, 4, 0)), "", VLOOKUP( APIF_Import!$C92, INDIRECT( "Lookup_" &amp; APIF_Import!$M92), VLOOKUP( APIF_Import!$M92 &amp; APIF_Import!$I$1,Podesavanja!$AA$3:$AD$24, 4, 0), 0))</f>
        <v/>
      </c>
      <c r="J92" s="364" t="str">
        <f ca="1">IF( ISNA( VLOOKUP( APIF_Import!$M92 &amp; APIF_Import!$J$1,Podesavanja!$AA$3:$AD$24, 4, 0)), "", VLOOKUP( APIF_Import!$C92, INDIRECT( "Lookup_" &amp; APIF_Import!$M92), VLOOKUP( APIF_Import!$M92 &amp; APIF_Import!$J$1,Podesavanja!$AA$3:$AD$24, 4, 0), 0))</f>
        <v/>
      </c>
      <c r="K92" s="364" t="str">
        <f ca="1">IF( ISNA( VLOOKUP( APIF_Import!$M92 &amp; APIF_Import!$K$1,Podesavanja!$AA$3:$AD$24, 4, 0)), "", VLOOKUP( APIF_Import!$C92, INDIRECT( "Lookup_" &amp; APIF_Import!$M92), VLOOKUP( APIF_Import!$M92 &amp; APIF_Import!$K$1,Podesavanja!$AA$3:$AD$24, 4, 0), 0))</f>
        <v/>
      </c>
      <c r="L92" s="8">
        <v>93</v>
      </c>
      <c r="M92" s="8" t="s">
        <v>296</v>
      </c>
    </row>
    <row r="93" spans="2:13" x14ac:dyDescent="0.2">
      <c r="B93" s="8">
        <f>VLOOKUP( APIF_Import!$M93, Podesavanja!$N$3:$Q$9, 4, 0)</f>
        <v>2</v>
      </c>
      <c r="C93" s="363">
        <f>VLOOKUP( APIF_Import!$L93, Aop!$A$2:$N$415, 4, 0)</f>
        <v>126</v>
      </c>
      <c r="D93" s="364" t="str">
        <f ca="1">IF( ISNA( VLOOKUP( APIF_Import!$M93 &amp; APIF_Import!$D$1,Podesavanja!$AA$3:$AD$24, 4, 0)), "", SUBSTITUTE( VALUE( VLOOKUP( APIF_Import!$C93, INDIRECT( "Lookup_" &amp; APIF_Import!$M93), VLOOKUP( APIF_Import!$M93 &amp; APIF_Import!$D$1,Podesavanja!$AA$3:$AD$24, 4, 0), 0)), ".", ","))</f>
        <v>0</v>
      </c>
      <c r="E93" s="364" t="str">
        <f ca="1">IF( ISNA( VLOOKUP( APIF_Import!$M93 &amp; APIF_Import!$E$1,Podesavanja!$AA$3:$AD$24, 4, 0)), "", SUBSTITUTE( VALUE( VLOOKUP( APIF_Import!$C93, INDIRECT( "Lookup_" &amp; APIF_Import!$M93), VLOOKUP( APIF_Import!$M93 &amp; APIF_Import!$E$1,Podesavanja!$AA$3:$AD$24, 4, 0), 0)), ".", ","))</f>
        <v>0</v>
      </c>
      <c r="F93" s="364" t="str">
        <f ca="1">IF( ISNA( VLOOKUP( APIF_Import!$M93 &amp; APIF_Import!$F$1,Podesavanja!$AA$3:$AD$24, 4, 0)), "", VLOOKUP( APIF_Import!$C93, INDIRECT( "Lookup_" &amp; APIF_Import!$M93), VLOOKUP( APIF_Import!$M93 &amp; APIF_Import!$F$1,Podesavanja!$AA$3:$AD$24, 4, 0), 0))</f>
        <v/>
      </c>
      <c r="G93" s="364" t="str">
        <f ca="1">IF( ISNA( VLOOKUP( APIF_Import!$M93 &amp; APIF_Import!$G$1,Podesavanja!$AA$3:$AD$24, 4, 0)), "", VLOOKUP( APIF_Import!$C93, INDIRECT( "Lookup_" &amp; APIF_Import!$M93), VLOOKUP( APIF_Import!$M93 &amp; APIF_Import!$G$1,Podesavanja!$AA$3:$AD$24, 4, 0), 0))</f>
        <v/>
      </c>
      <c r="H93" s="364" t="str">
        <f ca="1">IF( ISNA( VLOOKUP( APIF_Import!$M93 &amp; APIF_Import!$H$1,Podesavanja!$AA$3:$AD$24, 4, 0)), "", VLOOKUP( APIF_Import!$C93, INDIRECT( "Lookup_" &amp; APIF_Import!$M93), VLOOKUP( APIF_Import!$M93 &amp; APIF_Import!$H$1,Podesavanja!$AA$3:$AD$24, 4, 0), 0))</f>
        <v/>
      </c>
      <c r="I93" s="364" t="str">
        <f ca="1">IF( ISNA( VLOOKUP( APIF_Import!$M93 &amp; APIF_Import!$I$1,Podesavanja!$AA$3:$AD$24, 4, 0)), "", VLOOKUP( APIF_Import!$C93, INDIRECT( "Lookup_" &amp; APIF_Import!$M93), VLOOKUP( APIF_Import!$M93 &amp; APIF_Import!$I$1,Podesavanja!$AA$3:$AD$24, 4, 0), 0))</f>
        <v/>
      </c>
      <c r="J93" s="364" t="str">
        <f ca="1">IF( ISNA( VLOOKUP( APIF_Import!$M93 &amp; APIF_Import!$J$1,Podesavanja!$AA$3:$AD$24, 4, 0)), "", VLOOKUP( APIF_Import!$C93, INDIRECT( "Lookup_" &amp; APIF_Import!$M93), VLOOKUP( APIF_Import!$M93 &amp; APIF_Import!$J$1,Podesavanja!$AA$3:$AD$24, 4, 0), 0))</f>
        <v/>
      </c>
      <c r="K93" s="364" t="str">
        <f ca="1">IF( ISNA( VLOOKUP( APIF_Import!$M93 &amp; APIF_Import!$K$1,Podesavanja!$AA$3:$AD$24, 4, 0)), "", VLOOKUP( APIF_Import!$C93, INDIRECT( "Lookup_" &amp; APIF_Import!$M93), VLOOKUP( APIF_Import!$M93 &amp; APIF_Import!$K$1,Podesavanja!$AA$3:$AD$24, 4, 0), 0))</f>
        <v/>
      </c>
      <c r="L93" s="8">
        <v>94</v>
      </c>
      <c r="M93" s="8" t="s">
        <v>296</v>
      </c>
    </row>
    <row r="94" spans="2:13" x14ac:dyDescent="0.2">
      <c r="B94" s="8">
        <f>VLOOKUP( APIF_Import!$M94, Podesavanja!$N$3:$Q$9, 4, 0)</f>
        <v>2</v>
      </c>
      <c r="C94" s="363">
        <f>VLOOKUP( APIF_Import!$L94, Aop!$A$2:$N$415, 4, 0)</f>
        <v>127</v>
      </c>
      <c r="D94" s="364" t="str">
        <f ca="1">IF( ISNA( VLOOKUP( APIF_Import!$M94 &amp; APIF_Import!$D$1,Podesavanja!$AA$3:$AD$24, 4, 0)), "", SUBSTITUTE( VALUE( VLOOKUP( APIF_Import!$C94, INDIRECT( "Lookup_" &amp; APIF_Import!$M94), VLOOKUP( APIF_Import!$M94 &amp; APIF_Import!$D$1,Podesavanja!$AA$3:$AD$24, 4, 0), 0)), ".", ","))</f>
        <v>0</v>
      </c>
      <c r="E94" s="364" t="str">
        <f ca="1">IF( ISNA( VLOOKUP( APIF_Import!$M94 &amp; APIF_Import!$E$1,Podesavanja!$AA$3:$AD$24, 4, 0)), "", SUBSTITUTE( VALUE( VLOOKUP( APIF_Import!$C94, INDIRECT( "Lookup_" &amp; APIF_Import!$M94), VLOOKUP( APIF_Import!$M94 &amp; APIF_Import!$E$1,Podesavanja!$AA$3:$AD$24, 4, 0), 0)), ".", ","))</f>
        <v>0</v>
      </c>
      <c r="F94" s="364" t="str">
        <f ca="1">IF( ISNA( VLOOKUP( APIF_Import!$M94 &amp; APIF_Import!$F$1,Podesavanja!$AA$3:$AD$24, 4, 0)), "", VLOOKUP( APIF_Import!$C94, INDIRECT( "Lookup_" &amp; APIF_Import!$M94), VLOOKUP( APIF_Import!$M94 &amp; APIF_Import!$F$1,Podesavanja!$AA$3:$AD$24, 4, 0), 0))</f>
        <v/>
      </c>
      <c r="G94" s="364" t="str">
        <f ca="1">IF( ISNA( VLOOKUP( APIF_Import!$M94 &amp; APIF_Import!$G$1,Podesavanja!$AA$3:$AD$24, 4, 0)), "", VLOOKUP( APIF_Import!$C94, INDIRECT( "Lookup_" &amp; APIF_Import!$M94), VLOOKUP( APIF_Import!$M94 &amp; APIF_Import!$G$1,Podesavanja!$AA$3:$AD$24, 4, 0), 0))</f>
        <v/>
      </c>
      <c r="H94" s="364" t="str">
        <f ca="1">IF( ISNA( VLOOKUP( APIF_Import!$M94 &amp; APIF_Import!$H$1,Podesavanja!$AA$3:$AD$24, 4, 0)), "", VLOOKUP( APIF_Import!$C94, INDIRECT( "Lookup_" &amp; APIF_Import!$M94), VLOOKUP( APIF_Import!$M94 &amp; APIF_Import!$H$1,Podesavanja!$AA$3:$AD$24, 4, 0), 0))</f>
        <v/>
      </c>
      <c r="I94" s="364" t="str">
        <f ca="1">IF( ISNA( VLOOKUP( APIF_Import!$M94 &amp; APIF_Import!$I$1,Podesavanja!$AA$3:$AD$24, 4, 0)), "", VLOOKUP( APIF_Import!$C94, INDIRECT( "Lookup_" &amp; APIF_Import!$M94), VLOOKUP( APIF_Import!$M94 &amp; APIF_Import!$I$1,Podesavanja!$AA$3:$AD$24, 4, 0), 0))</f>
        <v/>
      </c>
      <c r="J94" s="364" t="str">
        <f ca="1">IF( ISNA( VLOOKUP( APIF_Import!$M94 &amp; APIF_Import!$J$1,Podesavanja!$AA$3:$AD$24, 4, 0)), "", VLOOKUP( APIF_Import!$C94, INDIRECT( "Lookup_" &amp; APIF_Import!$M94), VLOOKUP( APIF_Import!$M94 &amp; APIF_Import!$J$1,Podesavanja!$AA$3:$AD$24, 4, 0), 0))</f>
        <v/>
      </c>
      <c r="K94" s="364" t="str">
        <f ca="1">IF( ISNA( VLOOKUP( APIF_Import!$M94 &amp; APIF_Import!$K$1,Podesavanja!$AA$3:$AD$24, 4, 0)), "", VLOOKUP( APIF_Import!$C94, INDIRECT( "Lookup_" &amp; APIF_Import!$M94), VLOOKUP( APIF_Import!$M94 &amp; APIF_Import!$K$1,Podesavanja!$AA$3:$AD$24, 4, 0), 0))</f>
        <v/>
      </c>
      <c r="L94" s="8">
        <v>95</v>
      </c>
      <c r="M94" s="8" t="s">
        <v>296</v>
      </c>
    </row>
    <row r="95" spans="2:13" x14ac:dyDescent="0.2">
      <c r="B95" s="8">
        <f>VLOOKUP( APIF_Import!$M95, Podesavanja!$N$3:$Q$9, 4, 0)</f>
        <v>2</v>
      </c>
      <c r="C95" s="363">
        <f>VLOOKUP( APIF_Import!$L95, Aop!$A$2:$N$415, 4, 0)</f>
        <v>128</v>
      </c>
      <c r="D95" s="364" t="str">
        <f ca="1">IF( ISNA( VLOOKUP( APIF_Import!$M95 &amp; APIF_Import!$D$1,Podesavanja!$AA$3:$AD$24, 4, 0)), "", SUBSTITUTE( VALUE( VLOOKUP( APIF_Import!$C95, INDIRECT( "Lookup_" &amp; APIF_Import!$M95), VLOOKUP( APIF_Import!$M95 &amp; APIF_Import!$D$1,Podesavanja!$AA$3:$AD$24, 4, 0), 0)), ".", ","))</f>
        <v>0</v>
      </c>
      <c r="E95" s="364" t="str">
        <f ca="1">IF( ISNA( VLOOKUP( APIF_Import!$M95 &amp; APIF_Import!$E$1,Podesavanja!$AA$3:$AD$24, 4, 0)), "", SUBSTITUTE( VALUE( VLOOKUP( APIF_Import!$C95, INDIRECT( "Lookup_" &amp; APIF_Import!$M95), VLOOKUP( APIF_Import!$M95 &amp; APIF_Import!$E$1,Podesavanja!$AA$3:$AD$24, 4, 0), 0)), ".", ","))</f>
        <v>0</v>
      </c>
      <c r="F95" s="364" t="str">
        <f ca="1">IF( ISNA( VLOOKUP( APIF_Import!$M95 &amp; APIF_Import!$F$1,Podesavanja!$AA$3:$AD$24, 4, 0)), "", VLOOKUP( APIF_Import!$C95, INDIRECT( "Lookup_" &amp; APIF_Import!$M95), VLOOKUP( APIF_Import!$M95 &amp; APIF_Import!$F$1,Podesavanja!$AA$3:$AD$24, 4, 0), 0))</f>
        <v/>
      </c>
      <c r="G95" s="364" t="str">
        <f ca="1">IF( ISNA( VLOOKUP( APIF_Import!$M95 &amp; APIF_Import!$G$1,Podesavanja!$AA$3:$AD$24, 4, 0)), "", VLOOKUP( APIF_Import!$C95, INDIRECT( "Lookup_" &amp; APIF_Import!$M95), VLOOKUP( APIF_Import!$M95 &amp; APIF_Import!$G$1,Podesavanja!$AA$3:$AD$24, 4, 0), 0))</f>
        <v/>
      </c>
      <c r="H95" s="364" t="str">
        <f ca="1">IF( ISNA( VLOOKUP( APIF_Import!$M95 &amp; APIF_Import!$H$1,Podesavanja!$AA$3:$AD$24, 4, 0)), "", VLOOKUP( APIF_Import!$C95, INDIRECT( "Lookup_" &amp; APIF_Import!$M95), VLOOKUP( APIF_Import!$M95 &amp; APIF_Import!$H$1,Podesavanja!$AA$3:$AD$24, 4, 0), 0))</f>
        <v/>
      </c>
      <c r="I95" s="364" t="str">
        <f ca="1">IF( ISNA( VLOOKUP( APIF_Import!$M95 &amp; APIF_Import!$I$1,Podesavanja!$AA$3:$AD$24, 4, 0)), "", VLOOKUP( APIF_Import!$C95, INDIRECT( "Lookup_" &amp; APIF_Import!$M95), VLOOKUP( APIF_Import!$M95 &amp; APIF_Import!$I$1,Podesavanja!$AA$3:$AD$24, 4, 0), 0))</f>
        <v/>
      </c>
      <c r="J95" s="364" t="str">
        <f ca="1">IF( ISNA( VLOOKUP( APIF_Import!$M95 &amp; APIF_Import!$J$1,Podesavanja!$AA$3:$AD$24, 4, 0)), "", VLOOKUP( APIF_Import!$C95, INDIRECT( "Lookup_" &amp; APIF_Import!$M95), VLOOKUP( APIF_Import!$M95 &amp; APIF_Import!$J$1,Podesavanja!$AA$3:$AD$24, 4, 0), 0))</f>
        <v/>
      </c>
      <c r="K95" s="364" t="str">
        <f ca="1">IF( ISNA( VLOOKUP( APIF_Import!$M95 &amp; APIF_Import!$K$1,Podesavanja!$AA$3:$AD$24, 4, 0)), "", VLOOKUP( APIF_Import!$C95, INDIRECT( "Lookup_" &amp; APIF_Import!$M95), VLOOKUP( APIF_Import!$M95 &amp; APIF_Import!$K$1,Podesavanja!$AA$3:$AD$24, 4, 0), 0))</f>
        <v/>
      </c>
      <c r="L95" s="8">
        <v>96</v>
      </c>
      <c r="M95" s="8" t="s">
        <v>296</v>
      </c>
    </row>
    <row r="96" spans="2:13" x14ac:dyDescent="0.2">
      <c r="B96" s="8">
        <f>VLOOKUP( APIF_Import!$M96, Podesavanja!$N$3:$Q$9, 4, 0)</f>
        <v>2</v>
      </c>
      <c r="C96" s="363">
        <f>VLOOKUP( APIF_Import!$L96, Aop!$A$2:$N$415, 4, 0)</f>
        <v>129</v>
      </c>
      <c r="D96" s="364" t="str">
        <f ca="1">IF( ISNA( VLOOKUP( APIF_Import!$M96 &amp; APIF_Import!$D$1,Podesavanja!$AA$3:$AD$24, 4, 0)), "", SUBSTITUTE( VALUE( VLOOKUP( APIF_Import!$C96, INDIRECT( "Lookup_" &amp; APIF_Import!$M96), VLOOKUP( APIF_Import!$M96 &amp; APIF_Import!$D$1,Podesavanja!$AA$3:$AD$24, 4, 0), 0)), ".", ","))</f>
        <v>0</v>
      </c>
      <c r="E96" s="364" t="str">
        <f ca="1">IF( ISNA( VLOOKUP( APIF_Import!$M96 &amp; APIF_Import!$E$1,Podesavanja!$AA$3:$AD$24, 4, 0)), "", SUBSTITUTE( VALUE( VLOOKUP( APIF_Import!$C96, INDIRECT( "Lookup_" &amp; APIF_Import!$M96), VLOOKUP( APIF_Import!$M96 &amp; APIF_Import!$E$1,Podesavanja!$AA$3:$AD$24, 4, 0), 0)), ".", ","))</f>
        <v>0</v>
      </c>
      <c r="F96" s="364" t="str">
        <f ca="1">IF( ISNA( VLOOKUP( APIF_Import!$M96 &amp; APIF_Import!$F$1,Podesavanja!$AA$3:$AD$24, 4, 0)), "", VLOOKUP( APIF_Import!$C96, INDIRECT( "Lookup_" &amp; APIF_Import!$M96), VLOOKUP( APIF_Import!$M96 &amp; APIF_Import!$F$1,Podesavanja!$AA$3:$AD$24, 4, 0), 0))</f>
        <v/>
      </c>
      <c r="G96" s="364" t="str">
        <f ca="1">IF( ISNA( VLOOKUP( APIF_Import!$M96 &amp; APIF_Import!$G$1,Podesavanja!$AA$3:$AD$24, 4, 0)), "", VLOOKUP( APIF_Import!$C96, INDIRECT( "Lookup_" &amp; APIF_Import!$M96), VLOOKUP( APIF_Import!$M96 &amp; APIF_Import!$G$1,Podesavanja!$AA$3:$AD$24, 4, 0), 0))</f>
        <v/>
      </c>
      <c r="H96" s="364" t="str">
        <f ca="1">IF( ISNA( VLOOKUP( APIF_Import!$M96 &amp; APIF_Import!$H$1,Podesavanja!$AA$3:$AD$24, 4, 0)), "", VLOOKUP( APIF_Import!$C96, INDIRECT( "Lookup_" &amp; APIF_Import!$M96), VLOOKUP( APIF_Import!$M96 &amp; APIF_Import!$H$1,Podesavanja!$AA$3:$AD$24, 4, 0), 0))</f>
        <v/>
      </c>
      <c r="I96" s="364" t="str">
        <f ca="1">IF( ISNA( VLOOKUP( APIF_Import!$M96 &amp; APIF_Import!$I$1,Podesavanja!$AA$3:$AD$24, 4, 0)), "", VLOOKUP( APIF_Import!$C96, INDIRECT( "Lookup_" &amp; APIF_Import!$M96), VLOOKUP( APIF_Import!$M96 &amp; APIF_Import!$I$1,Podesavanja!$AA$3:$AD$24, 4, 0), 0))</f>
        <v/>
      </c>
      <c r="J96" s="364" t="str">
        <f ca="1">IF( ISNA( VLOOKUP( APIF_Import!$M96 &amp; APIF_Import!$J$1,Podesavanja!$AA$3:$AD$24, 4, 0)), "", VLOOKUP( APIF_Import!$C96, INDIRECT( "Lookup_" &amp; APIF_Import!$M96), VLOOKUP( APIF_Import!$M96 &amp; APIF_Import!$J$1,Podesavanja!$AA$3:$AD$24, 4, 0), 0))</f>
        <v/>
      </c>
      <c r="K96" s="364" t="str">
        <f ca="1">IF( ISNA( VLOOKUP( APIF_Import!$M96 &amp; APIF_Import!$K$1,Podesavanja!$AA$3:$AD$24, 4, 0)), "", VLOOKUP( APIF_Import!$C96, INDIRECT( "Lookup_" &amp; APIF_Import!$M96), VLOOKUP( APIF_Import!$M96 &amp; APIF_Import!$K$1,Podesavanja!$AA$3:$AD$24, 4, 0), 0))</f>
        <v/>
      </c>
      <c r="L96" s="8">
        <v>97</v>
      </c>
      <c r="M96" s="8" t="s">
        <v>296</v>
      </c>
    </row>
    <row r="97" spans="2:13" x14ac:dyDescent="0.2">
      <c r="B97" s="8">
        <f>VLOOKUP( APIF_Import!$M97, Podesavanja!$N$3:$Q$9, 4, 0)</f>
        <v>2</v>
      </c>
      <c r="C97" s="363">
        <f>VLOOKUP( APIF_Import!$L97, Aop!$A$2:$N$415, 4, 0)</f>
        <v>130</v>
      </c>
      <c r="D97" s="364" t="str">
        <f ca="1">IF( ISNA( VLOOKUP( APIF_Import!$M97 &amp; APIF_Import!$D$1,Podesavanja!$AA$3:$AD$24, 4, 0)), "", SUBSTITUTE( VALUE( VLOOKUP( APIF_Import!$C97, INDIRECT( "Lookup_" &amp; APIF_Import!$M97), VLOOKUP( APIF_Import!$M97 &amp; APIF_Import!$D$1,Podesavanja!$AA$3:$AD$24, 4, 0), 0)), ".", ","))</f>
        <v>0</v>
      </c>
      <c r="E97" s="364" t="str">
        <f ca="1">IF( ISNA( VLOOKUP( APIF_Import!$M97 &amp; APIF_Import!$E$1,Podesavanja!$AA$3:$AD$24, 4, 0)), "", SUBSTITUTE( VALUE( VLOOKUP( APIF_Import!$C97, INDIRECT( "Lookup_" &amp; APIF_Import!$M97), VLOOKUP( APIF_Import!$M97 &amp; APIF_Import!$E$1,Podesavanja!$AA$3:$AD$24, 4, 0), 0)), ".", ","))</f>
        <v>0</v>
      </c>
      <c r="F97" s="364" t="str">
        <f ca="1">IF( ISNA( VLOOKUP( APIF_Import!$M97 &amp; APIF_Import!$F$1,Podesavanja!$AA$3:$AD$24, 4, 0)), "", VLOOKUP( APIF_Import!$C97, INDIRECT( "Lookup_" &amp; APIF_Import!$M97), VLOOKUP( APIF_Import!$M97 &amp; APIF_Import!$F$1,Podesavanja!$AA$3:$AD$24, 4, 0), 0))</f>
        <v/>
      </c>
      <c r="G97" s="364" t="str">
        <f ca="1">IF( ISNA( VLOOKUP( APIF_Import!$M97 &amp; APIF_Import!$G$1,Podesavanja!$AA$3:$AD$24, 4, 0)), "", VLOOKUP( APIF_Import!$C97, INDIRECT( "Lookup_" &amp; APIF_Import!$M97), VLOOKUP( APIF_Import!$M97 &amp; APIF_Import!$G$1,Podesavanja!$AA$3:$AD$24, 4, 0), 0))</f>
        <v/>
      </c>
      <c r="H97" s="364" t="str">
        <f ca="1">IF( ISNA( VLOOKUP( APIF_Import!$M97 &amp; APIF_Import!$H$1,Podesavanja!$AA$3:$AD$24, 4, 0)), "", VLOOKUP( APIF_Import!$C97, INDIRECT( "Lookup_" &amp; APIF_Import!$M97), VLOOKUP( APIF_Import!$M97 &amp; APIF_Import!$H$1,Podesavanja!$AA$3:$AD$24, 4, 0), 0))</f>
        <v/>
      </c>
      <c r="I97" s="364" t="str">
        <f ca="1">IF( ISNA( VLOOKUP( APIF_Import!$M97 &amp; APIF_Import!$I$1,Podesavanja!$AA$3:$AD$24, 4, 0)), "", VLOOKUP( APIF_Import!$C97, INDIRECT( "Lookup_" &amp; APIF_Import!$M97), VLOOKUP( APIF_Import!$M97 &amp; APIF_Import!$I$1,Podesavanja!$AA$3:$AD$24, 4, 0), 0))</f>
        <v/>
      </c>
      <c r="J97" s="364" t="str">
        <f ca="1">IF( ISNA( VLOOKUP( APIF_Import!$M97 &amp; APIF_Import!$J$1,Podesavanja!$AA$3:$AD$24, 4, 0)), "", VLOOKUP( APIF_Import!$C97, INDIRECT( "Lookup_" &amp; APIF_Import!$M97), VLOOKUP( APIF_Import!$M97 &amp; APIF_Import!$J$1,Podesavanja!$AA$3:$AD$24, 4, 0), 0))</f>
        <v/>
      </c>
      <c r="K97" s="364" t="str">
        <f ca="1">IF( ISNA( VLOOKUP( APIF_Import!$M97 &amp; APIF_Import!$K$1,Podesavanja!$AA$3:$AD$24, 4, 0)), "", VLOOKUP( APIF_Import!$C97, INDIRECT( "Lookup_" &amp; APIF_Import!$M97), VLOOKUP( APIF_Import!$M97 &amp; APIF_Import!$K$1,Podesavanja!$AA$3:$AD$24, 4, 0), 0))</f>
        <v/>
      </c>
      <c r="L97" s="8">
        <v>98</v>
      </c>
      <c r="M97" s="8" t="s">
        <v>296</v>
      </c>
    </row>
    <row r="98" spans="2:13" x14ac:dyDescent="0.2">
      <c r="B98" s="8">
        <f>VLOOKUP( APIF_Import!$M98, Podesavanja!$N$3:$Q$9, 4, 0)</f>
        <v>2</v>
      </c>
      <c r="C98" s="363">
        <f>VLOOKUP( APIF_Import!$L98, Aop!$A$2:$N$415, 4, 0)</f>
        <v>131</v>
      </c>
      <c r="D98" s="364" t="str">
        <f ca="1">IF( ISNA( VLOOKUP( APIF_Import!$M98 &amp; APIF_Import!$D$1,Podesavanja!$AA$3:$AD$24, 4, 0)), "", SUBSTITUTE( VALUE( VLOOKUP( APIF_Import!$C98, INDIRECT( "Lookup_" &amp; APIF_Import!$M98), VLOOKUP( APIF_Import!$M98 &amp; APIF_Import!$D$1,Podesavanja!$AA$3:$AD$24, 4, 0), 0)), ".", ","))</f>
        <v>0</v>
      </c>
      <c r="E98" s="364" t="str">
        <f ca="1">IF( ISNA( VLOOKUP( APIF_Import!$M98 &amp; APIF_Import!$E$1,Podesavanja!$AA$3:$AD$24, 4, 0)), "", SUBSTITUTE( VALUE( VLOOKUP( APIF_Import!$C98, INDIRECT( "Lookup_" &amp; APIF_Import!$M98), VLOOKUP( APIF_Import!$M98 &amp; APIF_Import!$E$1,Podesavanja!$AA$3:$AD$24, 4, 0), 0)), ".", ","))</f>
        <v>0</v>
      </c>
      <c r="F98" s="364" t="str">
        <f ca="1">IF( ISNA( VLOOKUP( APIF_Import!$M98 &amp; APIF_Import!$F$1,Podesavanja!$AA$3:$AD$24, 4, 0)), "", VLOOKUP( APIF_Import!$C98, INDIRECT( "Lookup_" &amp; APIF_Import!$M98), VLOOKUP( APIF_Import!$M98 &amp; APIF_Import!$F$1,Podesavanja!$AA$3:$AD$24, 4, 0), 0))</f>
        <v/>
      </c>
      <c r="G98" s="364" t="str">
        <f ca="1">IF( ISNA( VLOOKUP( APIF_Import!$M98 &amp; APIF_Import!$G$1,Podesavanja!$AA$3:$AD$24, 4, 0)), "", VLOOKUP( APIF_Import!$C98, INDIRECT( "Lookup_" &amp; APIF_Import!$M98), VLOOKUP( APIF_Import!$M98 &amp; APIF_Import!$G$1,Podesavanja!$AA$3:$AD$24, 4, 0), 0))</f>
        <v/>
      </c>
      <c r="H98" s="364" t="str">
        <f ca="1">IF( ISNA( VLOOKUP( APIF_Import!$M98 &amp; APIF_Import!$H$1,Podesavanja!$AA$3:$AD$24, 4, 0)), "", VLOOKUP( APIF_Import!$C98, INDIRECT( "Lookup_" &amp; APIF_Import!$M98), VLOOKUP( APIF_Import!$M98 &amp; APIF_Import!$H$1,Podesavanja!$AA$3:$AD$24, 4, 0), 0))</f>
        <v/>
      </c>
      <c r="I98" s="364" t="str">
        <f ca="1">IF( ISNA( VLOOKUP( APIF_Import!$M98 &amp; APIF_Import!$I$1,Podesavanja!$AA$3:$AD$24, 4, 0)), "", VLOOKUP( APIF_Import!$C98, INDIRECT( "Lookup_" &amp; APIF_Import!$M98), VLOOKUP( APIF_Import!$M98 &amp; APIF_Import!$I$1,Podesavanja!$AA$3:$AD$24, 4, 0), 0))</f>
        <v/>
      </c>
      <c r="J98" s="364" t="str">
        <f ca="1">IF( ISNA( VLOOKUP( APIF_Import!$M98 &amp; APIF_Import!$J$1,Podesavanja!$AA$3:$AD$24, 4, 0)), "", VLOOKUP( APIF_Import!$C98, INDIRECT( "Lookup_" &amp; APIF_Import!$M98), VLOOKUP( APIF_Import!$M98 &amp; APIF_Import!$J$1,Podesavanja!$AA$3:$AD$24, 4, 0), 0))</f>
        <v/>
      </c>
      <c r="K98" s="364" t="str">
        <f ca="1">IF( ISNA( VLOOKUP( APIF_Import!$M98 &amp; APIF_Import!$K$1,Podesavanja!$AA$3:$AD$24, 4, 0)), "", VLOOKUP( APIF_Import!$C98, INDIRECT( "Lookup_" &amp; APIF_Import!$M98), VLOOKUP( APIF_Import!$M98 &amp; APIF_Import!$K$1,Podesavanja!$AA$3:$AD$24, 4, 0), 0))</f>
        <v/>
      </c>
      <c r="L98" s="8">
        <v>99</v>
      </c>
      <c r="M98" s="8" t="s">
        <v>296</v>
      </c>
    </row>
    <row r="99" spans="2:13" x14ac:dyDescent="0.2">
      <c r="B99" s="8">
        <f>VLOOKUP( APIF_Import!$M99, Podesavanja!$N$3:$Q$9, 4, 0)</f>
        <v>2</v>
      </c>
      <c r="C99" s="363">
        <f>VLOOKUP( APIF_Import!$L99, Aop!$A$2:$N$415, 4, 0)</f>
        <v>132</v>
      </c>
      <c r="D99" s="364" t="str">
        <f ca="1">IF( ISNA( VLOOKUP( APIF_Import!$M99 &amp; APIF_Import!$D$1,Podesavanja!$AA$3:$AD$24, 4, 0)), "", SUBSTITUTE( VALUE( VLOOKUP( APIF_Import!$C99, INDIRECT( "Lookup_" &amp; APIF_Import!$M99), VLOOKUP( APIF_Import!$M99 &amp; APIF_Import!$D$1,Podesavanja!$AA$3:$AD$24, 4, 0), 0)), ".", ","))</f>
        <v>0</v>
      </c>
      <c r="E99" s="364" t="str">
        <f ca="1">IF( ISNA( VLOOKUP( APIF_Import!$M99 &amp; APIF_Import!$E$1,Podesavanja!$AA$3:$AD$24, 4, 0)), "", SUBSTITUTE( VALUE( VLOOKUP( APIF_Import!$C99, INDIRECT( "Lookup_" &amp; APIF_Import!$M99), VLOOKUP( APIF_Import!$M99 &amp; APIF_Import!$E$1,Podesavanja!$AA$3:$AD$24, 4, 0), 0)), ".", ","))</f>
        <v>0</v>
      </c>
      <c r="F99" s="364" t="str">
        <f ca="1">IF( ISNA( VLOOKUP( APIF_Import!$M99 &amp; APIF_Import!$F$1,Podesavanja!$AA$3:$AD$24, 4, 0)), "", VLOOKUP( APIF_Import!$C99, INDIRECT( "Lookup_" &amp; APIF_Import!$M99), VLOOKUP( APIF_Import!$M99 &amp; APIF_Import!$F$1,Podesavanja!$AA$3:$AD$24, 4, 0), 0))</f>
        <v/>
      </c>
      <c r="G99" s="364" t="str">
        <f ca="1">IF( ISNA( VLOOKUP( APIF_Import!$M99 &amp; APIF_Import!$G$1,Podesavanja!$AA$3:$AD$24, 4, 0)), "", VLOOKUP( APIF_Import!$C99, INDIRECT( "Lookup_" &amp; APIF_Import!$M99), VLOOKUP( APIF_Import!$M99 &amp; APIF_Import!$G$1,Podesavanja!$AA$3:$AD$24, 4, 0), 0))</f>
        <v/>
      </c>
      <c r="H99" s="364" t="str">
        <f ca="1">IF( ISNA( VLOOKUP( APIF_Import!$M99 &amp; APIF_Import!$H$1,Podesavanja!$AA$3:$AD$24, 4, 0)), "", VLOOKUP( APIF_Import!$C99, INDIRECT( "Lookup_" &amp; APIF_Import!$M99), VLOOKUP( APIF_Import!$M99 &amp; APIF_Import!$H$1,Podesavanja!$AA$3:$AD$24, 4, 0), 0))</f>
        <v/>
      </c>
      <c r="I99" s="364" t="str">
        <f ca="1">IF( ISNA( VLOOKUP( APIF_Import!$M99 &amp; APIF_Import!$I$1,Podesavanja!$AA$3:$AD$24, 4, 0)), "", VLOOKUP( APIF_Import!$C99, INDIRECT( "Lookup_" &amp; APIF_Import!$M99), VLOOKUP( APIF_Import!$M99 &amp; APIF_Import!$I$1,Podesavanja!$AA$3:$AD$24, 4, 0), 0))</f>
        <v/>
      </c>
      <c r="J99" s="364" t="str">
        <f ca="1">IF( ISNA( VLOOKUP( APIF_Import!$M99 &amp; APIF_Import!$J$1,Podesavanja!$AA$3:$AD$24, 4, 0)), "", VLOOKUP( APIF_Import!$C99, INDIRECT( "Lookup_" &amp; APIF_Import!$M99), VLOOKUP( APIF_Import!$M99 &amp; APIF_Import!$J$1,Podesavanja!$AA$3:$AD$24, 4, 0), 0))</f>
        <v/>
      </c>
      <c r="K99" s="364" t="str">
        <f ca="1">IF( ISNA( VLOOKUP( APIF_Import!$M99 &amp; APIF_Import!$K$1,Podesavanja!$AA$3:$AD$24, 4, 0)), "", VLOOKUP( APIF_Import!$C99, INDIRECT( "Lookup_" &amp; APIF_Import!$M99), VLOOKUP( APIF_Import!$M99 &amp; APIF_Import!$K$1,Podesavanja!$AA$3:$AD$24, 4, 0), 0))</f>
        <v/>
      </c>
      <c r="L99" s="8">
        <v>100</v>
      </c>
      <c r="M99" s="8" t="s">
        <v>296</v>
      </c>
    </row>
    <row r="100" spans="2:13" x14ac:dyDescent="0.2">
      <c r="B100" s="8">
        <f>VLOOKUP( APIF_Import!$M100, Podesavanja!$N$3:$Q$9, 4, 0)</f>
        <v>2</v>
      </c>
      <c r="C100" s="363">
        <f>VLOOKUP( APIF_Import!$L100, Aop!$A$2:$N$415, 4, 0)</f>
        <v>133</v>
      </c>
      <c r="D100" s="364" t="str">
        <f ca="1">IF( ISNA( VLOOKUP( APIF_Import!$M100 &amp; APIF_Import!$D$1,Podesavanja!$AA$3:$AD$24, 4, 0)), "", SUBSTITUTE( VALUE( VLOOKUP( APIF_Import!$C100, INDIRECT( "Lookup_" &amp; APIF_Import!$M100), VLOOKUP( APIF_Import!$M100 &amp; APIF_Import!$D$1,Podesavanja!$AA$3:$AD$24, 4, 0), 0)), ".", ","))</f>
        <v>0</v>
      </c>
      <c r="E100" s="364" t="str">
        <f ca="1">IF( ISNA( VLOOKUP( APIF_Import!$M100 &amp; APIF_Import!$E$1,Podesavanja!$AA$3:$AD$24, 4, 0)), "", SUBSTITUTE( VALUE( VLOOKUP( APIF_Import!$C100, INDIRECT( "Lookup_" &amp; APIF_Import!$M100), VLOOKUP( APIF_Import!$M100 &amp; APIF_Import!$E$1,Podesavanja!$AA$3:$AD$24, 4, 0), 0)), ".", ","))</f>
        <v>0</v>
      </c>
      <c r="F100" s="364" t="str">
        <f ca="1">IF( ISNA( VLOOKUP( APIF_Import!$M100 &amp; APIF_Import!$F$1,Podesavanja!$AA$3:$AD$24, 4, 0)), "", VLOOKUP( APIF_Import!$C100, INDIRECT( "Lookup_" &amp; APIF_Import!$M100), VLOOKUP( APIF_Import!$M100 &amp; APIF_Import!$F$1,Podesavanja!$AA$3:$AD$24, 4, 0), 0))</f>
        <v/>
      </c>
      <c r="G100" s="364" t="str">
        <f ca="1">IF( ISNA( VLOOKUP( APIF_Import!$M100 &amp; APIF_Import!$G$1,Podesavanja!$AA$3:$AD$24, 4, 0)), "", VLOOKUP( APIF_Import!$C100, INDIRECT( "Lookup_" &amp; APIF_Import!$M100), VLOOKUP( APIF_Import!$M100 &amp; APIF_Import!$G$1,Podesavanja!$AA$3:$AD$24, 4, 0), 0))</f>
        <v/>
      </c>
      <c r="H100" s="364" t="str">
        <f ca="1">IF( ISNA( VLOOKUP( APIF_Import!$M100 &amp; APIF_Import!$H$1,Podesavanja!$AA$3:$AD$24, 4, 0)), "", VLOOKUP( APIF_Import!$C100, INDIRECT( "Lookup_" &amp; APIF_Import!$M100), VLOOKUP( APIF_Import!$M100 &amp; APIF_Import!$H$1,Podesavanja!$AA$3:$AD$24, 4, 0), 0))</f>
        <v/>
      </c>
      <c r="I100" s="364" t="str">
        <f ca="1">IF( ISNA( VLOOKUP( APIF_Import!$M100 &amp; APIF_Import!$I$1,Podesavanja!$AA$3:$AD$24, 4, 0)), "", VLOOKUP( APIF_Import!$C100, INDIRECT( "Lookup_" &amp; APIF_Import!$M100), VLOOKUP( APIF_Import!$M100 &amp; APIF_Import!$I$1,Podesavanja!$AA$3:$AD$24, 4, 0), 0))</f>
        <v/>
      </c>
      <c r="J100" s="364" t="str">
        <f ca="1">IF( ISNA( VLOOKUP( APIF_Import!$M100 &amp; APIF_Import!$J$1,Podesavanja!$AA$3:$AD$24, 4, 0)), "", VLOOKUP( APIF_Import!$C100, INDIRECT( "Lookup_" &amp; APIF_Import!$M100), VLOOKUP( APIF_Import!$M100 &amp; APIF_Import!$J$1,Podesavanja!$AA$3:$AD$24, 4, 0), 0))</f>
        <v/>
      </c>
      <c r="K100" s="364" t="str">
        <f ca="1">IF( ISNA( VLOOKUP( APIF_Import!$M100 &amp; APIF_Import!$K$1,Podesavanja!$AA$3:$AD$24, 4, 0)), "", VLOOKUP( APIF_Import!$C100, INDIRECT( "Lookup_" &amp; APIF_Import!$M100), VLOOKUP( APIF_Import!$M100 &amp; APIF_Import!$K$1,Podesavanja!$AA$3:$AD$24, 4, 0), 0))</f>
        <v/>
      </c>
      <c r="L100" s="8">
        <v>101</v>
      </c>
      <c r="M100" s="8" t="s">
        <v>296</v>
      </c>
    </row>
    <row r="101" spans="2:13" x14ac:dyDescent="0.2">
      <c r="B101" s="8">
        <f>VLOOKUP( APIF_Import!$M101, Podesavanja!$N$3:$Q$9, 4, 0)</f>
        <v>2</v>
      </c>
      <c r="C101" s="363">
        <f>VLOOKUP( APIF_Import!$L101, Aop!$A$2:$N$415, 4, 0)</f>
        <v>134</v>
      </c>
      <c r="D101" s="364" t="str">
        <f ca="1">IF( ISNA( VLOOKUP( APIF_Import!$M101 &amp; APIF_Import!$D$1,Podesavanja!$AA$3:$AD$24, 4, 0)), "", SUBSTITUTE( VALUE( VLOOKUP( APIF_Import!$C101, INDIRECT( "Lookup_" &amp; APIF_Import!$M101), VLOOKUP( APIF_Import!$M101 &amp; APIF_Import!$D$1,Podesavanja!$AA$3:$AD$24, 4, 0), 0)), ".", ","))</f>
        <v>0</v>
      </c>
      <c r="E101" s="364" t="str">
        <f ca="1">IF( ISNA( VLOOKUP( APIF_Import!$M101 &amp; APIF_Import!$E$1,Podesavanja!$AA$3:$AD$24, 4, 0)), "", SUBSTITUTE( VALUE( VLOOKUP( APIF_Import!$C101, INDIRECT( "Lookup_" &amp; APIF_Import!$M101), VLOOKUP( APIF_Import!$M101 &amp; APIF_Import!$E$1,Podesavanja!$AA$3:$AD$24, 4, 0), 0)), ".", ","))</f>
        <v>0</v>
      </c>
      <c r="F101" s="364" t="str">
        <f ca="1">IF( ISNA( VLOOKUP( APIF_Import!$M101 &amp; APIF_Import!$F$1,Podesavanja!$AA$3:$AD$24, 4, 0)), "", VLOOKUP( APIF_Import!$C101, INDIRECT( "Lookup_" &amp; APIF_Import!$M101), VLOOKUP( APIF_Import!$M101 &amp; APIF_Import!$F$1,Podesavanja!$AA$3:$AD$24, 4, 0), 0))</f>
        <v/>
      </c>
      <c r="G101" s="364" t="str">
        <f ca="1">IF( ISNA( VLOOKUP( APIF_Import!$M101 &amp; APIF_Import!$G$1,Podesavanja!$AA$3:$AD$24, 4, 0)), "", VLOOKUP( APIF_Import!$C101, INDIRECT( "Lookup_" &amp; APIF_Import!$M101), VLOOKUP( APIF_Import!$M101 &amp; APIF_Import!$G$1,Podesavanja!$AA$3:$AD$24, 4, 0), 0))</f>
        <v/>
      </c>
      <c r="H101" s="364" t="str">
        <f ca="1">IF( ISNA( VLOOKUP( APIF_Import!$M101 &amp; APIF_Import!$H$1,Podesavanja!$AA$3:$AD$24, 4, 0)), "", VLOOKUP( APIF_Import!$C101, INDIRECT( "Lookup_" &amp; APIF_Import!$M101), VLOOKUP( APIF_Import!$M101 &amp; APIF_Import!$H$1,Podesavanja!$AA$3:$AD$24, 4, 0), 0))</f>
        <v/>
      </c>
      <c r="I101" s="364" t="str">
        <f ca="1">IF( ISNA( VLOOKUP( APIF_Import!$M101 &amp; APIF_Import!$I$1,Podesavanja!$AA$3:$AD$24, 4, 0)), "", VLOOKUP( APIF_Import!$C101, INDIRECT( "Lookup_" &amp; APIF_Import!$M101), VLOOKUP( APIF_Import!$M101 &amp; APIF_Import!$I$1,Podesavanja!$AA$3:$AD$24, 4, 0), 0))</f>
        <v/>
      </c>
      <c r="J101" s="364" t="str">
        <f ca="1">IF( ISNA( VLOOKUP( APIF_Import!$M101 &amp; APIF_Import!$J$1,Podesavanja!$AA$3:$AD$24, 4, 0)), "", VLOOKUP( APIF_Import!$C101, INDIRECT( "Lookup_" &amp; APIF_Import!$M101), VLOOKUP( APIF_Import!$M101 &amp; APIF_Import!$J$1,Podesavanja!$AA$3:$AD$24, 4, 0), 0))</f>
        <v/>
      </c>
      <c r="K101" s="364" t="str">
        <f ca="1">IF( ISNA( VLOOKUP( APIF_Import!$M101 &amp; APIF_Import!$K$1,Podesavanja!$AA$3:$AD$24, 4, 0)), "", VLOOKUP( APIF_Import!$C101, INDIRECT( "Lookup_" &amp; APIF_Import!$M101), VLOOKUP( APIF_Import!$M101 &amp; APIF_Import!$K$1,Podesavanja!$AA$3:$AD$24, 4, 0), 0))</f>
        <v/>
      </c>
      <c r="L101" s="8">
        <v>102</v>
      </c>
      <c r="M101" s="8" t="s">
        <v>296</v>
      </c>
    </row>
    <row r="102" spans="2:13" x14ac:dyDescent="0.2">
      <c r="B102" s="8">
        <f>VLOOKUP( APIF_Import!$M102, Podesavanja!$N$3:$Q$9, 4, 0)</f>
        <v>2</v>
      </c>
      <c r="C102" s="363">
        <f>VLOOKUP( APIF_Import!$L102, Aop!$A$2:$N$415, 4, 0)</f>
        <v>135</v>
      </c>
      <c r="D102" s="364" t="str">
        <f ca="1">IF( ISNA( VLOOKUP( APIF_Import!$M102 &amp; APIF_Import!$D$1,Podesavanja!$AA$3:$AD$24, 4, 0)), "", SUBSTITUTE( VALUE( VLOOKUP( APIF_Import!$C102, INDIRECT( "Lookup_" &amp; APIF_Import!$M102), VLOOKUP( APIF_Import!$M102 &amp; APIF_Import!$D$1,Podesavanja!$AA$3:$AD$24, 4, 0), 0)), ".", ","))</f>
        <v>6159998</v>
      </c>
      <c r="E102" s="364" t="str">
        <f ca="1">IF( ISNA( VLOOKUP( APIF_Import!$M102 &amp; APIF_Import!$E$1,Podesavanja!$AA$3:$AD$24, 4, 0)), "", SUBSTITUTE( VALUE( VLOOKUP( APIF_Import!$C102, INDIRECT( "Lookup_" &amp; APIF_Import!$M102), VLOOKUP( APIF_Import!$M102 &amp; APIF_Import!$E$1,Podesavanja!$AA$3:$AD$24, 4, 0), 0)), ".", ","))</f>
        <v>5785797</v>
      </c>
      <c r="F102" s="364" t="str">
        <f ca="1">IF( ISNA( VLOOKUP( APIF_Import!$M102 &amp; APIF_Import!$F$1,Podesavanja!$AA$3:$AD$24, 4, 0)), "", VLOOKUP( APIF_Import!$C102, INDIRECT( "Lookup_" &amp; APIF_Import!$M102), VLOOKUP( APIF_Import!$M102 &amp; APIF_Import!$F$1,Podesavanja!$AA$3:$AD$24, 4, 0), 0))</f>
        <v/>
      </c>
      <c r="G102" s="364" t="str">
        <f ca="1">IF( ISNA( VLOOKUP( APIF_Import!$M102 &amp; APIF_Import!$G$1,Podesavanja!$AA$3:$AD$24, 4, 0)), "", VLOOKUP( APIF_Import!$C102, INDIRECT( "Lookup_" &amp; APIF_Import!$M102), VLOOKUP( APIF_Import!$M102 &amp; APIF_Import!$G$1,Podesavanja!$AA$3:$AD$24, 4, 0), 0))</f>
        <v/>
      </c>
      <c r="H102" s="364" t="str">
        <f ca="1">IF( ISNA( VLOOKUP( APIF_Import!$M102 &amp; APIF_Import!$H$1,Podesavanja!$AA$3:$AD$24, 4, 0)), "", VLOOKUP( APIF_Import!$C102, INDIRECT( "Lookup_" &amp; APIF_Import!$M102), VLOOKUP( APIF_Import!$M102 &amp; APIF_Import!$H$1,Podesavanja!$AA$3:$AD$24, 4, 0), 0))</f>
        <v/>
      </c>
      <c r="I102" s="364" t="str">
        <f ca="1">IF( ISNA( VLOOKUP( APIF_Import!$M102 &amp; APIF_Import!$I$1,Podesavanja!$AA$3:$AD$24, 4, 0)), "", VLOOKUP( APIF_Import!$C102, INDIRECT( "Lookup_" &amp; APIF_Import!$M102), VLOOKUP( APIF_Import!$M102 &amp; APIF_Import!$I$1,Podesavanja!$AA$3:$AD$24, 4, 0), 0))</f>
        <v/>
      </c>
      <c r="J102" s="364" t="str">
        <f ca="1">IF( ISNA( VLOOKUP( APIF_Import!$M102 &amp; APIF_Import!$J$1,Podesavanja!$AA$3:$AD$24, 4, 0)), "", VLOOKUP( APIF_Import!$C102, INDIRECT( "Lookup_" &amp; APIF_Import!$M102), VLOOKUP( APIF_Import!$M102 &amp; APIF_Import!$J$1,Podesavanja!$AA$3:$AD$24, 4, 0), 0))</f>
        <v/>
      </c>
      <c r="K102" s="364" t="str">
        <f ca="1">IF( ISNA( VLOOKUP( APIF_Import!$M102 &amp; APIF_Import!$K$1,Podesavanja!$AA$3:$AD$24, 4, 0)), "", VLOOKUP( APIF_Import!$C102, INDIRECT( "Lookup_" &amp; APIF_Import!$M102), VLOOKUP( APIF_Import!$M102 &amp; APIF_Import!$K$1,Podesavanja!$AA$3:$AD$24, 4, 0), 0))</f>
        <v/>
      </c>
      <c r="L102" s="8">
        <v>103</v>
      </c>
      <c r="M102" s="8" t="s">
        <v>296</v>
      </c>
    </row>
    <row r="103" spans="2:13" x14ac:dyDescent="0.2">
      <c r="B103" s="8">
        <f>VLOOKUP( APIF_Import!$M103, Podesavanja!$N$3:$Q$9, 4, 0)</f>
        <v>2</v>
      </c>
      <c r="C103" s="363">
        <f>VLOOKUP( APIF_Import!$L103, Aop!$A$2:$N$415, 4, 0)</f>
        <v>136</v>
      </c>
      <c r="D103" s="364" t="str">
        <f ca="1">IF( ISNA( VLOOKUP( APIF_Import!$M103 &amp; APIF_Import!$D$1,Podesavanja!$AA$3:$AD$24, 4, 0)), "", SUBSTITUTE( VALUE( VLOOKUP( APIF_Import!$C103, INDIRECT( "Lookup_" &amp; APIF_Import!$M103), VLOOKUP( APIF_Import!$M103 &amp; APIF_Import!$D$1,Podesavanja!$AA$3:$AD$24, 4, 0), 0)), ".", ","))</f>
        <v>581070</v>
      </c>
      <c r="E103" s="364" t="str">
        <f ca="1">IF( ISNA( VLOOKUP( APIF_Import!$M103 &amp; APIF_Import!$E$1,Podesavanja!$AA$3:$AD$24, 4, 0)), "", SUBSTITUTE( VALUE( VLOOKUP( APIF_Import!$C103, INDIRECT( "Lookup_" &amp; APIF_Import!$M103), VLOOKUP( APIF_Import!$M103 &amp; APIF_Import!$E$1,Podesavanja!$AA$3:$AD$24, 4, 0), 0)), ".", ","))</f>
        <v>789083</v>
      </c>
      <c r="F103" s="364" t="str">
        <f ca="1">IF( ISNA( VLOOKUP( APIF_Import!$M103 &amp; APIF_Import!$F$1,Podesavanja!$AA$3:$AD$24, 4, 0)), "", VLOOKUP( APIF_Import!$C103, INDIRECT( "Lookup_" &amp; APIF_Import!$M103), VLOOKUP( APIF_Import!$M103 &amp; APIF_Import!$F$1,Podesavanja!$AA$3:$AD$24, 4, 0), 0))</f>
        <v/>
      </c>
      <c r="G103" s="364" t="str">
        <f ca="1">IF( ISNA( VLOOKUP( APIF_Import!$M103 &amp; APIF_Import!$G$1,Podesavanja!$AA$3:$AD$24, 4, 0)), "", VLOOKUP( APIF_Import!$C103, INDIRECT( "Lookup_" &amp; APIF_Import!$M103), VLOOKUP( APIF_Import!$M103 &amp; APIF_Import!$G$1,Podesavanja!$AA$3:$AD$24, 4, 0), 0))</f>
        <v/>
      </c>
      <c r="H103" s="364" t="str">
        <f ca="1">IF( ISNA( VLOOKUP( APIF_Import!$M103 &amp; APIF_Import!$H$1,Podesavanja!$AA$3:$AD$24, 4, 0)), "", VLOOKUP( APIF_Import!$C103, INDIRECT( "Lookup_" &amp; APIF_Import!$M103), VLOOKUP( APIF_Import!$M103 &amp; APIF_Import!$H$1,Podesavanja!$AA$3:$AD$24, 4, 0), 0))</f>
        <v/>
      </c>
      <c r="I103" s="364" t="str">
        <f ca="1">IF( ISNA( VLOOKUP( APIF_Import!$M103 &amp; APIF_Import!$I$1,Podesavanja!$AA$3:$AD$24, 4, 0)), "", VLOOKUP( APIF_Import!$C103, INDIRECT( "Lookup_" &amp; APIF_Import!$M103), VLOOKUP( APIF_Import!$M103 &amp; APIF_Import!$I$1,Podesavanja!$AA$3:$AD$24, 4, 0), 0))</f>
        <v/>
      </c>
      <c r="J103" s="364" t="str">
        <f ca="1">IF( ISNA( VLOOKUP( APIF_Import!$M103 &amp; APIF_Import!$J$1,Podesavanja!$AA$3:$AD$24, 4, 0)), "", VLOOKUP( APIF_Import!$C103, INDIRECT( "Lookup_" &amp; APIF_Import!$M103), VLOOKUP( APIF_Import!$M103 &amp; APIF_Import!$J$1,Podesavanja!$AA$3:$AD$24, 4, 0), 0))</f>
        <v/>
      </c>
      <c r="K103" s="364" t="str">
        <f ca="1">IF( ISNA( VLOOKUP( APIF_Import!$M103 &amp; APIF_Import!$K$1,Podesavanja!$AA$3:$AD$24, 4, 0)), "", VLOOKUP( APIF_Import!$C103, INDIRECT( "Lookup_" &amp; APIF_Import!$M103), VLOOKUP( APIF_Import!$M103 &amp; APIF_Import!$K$1,Podesavanja!$AA$3:$AD$24, 4, 0), 0))</f>
        <v/>
      </c>
      <c r="L103" s="8">
        <v>104</v>
      </c>
      <c r="M103" s="8" t="s">
        <v>296</v>
      </c>
    </row>
    <row r="104" spans="2:13" x14ac:dyDescent="0.2">
      <c r="B104" s="8">
        <f>VLOOKUP( APIF_Import!$M104, Podesavanja!$N$3:$Q$9, 4, 0)</f>
        <v>2</v>
      </c>
      <c r="C104" s="363">
        <f>VLOOKUP( APIF_Import!$L104, Aop!$A$2:$N$415, 4, 0)</f>
        <v>137</v>
      </c>
      <c r="D104" s="364" t="str">
        <f ca="1">IF( ISNA( VLOOKUP( APIF_Import!$M104 &amp; APIF_Import!$D$1,Podesavanja!$AA$3:$AD$24, 4, 0)), "", SUBSTITUTE( VALUE( VLOOKUP( APIF_Import!$C104, INDIRECT( "Lookup_" &amp; APIF_Import!$M104), VLOOKUP( APIF_Import!$M104 &amp; APIF_Import!$D$1,Podesavanja!$AA$3:$AD$24, 4, 0), 0)), ".", ","))</f>
        <v>0</v>
      </c>
      <c r="E104" s="364" t="str">
        <f ca="1">IF( ISNA( VLOOKUP( APIF_Import!$M104 &amp; APIF_Import!$E$1,Podesavanja!$AA$3:$AD$24, 4, 0)), "", SUBSTITUTE( VALUE( VLOOKUP( APIF_Import!$C104, INDIRECT( "Lookup_" &amp; APIF_Import!$M104), VLOOKUP( APIF_Import!$M104 &amp; APIF_Import!$E$1,Podesavanja!$AA$3:$AD$24, 4, 0), 0)), ".", ","))</f>
        <v>0</v>
      </c>
      <c r="F104" s="364" t="str">
        <f ca="1">IF( ISNA( VLOOKUP( APIF_Import!$M104 &amp; APIF_Import!$F$1,Podesavanja!$AA$3:$AD$24, 4, 0)), "", VLOOKUP( APIF_Import!$C104, INDIRECT( "Lookup_" &amp; APIF_Import!$M104), VLOOKUP( APIF_Import!$M104 &amp; APIF_Import!$F$1,Podesavanja!$AA$3:$AD$24, 4, 0), 0))</f>
        <v/>
      </c>
      <c r="G104" s="364" t="str">
        <f ca="1">IF( ISNA( VLOOKUP( APIF_Import!$M104 &amp; APIF_Import!$G$1,Podesavanja!$AA$3:$AD$24, 4, 0)), "", VLOOKUP( APIF_Import!$C104, INDIRECT( "Lookup_" &amp; APIF_Import!$M104), VLOOKUP( APIF_Import!$M104 &amp; APIF_Import!$G$1,Podesavanja!$AA$3:$AD$24, 4, 0), 0))</f>
        <v/>
      </c>
      <c r="H104" s="364" t="str">
        <f ca="1">IF( ISNA( VLOOKUP( APIF_Import!$M104 &amp; APIF_Import!$H$1,Podesavanja!$AA$3:$AD$24, 4, 0)), "", VLOOKUP( APIF_Import!$C104, INDIRECT( "Lookup_" &amp; APIF_Import!$M104), VLOOKUP( APIF_Import!$M104 &amp; APIF_Import!$H$1,Podesavanja!$AA$3:$AD$24, 4, 0), 0))</f>
        <v/>
      </c>
      <c r="I104" s="364" t="str">
        <f ca="1">IF( ISNA( VLOOKUP( APIF_Import!$M104 &amp; APIF_Import!$I$1,Podesavanja!$AA$3:$AD$24, 4, 0)), "", VLOOKUP( APIF_Import!$C104, INDIRECT( "Lookup_" &amp; APIF_Import!$M104), VLOOKUP( APIF_Import!$M104 &amp; APIF_Import!$I$1,Podesavanja!$AA$3:$AD$24, 4, 0), 0))</f>
        <v/>
      </c>
      <c r="J104" s="364" t="str">
        <f ca="1">IF( ISNA( VLOOKUP( APIF_Import!$M104 &amp; APIF_Import!$J$1,Podesavanja!$AA$3:$AD$24, 4, 0)), "", VLOOKUP( APIF_Import!$C104, INDIRECT( "Lookup_" &amp; APIF_Import!$M104), VLOOKUP( APIF_Import!$M104 &amp; APIF_Import!$J$1,Podesavanja!$AA$3:$AD$24, 4, 0), 0))</f>
        <v/>
      </c>
      <c r="K104" s="364" t="str">
        <f ca="1">IF( ISNA( VLOOKUP( APIF_Import!$M104 &amp; APIF_Import!$K$1,Podesavanja!$AA$3:$AD$24, 4, 0)), "", VLOOKUP( APIF_Import!$C104, INDIRECT( "Lookup_" &amp; APIF_Import!$M104), VLOOKUP( APIF_Import!$M104 &amp; APIF_Import!$K$1,Podesavanja!$AA$3:$AD$24, 4, 0), 0))</f>
        <v/>
      </c>
      <c r="L104" s="8">
        <v>105</v>
      </c>
      <c r="M104" s="8" t="s">
        <v>296</v>
      </c>
    </row>
    <row r="105" spans="2:13" x14ac:dyDescent="0.2">
      <c r="B105" s="8">
        <f>VLOOKUP( APIF_Import!$M105, Podesavanja!$N$3:$Q$9, 4, 0)</f>
        <v>2</v>
      </c>
      <c r="C105" s="363">
        <f>VLOOKUP( APIF_Import!$L105, Aop!$A$2:$N$415, 4, 0)</f>
        <v>138</v>
      </c>
      <c r="D105" s="364" t="str">
        <f ca="1">IF( ISNA( VLOOKUP( APIF_Import!$M105 &amp; APIF_Import!$D$1,Podesavanja!$AA$3:$AD$24, 4, 0)), "", SUBSTITUTE( VALUE( VLOOKUP( APIF_Import!$C105, INDIRECT( "Lookup_" &amp; APIF_Import!$M105), VLOOKUP( APIF_Import!$M105 &amp; APIF_Import!$D$1,Podesavanja!$AA$3:$AD$24, 4, 0), 0)), ".", ","))</f>
        <v>0</v>
      </c>
      <c r="E105" s="364" t="str">
        <f ca="1">IF( ISNA( VLOOKUP( APIF_Import!$M105 &amp; APIF_Import!$E$1,Podesavanja!$AA$3:$AD$24, 4, 0)), "", SUBSTITUTE( VALUE( VLOOKUP( APIF_Import!$C105, INDIRECT( "Lookup_" &amp; APIF_Import!$M105), VLOOKUP( APIF_Import!$M105 &amp; APIF_Import!$E$1,Podesavanja!$AA$3:$AD$24, 4, 0), 0)), ".", ","))</f>
        <v>0</v>
      </c>
      <c r="F105" s="364" t="str">
        <f ca="1">IF( ISNA( VLOOKUP( APIF_Import!$M105 &amp; APIF_Import!$F$1,Podesavanja!$AA$3:$AD$24, 4, 0)), "", VLOOKUP( APIF_Import!$C105, INDIRECT( "Lookup_" &amp; APIF_Import!$M105), VLOOKUP( APIF_Import!$M105 &amp; APIF_Import!$F$1,Podesavanja!$AA$3:$AD$24, 4, 0), 0))</f>
        <v/>
      </c>
      <c r="G105" s="364" t="str">
        <f ca="1">IF( ISNA( VLOOKUP( APIF_Import!$M105 &amp; APIF_Import!$G$1,Podesavanja!$AA$3:$AD$24, 4, 0)), "", VLOOKUP( APIF_Import!$C105, INDIRECT( "Lookup_" &amp; APIF_Import!$M105), VLOOKUP( APIF_Import!$M105 &amp; APIF_Import!$G$1,Podesavanja!$AA$3:$AD$24, 4, 0), 0))</f>
        <v/>
      </c>
      <c r="H105" s="364" t="str">
        <f ca="1">IF( ISNA( VLOOKUP( APIF_Import!$M105 &amp; APIF_Import!$H$1,Podesavanja!$AA$3:$AD$24, 4, 0)), "", VLOOKUP( APIF_Import!$C105, INDIRECT( "Lookup_" &amp; APIF_Import!$M105), VLOOKUP( APIF_Import!$M105 &amp; APIF_Import!$H$1,Podesavanja!$AA$3:$AD$24, 4, 0), 0))</f>
        <v/>
      </c>
      <c r="I105" s="364" t="str">
        <f ca="1">IF( ISNA( VLOOKUP( APIF_Import!$M105 &amp; APIF_Import!$I$1,Podesavanja!$AA$3:$AD$24, 4, 0)), "", VLOOKUP( APIF_Import!$C105, INDIRECT( "Lookup_" &amp; APIF_Import!$M105), VLOOKUP( APIF_Import!$M105 &amp; APIF_Import!$I$1,Podesavanja!$AA$3:$AD$24, 4, 0), 0))</f>
        <v/>
      </c>
      <c r="J105" s="364" t="str">
        <f ca="1">IF( ISNA( VLOOKUP( APIF_Import!$M105 &amp; APIF_Import!$J$1,Podesavanja!$AA$3:$AD$24, 4, 0)), "", VLOOKUP( APIF_Import!$C105, INDIRECT( "Lookup_" &amp; APIF_Import!$M105), VLOOKUP( APIF_Import!$M105 &amp; APIF_Import!$J$1,Podesavanja!$AA$3:$AD$24, 4, 0), 0))</f>
        <v/>
      </c>
      <c r="K105" s="364" t="str">
        <f ca="1">IF( ISNA( VLOOKUP( APIF_Import!$M105 &amp; APIF_Import!$K$1,Podesavanja!$AA$3:$AD$24, 4, 0)), "", VLOOKUP( APIF_Import!$C105, INDIRECT( "Lookup_" &amp; APIF_Import!$M105), VLOOKUP( APIF_Import!$M105 &amp; APIF_Import!$K$1,Podesavanja!$AA$3:$AD$24, 4, 0), 0))</f>
        <v/>
      </c>
      <c r="L105" s="8">
        <v>106</v>
      </c>
      <c r="M105" s="8" t="s">
        <v>296</v>
      </c>
    </row>
    <row r="106" spans="2:13" x14ac:dyDescent="0.2">
      <c r="B106" s="8">
        <f>VLOOKUP( APIF_Import!$M106, Podesavanja!$N$3:$Q$9, 4, 0)</f>
        <v>2</v>
      </c>
      <c r="C106" s="363">
        <f>VLOOKUP( APIF_Import!$L106, Aop!$A$2:$N$415, 4, 0)</f>
        <v>139</v>
      </c>
      <c r="D106" s="364" t="str">
        <f ca="1">IF( ISNA( VLOOKUP( APIF_Import!$M106 &amp; APIF_Import!$D$1,Podesavanja!$AA$3:$AD$24, 4, 0)), "", SUBSTITUTE( VALUE( VLOOKUP( APIF_Import!$C106, INDIRECT( "Lookup_" &amp; APIF_Import!$M106), VLOOKUP( APIF_Import!$M106 &amp; APIF_Import!$D$1,Podesavanja!$AA$3:$AD$24, 4, 0), 0)), ".", ","))</f>
        <v>0</v>
      </c>
      <c r="E106" s="364" t="str">
        <f ca="1">IF( ISNA( VLOOKUP( APIF_Import!$M106 &amp; APIF_Import!$E$1,Podesavanja!$AA$3:$AD$24, 4, 0)), "", SUBSTITUTE( VALUE( VLOOKUP( APIF_Import!$C106, INDIRECT( "Lookup_" &amp; APIF_Import!$M106), VLOOKUP( APIF_Import!$M106 &amp; APIF_Import!$E$1,Podesavanja!$AA$3:$AD$24, 4, 0), 0)), ".", ","))</f>
        <v>0</v>
      </c>
      <c r="F106" s="364" t="str">
        <f ca="1">IF( ISNA( VLOOKUP( APIF_Import!$M106 &amp; APIF_Import!$F$1,Podesavanja!$AA$3:$AD$24, 4, 0)), "", VLOOKUP( APIF_Import!$C106, INDIRECT( "Lookup_" &amp; APIF_Import!$M106), VLOOKUP( APIF_Import!$M106 &amp; APIF_Import!$F$1,Podesavanja!$AA$3:$AD$24, 4, 0), 0))</f>
        <v/>
      </c>
      <c r="G106" s="364" t="str">
        <f ca="1">IF( ISNA( VLOOKUP( APIF_Import!$M106 &amp; APIF_Import!$G$1,Podesavanja!$AA$3:$AD$24, 4, 0)), "", VLOOKUP( APIF_Import!$C106, INDIRECT( "Lookup_" &amp; APIF_Import!$M106), VLOOKUP( APIF_Import!$M106 &amp; APIF_Import!$G$1,Podesavanja!$AA$3:$AD$24, 4, 0), 0))</f>
        <v/>
      </c>
      <c r="H106" s="364" t="str">
        <f ca="1">IF( ISNA( VLOOKUP( APIF_Import!$M106 &amp; APIF_Import!$H$1,Podesavanja!$AA$3:$AD$24, 4, 0)), "", VLOOKUP( APIF_Import!$C106, INDIRECT( "Lookup_" &amp; APIF_Import!$M106), VLOOKUP( APIF_Import!$M106 &amp; APIF_Import!$H$1,Podesavanja!$AA$3:$AD$24, 4, 0), 0))</f>
        <v/>
      </c>
      <c r="I106" s="364" t="str">
        <f ca="1">IF( ISNA( VLOOKUP( APIF_Import!$M106 &amp; APIF_Import!$I$1,Podesavanja!$AA$3:$AD$24, 4, 0)), "", VLOOKUP( APIF_Import!$C106, INDIRECT( "Lookup_" &amp; APIF_Import!$M106), VLOOKUP( APIF_Import!$M106 &amp; APIF_Import!$I$1,Podesavanja!$AA$3:$AD$24, 4, 0), 0))</f>
        <v/>
      </c>
      <c r="J106" s="364" t="str">
        <f ca="1">IF( ISNA( VLOOKUP( APIF_Import!$M106 &amp; APIF_Import!$J$1,Podesavanja!$AA$3:$AD$24, 4, 0)), "", VLOOKUP( APIF_Import!$C106, INDIRECT( "Lookup_" &amp; APIF_Import!$M106), VLOOKUP( APIF_Import!$M106 &amp; APIF_Import!$J$1,Podesavanja!$AA$3:$AD$24, 4, 0), 0))</f>
        <v/>
      </c>
      <c r="K106" s="364" t="str">
        <f ca="1">IF( ISNA( VLOOKUP( APIF_Import!$M106 &amp; APIF_Import!$K$1,Podesavanja!$AA$3:$AD$24, 4, 0)), "", VLOOKUP( APIF_Import!$C106, INDIRECT( "Lookup_" &amp; APIF_Import!$M106), VLOOKUP( APIF_Import!$M106 &amp; APIF_Import!$K$1,Podesavanja!$AA$3:$AD$24, 4, 0), 0))</f>
        <v/>
      </c>
      <c r="L106" s="8">
        <v>107</v>
      </c>
      <c r="M106" s="8" t="s">
        <v>296</v>
      </c>
    </row>
    <row r="107" spans="2:13" x14ac:dyDescent="0.2">
      <c r="B107" s="8">
        <f>VLOOKUP( APIF_Import!$M107, Podesavanja!$N$3:$Q$9, 4, 0)</f>
        <v>2</v>
      </c>
      <c r="C107" s="363">
        <f>VLOOKUP( APIF_Import!$L107, Aop!$A$2:$N$415, 4, 0)</f>
        <v>140</v>
      </c>
      <c r="D107" s="364" t="str">
        <f ca="1">IF( ISNA( VLOOKUP( APIF_Import!$M107 &amp; APIF_Import!$D$1,Podesavanja!$AA$3:$AD$24, 4, 0)), "", SUBSTITUTE( VALUE( VLOOKUP( APIF_Import!$C107, INDIRECT( "Lookup_" &amp; APIF_Import!$M107), VLOOKUP( APIF_Import!$M107 &amp; APIF_Import!$D$1,Podesavanja!$AA$3:$AD$24, 4, 0), 0)), ".", ","))</f>
        <v>407406</v>
      </c>
      <c r="E107" s="364" t="str">
        <f ca="1">IF( ISNA( VLOOKUP( APIF_Import!$M107 &amp; APIF_Import!$E$1,Podesavanja!$AA$3:$AD$24, 4, 0)), "", SUBSTITUTE( VALUE( VLOOKUP( APIF_Import!$C107, INDIRECT( "Lookup_" &amp; APIF_Import!$M107), VLOOKUP( APIF_Import!$M107 &amp; APIF_Import!$E$1,Podesavanja!$AA$3:$AD$24, 4, 0), 0)), ".", ","))</f>
        <v>463428</v>
      </c>
      <c r="F107" s="364" t="str">
        <f ca="1">IF( ISNA( VLOOKUP( APIF_Import!$M107 &amp; APIF_Import!$F$1,Podesavanja!$AA$3:$AD$24, 4, 0)), "", VLOOKUP( APIF_Import!$C107, INDIRECT( "Lookup_" &amp; APIF_Import!$M107), VLOOKUP( APIF_Import!$M107 &amp; APIF_Import!$F$1,Podesavanja!$AA$3:$AD$24, 4, 0), 0))</f>
        <v/>
      </c>
      <c r="G107" s="364" t="str">
        <f ca="1">IF( ISNA( VLOOKUP( APIF_Import!$M107 &amp; APIF_Import!$G$1,Podesavanja!$AA$3:$AD$24, 4, 0)), "", VLOOKUP( APIF_Import!$C107, INDIRECT( "Lookup_" &amp; APIF_Import!$M107), VLOOKUP( APIF_Import!$M107 &amp; APIF_Import!$G$1,Podesavanja!$AA$3:$AD$24, 4, 0), 0))</f>
        <v/>
      </c>
      <c r="H107" s="364" t="str">
        <f ca="1">IF( ISNA( VLOOKUP( APIF_Import!$M107 &amp; APIF_Import!$H$1,Podesavanja!$AA$3:$AD$24, 4, 0)), "", VLOOKUP( APIF_Import!$C107, INDIRECT( "Lookup_" &amp; APIF_Import!$M107), VLOOKUP( APIF_Import!$M107 &amp; APIF_Import!$H$1,Podesavanja!$AA$3:$AD$24, 4, 0), 0))</f>
        <v/>
      </c>
      <c r="I107" s="364" t="str">
        <f ca="1">IF( ISNA( VLOOKUP( APIF_Import!$M107 &amp; APIF_Import!$I$1,Podesavanja!$AA$3:$AD$24, 4, 0)), "", VLOOKUP( APIF_Import!$C107, INDIRECT( "Lookup_" &amp; APIF_Import!$M107), VLOOKUP( APIF_Import!$M107 &amp; APIF_Import!$I$1,Podesavanja!$AA$3:$AD$24, 4, 0), 0))</f>
        <v/>
      </c>
      <c r="J107" s="364" t="str">
        <f ca="1">IF( ISNA( VLOOKUP( APIF_Import!$M107 &amp; APIF_Import!$J$1,Podesavanja!$AA$3:$AD$24, 4, 0)), "", VLOOKUP( APIF_Import!$C107, INDIRECT( "Lookup_" &amp; APIF_Import!$M107), VLOOKUP( APIF_Import!$M107 &amp; APIF_Import!$J$1,Podesavanja!$AA$3:$AD$24, 4, 0), 0))</f>
        <v/>
      </c>
      <c r="K107" s="364" t="str">
        <f ca="1">IF( ISNA( VLOOKUP( APIF_Import!$M107 &amp; APIF_Import!$K$1,Podesavanja!$AA$3:$AD$24, 4, 0)), "", VLOOKUP( APIF_Import!$C107, INDIRECT( "Lookup_" &amp; APIF_Import!$M107), VLOOKUP( APIF_Import!$M107 &amp; APIF_Import!$K$1,Podesavanja!$AA$3:$AD$24, 4, 0), 0))</f>
        <v/>
      </c>
      <c r="L107" s="8">
        <v>108</v>
      </c>
      <c r="M107" s="8" t="s">
        <v>296</v>
      </c>
    </row>
    <row r="108" spans="2:13" x14ac:dyDescent="0.2">
      <c r="B108" s="8">
        <f>VLOOKUP( APIF_Import!$M108, Podesavanja!$N$3:$Q$9, 4, 0)</f>
        <v>2</v>
      </c>
      <c r="C108" s="363">
        <f>VLOOKUP( APIF_Import!$L108, Aop!$A$2:$N$415, 4, 0)</f>
        <v>141</v>
      </c>
      <c r="D108" s="364" t="str">
        <f ca="1">IF( ISNA( VLOOKUP( APIF_Import!$M108 &amp; APIF_Import!$D$1,Podesavanja!$AA$3:$AD$24, 4, 0)), "", SUBSTITUTE( VALUE( VLOOKUP( APIF_Import!$C108, INDIRECT( "Lookup_" &amp; APIF_Import!$M108), VLOOKUP( APIF_Import!$M108 &amp; APIF_Import!$D$1,Podesavanja!$AA$3:$AD$24, 4, 0), 0)), ".", ","))</f>
        <v>40164</v>
      </c>
      <c r="E108" s="364" t="str">
        <f ca="1">IF( ISNA( VLOOKUP( APIF_Import!$M108 &amp; APIF_Import!$E$1,Podesavanja!$AA$3:$AD$24, 4, 0)), "", SUBSTITUTE( VALUE( VLOOKUP( APIF_Import!$C108, INDIRECT( "Lookup_" &amp; APIF_Import!$M108), VLOOKUP( APIF_Import!$M108 &amp; APIF_Import!$E$1,Podesavanja!$AA$3:$AD$24, 4, 0), 0)), ".", ","))</f>
        <v>155155</v>
      </c>
      <c r="F108" s="364" t="str">
        <f ca="1">IF( ISNA( VLOOKUP( APIF_Import!$M108 &amp; APIF_Import!$F$1,Podesavanja!$AA$3:$AD$24, 4, 0)), "", VLOOKUP( APIF_Import!$C108, INDIRECT( "Lookup_" &amp; APIF_Import!$M108), VLOOKUP( APIF_Import!$M108 &amp; APIF_Import!$F$1,Podesavanja!$AA$3:$AD$24, 4, 0), 0))</f>
        <v/>
      </c>
      <c r="G108" s="364" t="str">
        <f ca="1">IF( ISNA( VLOOKUP( APIF_Import!$M108 &amp; APIF_Import!$G$1,Podesavanja!$AA$3:$AD$24, 4, 0)), "", VLOOKUP( APIF_Import!$C108, INDIRECT( "Lookup_" &amp; APIF_Import!$M108), VLOOKUP( APIF_Import!$M108 &amp; APIF_Import!$G$1,Podesavanja!$AA$3:$AD$24, 4, 0), 0))</f>
        <v/>
      </c>
      <c r="H108" s="364" t="str">
        <f ca="1">IF( ISNA( VLOOKUP( APIF_Import!$M108 &amp; APIF_Import!$H$1,Podesavanja!$AA$3:$AD$24, 4, 0)), "", VLOOKUP( APIF_Import!$C108, INDIRECT( "Lookup_" &amp; APIF_Import!$M108), VLOOKUP( APIF_Import!$M108 &amp; APIF_Import!$H$1,Podesavanja!$AA$3:$AD$24, 4, 0), 0))</f>
        <v/>
      </c>
      <c r="I108" s="364" t="str">
        <f ca="1">IF( ISNA( VLOOKUP( APIF_Import!$M108 &amp; APIF_Import!$I$1,Podesavanja!$AA$3:$AD$24, 4, 0)), "", VLOOKUP( APIF_Import!$C108, INDIRECT( "Lookup_" &amp; APIF_Import!$M108), VLOOKUP( APIF_Import!$M108 &amp; APIF_Import!$I$1,Podesavanja!$AA$3:$AD$24, 4, 0), 0))</f>
        <v/>
      </c>
      <c r="J108" s="364" t="str">
        <f ca="1">IF( ISNA( VLOOKUP( APIF_Import!$M108 &amp; APIF_Import!$J$1,Podesavanja!$AA$3:$AD$24, 4, 0)), "", VLOOKUP( APIF_Import!$C108, INDIRECT( "Lookup_" &amp; APIF_Import!$M108), VLOOKUP( APIF_Import!$M108 &amp; APIF_Import!$J$1,Podesavanja!$AA$3:$AD$24, 4, 0), 0))</f>
        <v/>
      </c>
      <c r="K108" s="364" t="str">
        <f ca="1">IF( ISNA( VLOOKUP( APIF_Import!$M108 &amp; APIF_Import!$K$1,Podesavanja!$AA$3:$AD$24, 4, 0)), "", VLOOKUP( APIF_Import!$C108, INDIRECT( "Lookup_" &amp; APIF_Import!$M108), VLOOKUP( APIF_Import!$M108 &amp; APIF_Import!$K$1,Podesavanja!$AA$3:$AD$24, 4, 0), 0))</f>
        <v/>
      </c>
      <c r="L108" s="8">
        <v>109</v>
      </c>
      <c r="M108" s="8" t="s">
        <v>296</v>
      </c>
    </row>
    <row r="109" spans="2:13" x14ac:dyDescent="0.2">
      <c r="B109" s="8">
        <f>VLOOKUP( APIF_Import!$M109, Podesavanja!$N$3:$Q$9, 4, 0)</f>
        <v>2</v>
      </c>
      <c r="C109" s="363">
        <f>VLOOKUP( APIF_Import!$L109, Aop!$A$2:$N$415, 4, 0)</f>
        <v>142</v>
      </c>
      <c r="D109" s="364" t="str">
        <f ca="1">IF( ISNA( VLOOKUP( APIF_Import!$M109 &amp; APIF_Import!$D$1,Podesavanja!$AA$3:$AD$24, 4, 0)), "", SUBSTITUTE( VALUE( VLOOKUP( APIF_Import!$C109, INDIRECT( "Lookup_" &amp; APIF_Import!$M109), VLOOKUP( APIF_Import!$M109 &amp; APIF_Import!$D$1,Podesavanja!$AA$3:$AD$24, 4, 0), 0)), ".", ","))</f>
        <v>0</v>
      </c>
      <c r="E109" s="364" t="str">
        <f ca="1">IF( ISNA( VLOOKUP( APIF_Import!$M109 &amp; APIF_Import!$E$1,Podesavanja!$AA$3:$AD$24, 4, 0)), "", SUBSTITUTE( VALUE( VLOOKUP( APIF_Import!$C109, INDIRECT( "Lookup_" &amp; APIF_Import!$M109), VLOOKUP( APIF_Import!$M109 &amp; APIF_Import!$E$1,Podesavanja!$AA$3:$AD$24, 4, 0), 0)), ".", ","))</f>
        <v>0</v>
      </c>
      <c r="F109" s="364" t="str">
        <f ca="1">IF( ISNA( VLOOKUP( APIF_Import!$M109 &amp; APIF_Import!$F$1,Podesavanja!$AA$3:$AD$24, 4, 0)), "", VLOOKUP( APIF_Import!$C109, INDIRECT( "Lookup_" &amp; APIF_Import!$M109), VLOOKUP( APIF_Import!$M109 &amp; APIF_Import!$F$1,Podesavanja!$AA$3:$AD$24, 4, 0), 0))</f>
        <v/>
      </c>
      <c r="G109" s="364" t="str">
        <f ca="1">IF( ISNA( VLOOKUP( APIF_Import!$M109 &amp; APIF_Import!$G$1,Podesavanja!$AA$3:$AD$24, 4, 0)), "", VLOOKUP( APIF_Import!$C109, INDIRECT( "Lookup_" &amp; APIF_Import!$M109), VLOOKUP( APIF_Import!$M109 &amp; APIF_Import!$G$1,Podesavanja!$AA$3:$AD$24, 4, 0), 0))</f>
        <v/>
      </c>
      <c r="H109" s="364" t="str">
        <f ca="1">IF( ISNA( VLOOKUP( APIF_Import!$M109 &amp; APIF_Import!$H$1,Podesavanja!$AA$3:$AD$24, 4, 0)), "", VLOOKUP( APIF_Import!$C109, INDIRECT( "Lookup_" &amp; APIF_Import!$M109), VLOOKUP( APIF_Import!$M109 &amp; APIF_Import!$H$1,Podesavanja!$AA$3:$AD$24, 4, 0), 0))</f>
        <v/>
      </c>
      <c r="I109" s="364" t="str">
        <f ca="1">IF( ISNA( VLOOKUP( APIF_Import!$M109 &amp; APIF_Import!$I$1,Podesavanja!$AA$3:$AD$24, 4, 0)), "", VLOOKUP( APIF_Import!$C109, INDIRECT( "Lookup_" &amp; APIF_Import!$M109), VLOOKUP( APIF_Import!$M109 &amp; APIF_Import!$I$1,Podesavanja!$AA$3:$AD$24, 4, 0), 0))</f>
        <v/>
      </c>
      <c r="J109" s="364" t="str">
        <f ca="1">IF( ISNA( VLOOKUP( APIF_Import!$M109 &amp; APIF_Import!$J$1,Podesavanja!$AA$3:$AD$24, 4, 0)), "", VLOOKUP( APIF_Import!$C109, INDIRECT( "Lookup_" &amp; APIF_Import!$M109), VLOOKUP( APIF_Import!$M109 &amp; APIF_Import!$J$1,Podesavanja!$AA$3:$AD$24, 4, 0), 0))</f>
        <v/>
      </c>
      <c r="K109" s="364" t="str">
        <f ca="1">IF( ISNA( VLOOKUP( APIF_Import!$M109 &amp; APIF_Import!$K$1,Podesavanja!$AA$3:$AD$24, 4, 0)), "", VLOOKUP( APIF_Import!$C109, INDIRECT( "Lookup_" &amp; APIF_Import!$M109), VLOOKUP( APIF_Import!$M109 &amp; APIF_Import!$K$1,Podesavanja!$AA$3:$AD$24, 4, 0), 0))</f>
        <v/>
      </c>
      <c r="L109" s="8">
        <v>110</v>
      </c>
      <c r="M109" s="8" t="s">
        <v>296</v>
      </c>
    </row>
    <row r="110" spans="2:13" x14ac:dyDescent="0.2">
      <c r="B110" s="8">
        <f>VLOOKUP( APIF_Import!$M110, Podesavanja!$N$3:$Q$9, 4, 0)</f>
        <v>2</v>
      </c>
      <c r="C110" s="363">
        <f>VLOOKUP( APIF_Import!$L110, Aop!$A$2:$N$415, 4, 0)</f>
        <v>143</v>
      </c>
      <c r="D110" s="364" t="str">
        <f ca="1">IF( ISNA( VLOOKUP( APIF_Import!$M110 &amp; APIF_Import!$D$1,Podesavanja!$AA$3:$AD$24, 4, 0)), "", SUBSTITUTE( VALUE( VLOOKUP( APIF_Import!$C110, INDIRECT( "Lookup_" &amp; APIF_Import!$M110), VLOOKUP( APIF_Import!$M110 &amp; APIF_Import!$D$1,Podesavanja!$AA$3:$AD$24, 4, 0), 0)), ".", ","))</f>
        <v>133500</v>
      </c>
      <c r="E110" s="364" t="str">
        <f ca="1">IF( ISNA( VLOOKUP( APIF_Import!$M110 &amp; APIF_Import!$E$1,Podesavanja!$AA$3:$AD$24, 4, 0)), "", SUBSTITUTE( VALUE( VLOOKUP( APIF_Import!$C110, INDIRECT( "Lookup_" &amp; APIF_Import!$M110), VLOOKUP( APIF_Import!$M110 &amp; APIF_Import!$E$1,Podesavanja!$AA$3:$AD$24, 4, 0), 0)), ".", ","))</f>
        <v>170500</v>
      </c>
      <c r="F110" s="364" t="str">
        <f ca="1">IF( ISNA( VLOOKUP( APIF_Import!$M110 &amp; APIF_Import!$F$1,Podesavanja!$AA$3:$AD$24, 4, 0)), "", VLOOKUP( APIF_Import!$C110, INDIRECT( "Lookup_" &amp; APIF_Import!$M110), VLOOKUP( APIF_Import!$M110 &amp; APIF_Import!$F$1,Podesavanja!$AA$3:$AD$24, 4, 0), 0))</f>
        <v/>
      </c>
      <c r="G110" s="364" t="str">
        <f ca="1">IF( ISNA( VLOOKUP( APIF_Import!$M110 &amp; APIF_Import!$G$1,Podesavanja!$AA$3:$AD$24, 4, 0)), "", VLOOKUP( APIF_Import!$C110, INDIRECT( "Lookup_" &amp; APIF_Import!$M110), VLOOKUP( APIF_Import!$M110 &amp; APIF_Import!$G$1,Podesavanja!$AA$3:$AD$24, 4, 0), 0))</f>
        <v/>
      </c>
      <c r="H110" s="364" t="str">
        <f ca="1">IF( ISNA( VLOOKUP( APIF_Import!$M110 &amp; APIF_Import!$H$1,Podesavanja!$AA$3:$AD$24, 4, 0)), "", VLOOKUP( APIF_Import!$C110, INDIRECT( "Lookup_" &amp; APIF_Import!$M110), VLOOKUP( APIF_Import!$M110 &amp; APIF_Import!$H$1,Podesavanja!$AA$3:$AD$24, 4, 0), 0))</f>
        <v/>
      </c>
      <c r="I110" s="364" t="str">
        <f ca="1">IF( ISNA( VLOOKUP( APIF_Import!$M110 &amp; APIF_Import!$I$1,Podesavanja!$AA$3:$AD$24, 4, 0)), "", VLOOKUP( APIF_Import!$C110, INDIRECT( "Lookup_" &amp; APIF_Import!$M110), VLOOKUP( APIF_Import!$M110 &amp; APIF_Import!$I$1,Podesavanja!$AA$3:$AD$24, 4, 0), 0))</f>
        <v/>
      </c>
      <c r="J110" s="364" t="str">
        <f ca="1">IF( ISNA( VLOOKUP( APIF_Import!$M110 &amp; APIF_Import!$J$1,Podesavanja!$AA$3:$AD$24, 4, 0)), "", VLOOKUP( APIF_Import!$C110, INDIRECT( "Lookup_" &amp; APIF_Import!$M110), VLOOKUP( APIF_Import!$M110 &amp; APIF_Import!$J$1,Podesavanja!$AA$3:$AD$24, 4, 0), 0))</f>
        <v/>
      </c>
      <c r="K110" s="364" t="str">
        <f ca="1">IF( ISNA( VLOOKUP( APIF_Import!$M110 &amp; APIF_Import!$K$1,Podesavanja!$AA$3:$AD$24, 4, 0)), "", VLOOKUP( APIF_Import!$C110, INDIRECT( "Lookup_" &amp; APIF_Import!$M110), VLOOKUP( APIF_Import!$M110 &amp; APIF_Import!$K$1,Podesavanja!$AA$3:$AD$24, 4, 0), 0))</f>
        <v/>
      </c>
      <c r="L110" s="8">
        <v>111</v>
      </c>
      <c r="M110" s="8" t="s">
        <v>296</v>
      </c>
    </row>
    <row r="111" spans="2:13" x14ac:dyDescent="0.2">
      <c r="B111" s="8">
        <f>VLOOKUP( APIF_Import!$M111, Podesavanja!$N$3:$Q$9, 4, 0)</f>
        <v>2</v>
      </c>
      <c r="C111" s="363">
        <f>VLOOKUP( APIF_Import!$L111, Aop!$A$2:$N$415, 4, 0)</f>
        <v>144</v>
      </c>
      <c r="D111" s="364" t="str">
        <f ca="1">IF( ISNA( VLOOKUP( APIF_Import!$M111 &amp; APIF_Import!$D$1,Podesavanja!$AA$3:$AD$24, 4, 0)), "", SUBSTITUTE( VALUE( VLOOKUP( APIF_Import!$C111, INDIRECT( "Lookup_" &amp; APIF_Import!$M111), VLOOKUP( APIF_Import!$M111 &amp; APIF_Import!$D$1,Podesavanja!$AA$3:$AD$24, 4, 0), 0)), ".", ","))</f>
        <v>5578928</v>
      </c>
      <c r="E111" s="364" t="str">
        <f ca="1">IF( ISNA( VLOOKUP( APIF_Import!$M111 &amp; APIF_Import!$E$1,Podesavanja!$AA$3:$AD$24, 4, 0)), "", SUBSTITUTE( VALUE( VLOOKUP( APIF_Import!$C111, INDIRECT( "Lookup_" &amp; APIF_Import!$M111), VLOOKUP( APIF_Import!$M111 &amp; APIF_Import!$E$1,Podesavanja!$AA$3:$AD$24, 4, 0), 0)), ".", ","))</f>
        <v>4996714</v>
      </c>
      <c r="F111" s="364" t="str">
        <f ca="1">IF( ISNA( VLOOKUP( APIF_Import!$M111 &amp; APIF_Import!$F$1,Podesavanja!$AA$3:$AD$24, 4, 0)), "", VLOOKUP( APIF_Import!$C111, INDIRECT( "Lookup_" &amp; APIF_Import!$M111), VLOOKUP( APIF_Import!$M111 &amp; APIF_Import!$F$1,Podesavanja!$AA$3:$AD$24, 4, 0), 0))</f>
        <v/>
      </c>
      <c r="G111" s="364" t="str">
        <f ca="1">IF( ISNA( VLOOKUP( APIF_Import!$M111 &amp; APIF_Import!$G$1,Podesavanja!$AA$3:$AD$24, 4, 0)), "", VLOOKUP( APIF_Import!$C111, INDIRECT( "Lookup_" &amp; APIF_Import!$M111), VLOOKUP( APIF_Import!$M111 &amp; APIF_Import!$G$1,Podesavanja!$AA$3:$AD$24, 4, 0), 0))</f>
        <v/>
      </c>
      <c r="H111" s="364" t="str">
        <f ca="1">IF( ISNA( VLOOKUP( APIF_Import!$M111 &amp; APIF_Import!$H$1,Podesavanja!$AA$3:$AD$24, 4, 0)), "", VLOOKUP( APIF_Import!$C111, INDIRECT( "Lookup_" &amp; APIF_Import!$M111), VLOOKUP( APIF_Import!$M111 &amp; APIF_Import!$H$1,Podesavanja!$AA$3:$AD$24, 4, 0), 0))</f>
        <v/>
      </c>
      <c r="I111" s="364" t="str">
        <f ca="1">IF( ISNA( VLOOKUP( APIF_Import!$M111 &amp; APIF_Import!$I$1,Podesavanja!$AA$3:$AD$24, 4, 0)), "", VLOOKUP( APIF_Import!$C111, INDIRECT( "Lookup_" &amp; APIF_Import!$M111), VLOOKUP( APIF_Import!$M111 &amp; APIF_Import!$I$1,Podesavanja!$AA$3:$AD$24, 4, 0), 0))</f>
        <v/>
      </c>
      <c r="J111" s="364" t="str">
        <f ca="1">IF( ISNA( VLOOKUP( APIF_Import!$M111 &amp; APIF_Import!$J$1,Podesavanja!$AA$3:$AD$24, 4, 0)), "", VLOOKUP( APIF_Import!$C111, INDIRECT( "Lookup_" &amp; APIF_Import!$M111), VLOOKUP( APIF_Import!$M111 &amp; APIF_Import!$J$1,Podesavanja!$AA$3:$AD$24, 4, 0), 0))</f>
        <v/>
      </c>
      <c r="K111" s="364" t="str">
        <f ca="1">IF( ISNA( VLOOKUP( APIF_Import!$M111 &amp; APIF_Import!$K$1,Podesavanja!$AA$3:$AD$24, 4, 0)), "", VLOOKUP( APIF_Import!$C111, INDIRECT( "Lookup_" &amp; APIF_Import!$M111), VLOOKUP( APIF_Import!$M111 &amp; APIF_Import!$K$1,Podesavanja!$AA$3:$AD$24, 4, 0), 0))</f>
        <v/>
      </c>
      <c r="L111" s="8">
        <v>112</v>
      </c>
      <c r="M111" s="8" t="s">
        <v>296</v>
      </c>
    </row>
    <row r="112" spans="2:13" x14ac:dyDescent="0.2">
      <c r="B112" s="8">
        <f>VLOOKUP( APIF_Import!$M112, Podesavanja!$N$3:$Q$9, 4, 0)</f>
        <v>2</v>
      </c>
      <c r="C112" s="363">
        <f>VLOOKUP( APIF_Import!$L112, Aop!$A$2:$N$415, 4, 0)</f>
        <v>145</v>
      </c>
      <c r="D112" s="364" t="str">
        <f ca="1">IF( ISNA( VLOOKUP( APIF_Import!$M112 &amp; APIF_Import!$D$1,Podesavanja!$AA$3:$AD$24, 4, 0)), "", SUBSTITUTE( VALUE( VLOOKUP( APIF_Import!$C112, INDIRECT( "Lookup_" &amp; APIF_Import!$M112), VLOOKUP( APIF_Import!$M112 &amp; APIF_Import!$D$1,Podesavanja!$AA$3:$AD$24, 4, 0), 0)), ".", ","))</f>
        <v>2538655</v>
      </c>
      <c r="E112" s="364" t="str">
        <f ca="1">IF( ISNA( VLOOKUP( APIF_Import!$M112 &amp; APIF_Import!$E$1,Podesavanja!$AA$3:$AD$24, 4, 0)), "", SUBSTITUTE( VALUE( VLOOKUP( APIF_Import!$C112, INDIRECT( "Lookup_" &amp; APIF_Import!$M112), VLOOKUP( APIF_Import!$M112 &amp; APIF_Import!$E$1,Podesavanja!$AA$3:$AD$24, 4, 0), 0)), ".", ","))</f>
        <v>3015150</v>
      </c>
      <c r="F112" s="364" t="str">
        <f ca="1">IF( ISNA( VLOOKUP( APIF_Import!$M112 &amp; APIF_Import!$F$1,Podesavanja!$AA$3:$AD$24, 4, 0)), "", VLOOKUP( APIF_Import!$C112, INDIRECT( "Lookup_" &amp; APIF_Import!$M112), VLOOKUP( APIF_Import!$M112 &amp; APIF_Import!$F$1,Podesavanja!$AA$3:$AD$24, 4, 0), 0))</f>
        <v/>
      </c>
      <c r="G112" s="364" t="str">
        <f ca="1">IF( ISNA( VLOOKUP( APIF_Import!$M112 &amp; APIF_Import!$G$1,Podesavanja!$AA$3:$AD$24, 4, 0)), "", VLOOKUP( APIF_Import!$C112, INDIRECT( "Lookup_" &amp; APIF_Import!$M112), VLOOKUP( APIF_Import!$M112 &amp; APIF_Import!$G$1,Podesavanja!$AA$3:$AD$24, 4, 0), 0))</f>
        <v/>
      </c>
      <c r="H112" s="364" t="str">
        <f ca="1">IF( ISNA( VLOOKUP( APIF_Import!$M112 &amp; APIF_Import!$H$1,Podesavanja!$AA$3:$AD$24, 4, 0)), "", VLOOKUP( APIF_Import!$C112, INDIRECT( "Lookup_" &amp; APIF_Import!$M112), VLOOKUP( APIF_Import!$M112 &amp; APIF_Import!$H$1,Podesavanja!$AA$3:$AD$24, 4, 0), 0))</f>
        <v/>
      </c>
      <c r="I112" s="364" t="str">
        <f ca="1">IF( ISNA( VLOOKUP( APIF_Import!$M112 &amp; APIF_Import!$I$1,Podesavanja!$AA$3:$AD$24, 4, 0)), "", VLOOKUP( APIF_Import!$C112, INDIRECT( "Lookup_" &amp; APIF_Import!$M112), VLOOKUP( APIF_Import!$M112 &amp; APIF_Import!$I$1,Podesavanja!$AA$3:$AD$24, 4, 0), 0))</f>
        <v/>
      </c>
      <c r="J112" s="364" t="str">
        <f ca="1">IF( ISNA( VLOOKUP( APIF_Import!$M112 &amp; APIF_Import!$J$1,Podesavanja!$AA$3:$AD$24, 4, 0)), "", VLOOKUP( APIF_Import!$C112, INDIRECT( "Lookup_" &amp; APIF_Import!$M112), VLOOKUP( APIF_Import!$M112 &amp; APIF_Import!$J$1,Podesavanja!$AA$3:$AD$24, 4, 0), 0))</f>
        <v/>
      </c>
      <c r="K112" s="364" t="str">
        <f ca="1">IF( ISNA( VLOOKUP( APIF_Import!$M112 &amp; APIF_Import!$K$1,Podesavanja!$AA$3:$AD$24, 4, 0)), "", VLOOKUP( APIF_Import!$C112, INDIRECT( "Lookup_" &amp; APIF_Import!$M112), VLOOKUP( APIF_Import!$M112 &amp; APIF_Import!$K$1,Podesavanja!$AA$3:$AD$24, 4, 0), 0))</f>
        <v/>
      </c>
      <c r="L112" s="8">
        <v>113</v>
      </c>
      <c r="M112" s="8" t="s">
        <v>296</v>
      </c>
    </row>
    <row r="113" spans="2:13" x14ac:dyDescent="0.2">
      <c r="B113" s="8">
        <f>VLOOKUP( APIF_Import!$M113, Podesavanja!$N$3:$Q$9, 4, 0)</f>
        <v>2</v>
      </c>
      <c r="C113" s="363">
        <f>VLOOKUP( APIF_Import!$L113, Aop!$A$2:$N$415, 4, 0)</f>
        <v>146</v>
      </c>
      <c r="D113" s="364" t="str">
        <f ca="1">IF( ISNA( VLOOKUP( APIF_Import!$M113 &amp; APIF_Import!$D$1,Podesavanja!$AA$3:$AD$24, 4, 0)), "", SUBSTITUTE( VALUE( VLOOKUP( APIF_Import!$C113, INDIRECT( "Lookup_" &amp; APIF_Import!$M113), VLOOKUP( APIF_Import!$M113 &amp; APIF_Import!$D$1,Podesavanja!$AA$3:$AD$24, 4, 0), 0)), ".", ","))</f>
        <v>1780816</v>
      </c>
      <c r="E113" s="364" t="str">
        <f ca="1">IF( ISNA( VLOOKUP( APIF_Import!$M113 &amp; APIF_Import!$E$1,Podesavanja!$AA$3:$AD$24, 4, 0)), "", SUBSTITUTE( VALUE( VLOOKUP( APIF_Import!$C113, INDIRECT( "Lookup_" &amp; APIF_Import!$M113), VLOOKUP( APIF_Import!$M113 &amp; APIF_Import!$E$1,Podesavanja!$AA$3:$AD$24, 4, 0), 0)), ".", ","))</f>
        <v>2310122</v>
      </c>
      <c r="F113" s="364" t="str">
        <f ca="1">IF( ISNA( VLOOKUP( APIF_Import!$M113 &amp; APIF_Import!$F$1,Podesavanja!$AA$3:$AD$24, 4, 0)), "", VLOOKUP( APIF_Import!$C113, INDIRECT( "Lookup_" &amp; APIF_Import!$M113), VLOOKUP( APIF_Import!$M113 &amp; APIF_Import!$F$1,Podesavanja!$AA$3:$AD$24, 4, 0), 0))</f>
        <v/>
      </c>
      <c r="G113" s="364" t="str">
        <f ca="1">IF( ISNA( VLOOKUP( APIF_Import!$M113 &amp; APIF_Import!$G$1,Podesavanja!$AA$3:$AD$24, 4, 0)), "", VLOOKUP( APIF_Import!$C113, INDIRECT( "Lookup_" &amp; APIF_Import!$M113), VLOOKUP( APIF_Import!$M113 &amp; APIF_Import!$G$1,Podesavanja!$AA$3:$AD$24, 4, 0), 0))</f>
        <v/>
      </c>
      <c r="H113" s="364" t="str">
        <f ca="1">IF( ISNA( VLOOKUP( APIF_Import!$M113 &amp; APIF_Import!$H$1,Podesavanja!$AA$3:$AD$24, 4, 0)), "", VLOOKUP( APIF_Import!$C113, INDIRECT( "Lookup_" &amp; APIF_Import!$M113), VLOOKUP( APIF_Import!$M113 &amp; APIF_Import!$H$1,Podesavanja!$AA$3:$AD$24, 4, 0), 0))</f>
        <v/>
      </c>
      <c r="I113" s="364" t="str">
        <f ca="1">IF( ISNA( VLOOKUP( APIF_Import!$M113 &amp; APIF_Import!$I$1,Podesavanja!$AA$3:$AD$24, 4, 0)), "", VLOOKUP( APIF_Import!$C113, INDIRECT( "Lookup_" &amp; APIF_Import!$M113), VLOOKUP( APIF_Import!$M113 &amp; APIF_Import!$I$1,Podesavanja!$AA$3:$AD$24, 4, 0), 0))</f>
        <v/>
      </c>
      <c r="J113" s="364" t="str">
        <f ca="1">IF( ISNA( VLOOKUP( APIF_Import!$M113 &amp; APIF_Import!$J$1,Podesavanja!$AA$3:$AD$24, 4, 0)), "", VLOOKUP( APIF_Import!$C113, INDIRECT( "Lookup_" &amp; APIF_Import!$M113), VLOOKUP( APIF_Import!$M113 &amp; APIF_Import!$J$1,Podesavanja!$AA$3:$AD$24, 4, 0), 0))</f>
        <v/>
      </c>
      <c r="K113" s="364" t="str">
        <f ca="1">IF( ISNA( VLOOKUP( APIF_Import!$M113 &amp; APIF_Import!$K$1,Podesavanja!$AA$3:$AD$24, 4, 0)), "", VLOOKUP( APIF_Import!$C113, INDIRECT( "Lookup_" &amp; APIF_Import!$M113), VLOOKUP( APIF_Import!$M113 &amp; APIF_Import!$K$1,Podesavanja!$AA$3:$AD$24, 4, 0), 0))</f>
        <v/>
      </c>
      <c r="L113" s="8">
        <v>114</v>
      </c>
      <c r="M113" s="8" t="s">
        <v>296</v>
      </c>
    </row>
    <row r="114" spans="2:13" x14ac:dyDescent="0.2">
      <c r="B114" s="8">
        <f>VLOOKUP( APIF_Import!$M114, Podesavanja!$N$3:$Q$9, 4, 0)</f>
        <v>2</v>
      </c>
      <c r="C114" s="363">
        <f>VLOOKUP( APIF_Import!$L114, Aop!$A$2:$N$415, 4, 0)</f>
        <v>147</v>
      </c>
      <c r="D114" s="364" t="str">
        <f ca="1">IF( ISNA( VLOOKUP( APIF_Import!$M114 &amp; APIF_Import!$D$1,Podesavanja!$AA$3:$AD$24, 4, 0)), "", SUBSTITUTE( VALUE( VLOOKUP( APIF_Import!$C114, INDIRECT( "Lookup_" &amp; APIF_Import!$M114), VLOOKUP( APIF_Import!$M114 &amp; APIF_Import!$D$1,Podesavanja!$AA$3:$AD$24, 4, 0), 0)), ".", ","))</f>
        <v>757839</v>
      </c>
      <c r="E114" s="364" t="str">
        <f ca="1">IF( ISNA( VLOOKUP( APIF_Import!$M114 &amp; APIF_Import!$E$1,Podesavanja!$AA$3:$AD$24, 4, 0)), "", SUBSTITUTE( VALUE( VLOOKUP( APIF_Import!$C114, INDIRECT( "Lookup_" &amp; APIF_Import!$M114), VLOOKUP( APIF_Import!$M114 &amp; APIF_Import!$E$1,Podesavanja!$AA$3:$AD$24, 4, 0), 0)), ".", ","))</f>
        <v>705028</v>
      </c>
      <c r="F114" s="364" t="str">
        <f ca="1">IF( ISNA( VLOOKUP( APIF_Import!$M114 &amp; APIF_Import!$F$1,Podesavanja!$AA$3:$AD$24, 4, 0)), "", VLOOKUP( APIF_Import!$C114, INDIRECT( "Lookup_" &amp; APIF_Import!$M114), VLOOKUP( APIF_Import!$M114 &amp; APIF_Import!$F$1,Podesavanja!$AA$3:$AD$24, 4, 0), 0))</f>
        <v/>
      </c>
      <c r="G114" s="364" t="str">
        <f ca="1">IF( ISNA( VLOOKUP( APIF_Import!$M114 &amp; APIF_Import!$G$1,Podesavanja!$AA$3:$AD$24, 4, 0)), "", VLOOKUP( APIF_Import!$C114, INDIRECT( "Lookup_" &amp; APIF_Import!$M114), VLOOKUP( APIF_Import!$M114 &amp; APIF_Import!$G$1,Podesavanja!$AA$3:$AD$24, 4, 0), 0))</f>
        <v/>
      </c>
      <c r="H114" s="364" t="str">
        <f ca="1">IF( ISNA( VLOOKUP( APIF_Import!$M114 &amp; APIF_Import!$H$1,Podesavanja!$AA$3:$AD$24, 4, 0)), "", VLOOKUP( APIF_Import!$C114, INDIRECT( "Lookup_" &amp; APIF_Import!$M114), VLOOKUP( APIF_Import!$M114 &amp; APIF_Import!$H$1,Podesavanja!$AA$3:$AD$24, 4, 0), 0))</f>
        <v/>
      </c>
      <c r="I114" s="364" t="str">
        <f ca="1">IF( ISNA( VLOOKUP( APIF_Import!$M114 &amp; APIF_Import!$I$1,Podesavanja!$AA$3:$AD$24, 4, 0)), "", VLOOKUP( APIF_Import!$C114, INDIRECT( "Lookup_" &amp; APIF_Import!$M114), VLOOKUP( APIF_Import!$M114 &amp; APIF_Import!$I$1,Podesavanja!$AA$3:$AD$24, 4, 0), 0))</f>
        <v/>
      </c>
      <c r="J114" s="364" t="str">
        <f ca="1">IF( ISNA( VLOOKUP( APIF_Import!$M114 &amp; APIF_Import!$J$1,Podesavanja!$AA$3:$AD$24, 4, 0)), "", VLOOKUP( APIF_Import!$C114, INDIRECT( "Lookup_" &amp; APIF_Import!$M114), VLOOKUP( APIF_Import!$M114 &amp; APIF_Import!$J$1,Podesavanja!$AA$3:$AD$24, 4, 0), 0))</f>
        <v/>
      </c>
      <c r="K114" s="364" t="str">
        <f ca="1">IF( ISNA( VLOOKUP( APIF_Import!$M114 &amp; APIF_Import!$K$1,Podesavanja!$AA$3:$AD$24, 4, 0)), "", VLOOKUP( APIF_Import!$C114, INDIRECT( "Lookup_" &amp; APIF_Import!$M114), VLOOKUP( APIF_Import!$M114 &amp; APIF_Import!$K$1,Podesavanja!$AA$3:$AD$24, 4, 0), 0))</f>
        <v/>
      </c>
      <c r="L114" s="8">
        <v>115</v>
      </c>
      <c r="M114" s="8" t="s">
        <v>296</v>
      </c>
    </row>
    <row r="115" spans="2:13" x14ac:dyDescent="0.2">
      <c r="B115" s="8">
        <f>VLOOKUP( APIF_Import!$M115, Podesavanja!$N$3:$Q$9, 4, 0)</f>
        <v>2</v>
      </c>
      <c r="C115" s="363">
        <f>VLOOKUP( APIF_Import!$L115, Aop!$A$2:$N$415, 4, 0)</f>
        <v>148</v>
      </c>
      <c r="D115" s="364" t="str">
        <f ca="1">IF( ISNA( VLOOKUP( APIF_Import!$M115 &amp; APIF_Import!$D$1,Podesavanja!$AA$3:$AD$24, 4, 0)), "", SUBSTITUTE( VALUE( VLOOKUP( APIF_Import!$C115, INDIRECT( "Lookup_" &amp; APIF_Import!$M115), VLOOKUP( APIF_Import!$M115 &amp; APIF_Import!$D$1,Podesavanja!$AA$3:$AD$24, 4, 0), 0)), ".", ","))</f>
        <v>0</v>
      </c>
      <c r="E115" s="364" t="str">
        <f ca="1">IF( ISNA( VLOOKUP( APIF_Import!$M115 &amp; APIF_Import!$E$1,Podesavanja!$AA$3:$AD$24, 4, 0)), "", SUBSTITUTE( VALUE( VLOOKUP( APIF_Import!$C115, INDIRECT( "Lookup_" &amp; APIF_Import!$M115), VLOOKUP( APIF_Import!$M115 &amp; APIF_Import!$E$1,Podesavanja!$AA$3:$AD$24, 4, 0), 0)), ".", ","))</f>
        <v>0</v>
      </c>
      <c r="F115" s="364" t="str">
        <f ca="1">IF( ISNA( VLOOKUP( APIF_Import!$M115 &amp; APIF_Import!$F$1,Podesavanja!$AA$3:$AD$24, 4, 0)), "", VLOOKUP( APIF_Import!$C115, INDIRECT( "Lookup_" &amp; APIF_Import!$M115), VLOOKUP( APIF_Import!$M115 &amp; APIF_Import!$F$1,Podesavanja!$AA$3:$AD$24, 4, 0), 0))</f>
        <v/>
      </c>
      <c r="G115" s="364" t="str">
        <f ca="1">IF( ISNA( VLOOKUP( APIF_Import!$M115 &amp; APIF_Import!$G$1,Podesavanja!$AA$3:$AD$24, 4, 0)), "", VLOOKUP( APIF_Import!$C115, INDIRECT( "Lookup_" &amp; APIF_Import!$M115), VLOOKUP( APIF_Import!$M115 &amp; APIF_Import!$G$1,Podesavanja!$AA$3:$AD$24, 4, 0), 0))</f>
        <v/>
      </c>
      <c r="H115" s="364" t="str">
        <f ca="1">IF( ISNA( VLOOKUP( APIF_Import!$M115 &amp; APIF_Import!$H$1,Podesavanja!$AA$3:$AD$24, 4, 0)), "", VLOOKUP( APIF_Import!$C115, INDIRECT( "Lookup_" &amp; APIF_Import!$M115), VLOOKUP( APIF_Import!$M115 &amp; APIF_Import!$H$1,Podesavanja!$AA$3:$AD$24, 4, 0), 0))</f>
        <v/>
      </c>
      <c r="I115" s="364" t="str">
        <f ca="1">IF( ISNA( VLOOKUP( APIF_Import!$M115 &amp; APIF_Import!$I$1,Podesavanja!$AA$3:$AD$24, 4, 0)), "", VLOOKUP( APIF_Import!$C115, INDIRECT( "Lookup_" &amp; APIF_Import!$M115), VLOOKUP( APIF_Import!$M115 &amp; APIF_Import!$I$1,Podesavanja!$AA$3:$AD$24, 4, 0), 0))</f>
        <v/>
      </c>
      <c r="J115" s="364" t="str">
        <f ca="1">IF( ISNA( VLOOKUP( APIF_Import!$M115 &amp; APIF_Import!$J$1,Podesavanja!$AA$3:$AD$24, 4, 0)), "", VLOOKUP( APIF_Import!$C115, INDIRECT( "Lookup_" &amp; APIF_Import!$M115), VLOOKUP( APIF_Import!$M115 &amp; APIF_Import!$J$1,Podesavanja!$AA$3:$AD$24, 4, 0), 0))</f>
        <v/>
      </c>
      <c r="K115" s="364" t="str">
        <f ca="1">IF( ISNA( VLOOKUP( APIF_Import!$M115 &amp; APIF_Import!$K$1,Podesavanja!$AA$3:$AD$24, 4, 0)), "", VLOOKUP( APIF_Import!$C115, INDIRECT( "Lookup_" &amp; APIF_Import!$M115), VLOOKUP( APIF_Import!$M115 &amp; APIF_Import!$K$1,Podesavanja!$AA$3:$AD$24, 4, 0), 0))</f>
        <v/>
      </c>
      <c r="L115" s="8">
        <v>116</v>
      </c>
      <c r="M115" s="8" t="s">
        <v>296</v>
      </c>
    </row>
    <row r="116" spans="2:13" x14ac:dyDescent="0.2">
      <c r="B116" s="8">
        <f>VLOOKUP( APIF_Import!$M116, Podesavanja!$N$3:$Q$9, 4, 0)</f>
        <v>2</v>
      </c>
      <c r="C116" s="363">
        <f>VLOOKUP( APIF_Import!$L116, Aop!$A$2:$N$415, 4, 0)</f>
        <v>149</v>
      </c>
      <c r="D116" s="364" t="str">
        <f ca="1">IF( ISNA( VLOOKUP( APIF_Import!$M116 &amp; APIF_Import!$D$1,Podesavanja!$AA$3:$AD$24, 4, 0)), "", SUBSTITUTE( VALUE( VLOOKUP( APIF_Import!$C116, INDIRECT( "Lookup_" &amp; APIF_Import!$M116), VLOOKUP( APIF_Import!$M116 &amp; APIF_Import!$D$1,Podesavanja!$AA$3:$AD$24, 4, 0), 0)), ".", ","))</f>
        <v>0</v>
      </c>
      <c r="E116" s="364" t="str">
        <f ca="1">IF( ISNA( VLOOKUP( APIF_Import!$M116 &amp; APIF_Import!$E$1,Podesavanja!$AA$3:$AD$24, 4, 0)), "", SUBSTITUTE( VALUE( VLOOKUP( APIF_Import!$C116, INDIRECT( "Lookup_" &amp; APIF_Import!$M116), VLOOKUP( APIF_Import!$M116 &amp; APIF_Import!$E$1,Podesavanja!$AA$3:$AD$24, 4, 0), 0)), ".", ","))</f>
        <v>0</v>
      </c>
      <c r="F116" s="364" t="str">
        <f ca="1">IF( ISNA( VLOOKUP( APIF_Import!$M116 &amp; APIF_Import!$F$1,Podesavanja!$AA$3:$AD$24, 4, 0)), "", VLOOKUP( APIF_Import!$C116, INDIRECT( "Lookup_" &amp; APIF_Import!$M116), VLOOKUP( APIF_Import!$M116 &amp; APIF_Import!$F$1,Podesavanja!$AA$3:$AD$24, 4, 0), 0))</f>
        <v/>
      </c>
      <c r="G116" s="364" t="str">
        <f ca="1">IF( ISNA( VLOOKUP( APIF_Import!$M116 &amp; APIF_Import!$G$1,Podesavanja!$AA$3:$AD$24, 4, 0)), "", VLOOKUP( APIF_Import!$C116, INDIRECT( "Lookup_" &amp; APIF_Import!$M116), VLOOKUP( APIF_Import!$M116 &amp; APIF_Import!$G$1,Podesavanja!$AA$3:$AD$24, 4, 0), 0))</f>
        <v/>
      </c>
      <c r="H116" s="364" t="str">
        <f ca="1">IF( ISNA( VLOOKUP( APIF_Import!$M116 &amp; APIF_Import!$H$1,Podesavanja!$AA$3:$AD$24, 4, 0)), "", VLOOKUP( APIF_Import!$C116, INDIRECT( "Lookup_" &amp; APIF_Import!$M116), VLOOKUP( APIF_Import!$M116 &amp; APIF_Import!$H$1,Podesavanja!$AA$3:$AD$24, 4, 0), 0))</f>
        <v/>
      </c>
      <c r="I116" s="364" t="str">
        <f ca="1">IF( ISNA( VLOOKUP( APIF_Import!$M116 &amp; APIF_Import!$I$1,Podesavanja!$AA$3:$AD$24, 4, 0)), "", VLOOKUP( APIF_Import!$C116, INDIRECT( "Lookup_" &amp; APIF_Import!$M116), VLOOKUP( APIF_Import!$M116 &amp; APIF_Import!$I$1,Podesavanja!$AA$3:$AD$24, 4, 0), 0))</f>
        <v/>
      </c>
      <c r="J116" s="364" t="str">
        <f ca="1">IF( ISNA( VLOOKUP( APIF_Import!$M116 &amp; APIF_Import!$J$1,Podesavanja!$AA$3:$AD$24, 4, 0)), "", VLOOKUP( APIF_Import!$C116, INDIRECT( "Lookup_" &amp; APIF_Import!$M116), VLOOKUP( APIF_Import!$M116 &amp; APIF_Import!$J$1,Podesavanja!$AA$3:$AD$24, 4, 0), 0))</f>
        <v/>
      </c>
      <c r="K116" s="364" t="str">
        <f ca="1">IF( ISNA( VLOOKUP( APIF_Import!$M116 &amp; APIF_Import!$K$1,Podesavanja!$AA$3:$AD$24, 4, 0)), "", VLOOKUP( APIF_Import!$C116, INDIRECT( "Lookup_" &amp; APIF_Import!$M116), VLOOKUP( APIF_Import!$M116 &amp; APIF_Import!$K$1,Podesavanja!$AA$3:$AD$24, 4, 0), 0))</f>
        <v/>
      </c>
      <c r="L116" s="8">
        <v>117</v>
      </c>
      <c r="M116" s="8" t="s">
        <v>296</v>
      </c>
    </row>
    <row r="117" spans="2:13" x14ac:dyDescent="0.2">
      <c r="B117" s="8">
        <f>VLOOKUP( APIF_Import!$M117, Podesavanja!$N$3:$Q$9, 4, 0)</f>
        <v>2</v>
      </c>
      <c r="C117" s="363">
        <f>VLOOKUP( APIF_Import!$L117, Aop!$A$2:$N$415, 4, 0)</f>
        <v>150</v>
      </c>
      <c r="D117" s="364" t="str">
        <f ca="1">IF( ISNA( VLOOKUP( APIF_Import!$M117 &amp; APIF_Import!$D$1,Podesavanja!$AA$3:$AD$24, 4, 0)), "", SUBSTITUTE( VALUE( VLOOKUP( APIF_Import!$C117, INDIRECT( "Lookup_" &amp; APIF_Import!$M117), VLOOKUP( APIF_Import!$M117 &amp; APIF_Import!$D$1,Podesavanja!$AA$3:$AD$24, 4, 0), 0)), ".", ","))</f>
        <v>2859976</v>
      </c>
      <c r="E117" s="364" t="str">
        <f ca="1">IF( ISNA( VLOOKUP( APIF_Import!$M117 &amp; APIF_Import!$E$1,Podesavanja!$AA$3:$AD$24, 4, 0)), "", SUBSTITUTE( VALUE( VLOOKUP( APIF_Import!$C117, INDIRECT( "Lookup_" &amp; APIF_Import!$M117), VLOOKUP( APIF_Import!$M117 &amp; APIF_Import!$E$1,Podesavanja!$AA$3:$AD$24, 4, 0), 0)), ".", ","))</f>
        <v>1777263</v>
      </c>
      <c r="F117" s="364" t="str">
        <f ca="1">IF( ISNA( VLOOKUP( APIF_Import!$M117 &amp; APIF_Import!$F$1,Podesavanja!$AA$3:$AD$24, 4, 0)), "", VLOOKUP( APIF_Import!$C117, INDIRECT( "Lookup_" &amp; APIF_Import!$M117), VLOOKUP( APIF_Import!$M117 &amp; APIF_Import!$F$1,Podesavanja!$AA$3:$AD$24, 4, 0), 0))</f>
        <v/>
      </c>
      <c r="G117" s="364" t="str">
        <f ca="1">IF( ISNA( VLOOKUP( APIF_Import!$M117 &amp; APIF_Import!$G$1,Podesavanja!$AA$3:$AD$24, 4, 0)), "", VLOOKUP( APIF_Import!$C117, INDIRECT( "Lookup_" &amp; APIF_Import!$M117), VLOOKUP( APIF_Import!$M117 &amp; APIF_Import!$G$1,Podesavanja!$AA$3:$AD$24, 4, 0), 0))</f>
        <v/>
      </c>
      <c r="H117" s="364" t="str">
        <f ca="1">IF( ISNA( VLOOKUP( APIF_Import!$M117 &amp; APIF_Import!$H$1,Podesavanja!$AA$3:$AD$24, 4, 0)), "", VLOOKUP( APIF_Import!$C117, INDIRECT( "Lookup_" &amp; APIF_Import!$M117), VLOOKUP( APIF_Import!$M117 &amp; APIF_Import!$H$1,Podesavanja!$AA$3:$AD$24, 4, 0), 0))</f>
        <v/>
      </c>
      <c r="I117" s="364" t="str">
        <f ca="1">IF( ISNA( VLOOKUP( APIF_Import!$M117 &amp; APIF_Import!$I$1,Podesavanja!$AA$3:$AD$24, 4, 0)), "", VLOOKUP( APIF_Import!$C117, INDIRECT( "Lookup_" &amp; APIF_Import!$M117), VLOOKUP( APIF_Import!$M117 &amp; APIF_Import!$I$1,Podesavanja!$AA$3:$AD$24, 4, 0), 0))</f>
        <v/>
      </c>
      <c r="J117" s="364" t="str">
        <f ca="1">IF( ISNA( VLOOKUP( APIF_Import!$M117 &amp; APIF_Import!$J$1,Podesavanja!$AA$3:$AD$24, 4, 0)), "", VLOOKUP( APIF_Import!$C117, INDIRECT( "Lookup_" &amp; APIF_Import!$M117), VLOOKUP( APIF_Import!$M117 &amp; APIF_Import!$J$1,Podesavanja!$AA$3:$AD$24, 4, 0), 0))</f>
        <v/>
      </c>
      <c r="K117" s="364" t="str">
        <f ca="1">IF( ISNA( VLOOKUP( APIF_Import!$M117 &amp; APIF_Import!$K$1,Podesavanja!$AA$3:$AD$24, 4, 0)), "", VLOOKUP( APIF_Import!$C117, INDIRECT( "Lookup_" &amp; APIF_Import!$M117), VLOOKUP( APIF_Import!$M117 &amp; APIF_Import!$K$1,Podesavanja!$AA$3:$AD$24, 4, 0), 0))</f>
        <v/>
      </c>
      <c r="L117" s="8">
        <v>118</v>
      </c>
      <c r="M117" s="8" t="s">
        <v>296</v>
      </c>
    </row>
    <row r="118" spans="2:13" x14ac:dyDescent="0.2">
      <c r="B118" s="8">
        <f>VLOOKUP( APIF_Import!$M118, Podesavanja!$N$3:$Q$9, 4, 0)</f>
        <v>2</v>
      </c>
      <c r="C118" s="363">
        <f>VLOOKUP( APIF_Import!$L118, Aop!$A$2:$N$415, 4, 0)</f>
        <v>151</v>
      </c>
      <c r="D118" s="364" t="str">
        <f ca="1">IF( ISNA( VLOOKUP( APIF_Import!$M118 &amp; APIF_Import!$D$1,Podesavanja!$AA$3:$AD$24, 4, 0)), "", SUBSTITUTE( VALUE( VLOOKUP( APIF_Import!$C118, INDIRECT( "Lookup_" &amp; APIF_Import!$M118), VLOOKUP( APIF_Import!$M118 &amp; APIF_Import!$D$1,Podesavanja!$AA$3:$AD$24, 4, 0), 0)), ".", ","))</f>
        <v>915</v>
      </c>
      <c r="E118" s="364" t="str">
        <f ca="1">IF( ISNA( VLOOKUP( APIF_Import!$M118 &amp; APIF_Import!$E$1,Podesavanja!$AA$3:$AD$24, 4, 0)), "", SUBSTITUTE( VALUE( VLOOKUP( APIF_Import!$C118, INDIRECT( "Lookup_" &amp; APIF_Import!$M118), VLOOKUP( APIF_Import!$M118 &amp; APIF_Import!$E$1,Podesavanja!$AA$3:$AD$24, 4, 0), 0)), ".", ","))</f>
        <v>2384</v>
      </c>
      <c r="F118" s="364" t="str">
        <f ca="1">IF( ISNA( VLOOKUP( APIF_Import!$M118 &amp; APIF_Import!$F$1,Podesavanja!$AA$3:$AD$24, 4, 0)), "", VLOOKUP( APIF_Import!$C118, INDIRECT( "Lookup_" &amp; APIF_Import!$M118), VLOOKUP( APIF_Import!$M118 &amp; APIF_Import!$F$1,Podesavanja!$AA$3:$AD$24, 4, 0), 0))</f>
        <v/>
      </c>
      <c r="G118" s="364" t="str">
        <f ca="1">IF( ISNA( VLOOKUP( APIF_Import!$M118 &amp; APIF_Import!$G$1,Podesavanja!$AA$3:$AD$24, 4, 0)), "", VLOOKUP( APIF_Import!$C118, INDIRECT( "Lookup_" &amp; APIF_Import!$M118), VLOOKUP( APIF_Import!$M118 &amp; APIF_Import!$G$1,Podesavanja!$AA$3:$AD$24, 4, 0), 0))</f>
        <v/>
      </c>
      <c r="H118" s="364" t="str">
        <f ca="1">IF( ISNA( VLOOKUP( APIF_Import!$M118 &amp; APIF_Import!$H$1,Podesavanja!$AA$3:$AD$24, 4, 0)), "", VLOOKUP( APIF_Import!$C118, INDIRECT( "Lookup_" &amp; APIF_Import!$M118), VLOOKUP( APIF_Import!$M118 &amp; APIF_Import!$H$1,Podesavanja!$AA$3:$AD$24, 4, 0), 0))</f>
        <v/>
      </c>
      <c r="I118" s="364" t="str">
        <f ca="1">IF( ISNA( VLOOKUP( APIF_Import!$M118 &amp; APIF_Import!$I$1,Podesavanja!$AA$3:$AD$24, 4, 0)), "", VLOOKUP( APIF_Import!$C118, INDIRECT( "Lookup_" &amp; APIF_Import!$M118), VLOOKUP( APIF_Import!$M118 &amp; APIF_Import!$I$1,Podesavanja!$AA$3:$AD$24, 4, 0), 0))</f>
        <v/>
      </c>
      <c r="J118" s="364" t="str">
        <f ca="1">IF( ISNA( VLOOKUP( APIF_Import!$M118 &amp; APIF_Import!$J$1,Podesavanja!$AA$3:$AD$24, 4, 0)), "", VLOOKUP( APIF_Import!$C118, INDIRECT( "Lookup_" &amp; APIF_Import!$M118), VLOOKUP( APIF_Import!$M118 &amp; APIF_Import!$J$1,Podesavanja!$AA$3:$AD$24, 4, 0), 0))</f>
        <v/>
      </c>
      <c r="K118" s="364" t="str">
        <f ca="1">IF( ISNA( VLOOKUP( APIF_Import!$M118 &amp; APIF_Import!$K$1,Podesavanja!$AA$3:$AD$24, 4, 0)), "", VLOOKUP( APIF_Import!$C118, INDIRECT( "Lookup_" &amp; APIF_Import!$M118), VLOOKUP( APIF_Import!$M118 &amp; APIF_Import!$K$1,Podesavanja!$AA$3:$AD$24, 4, 0), 0))</f>
        <v/>
      </c>
      <c r="L118" s="8">
        <v>119</v>
      </c>
      <c r="M118" s="8" t="s">
        <v>296</v>
      </c>
    </row>
    <row r="119" spans="2:13" x14ac:dyDescent="0.2">
      <c r="B119" s="8">
        <f>VLOOKUP( APIF_Import!$M119, Podesavanja!$N$3:$Q$9, 4, 0)</f>
        <v>2</v>
      </c>
      <c r="C119" s="363">
        <f>VLOOKUP( APIF_Import!$L119, Aop!$A$2:$N$415, 4, 0)</f>
        <v>152</v>
      </c>
      <c r="D119" s="364" t="str">
        <f ca="1">IF( ISNA( VLOOKUP( APIF_Import!$M119 &amp; APIF_Import!$D$1,Podesavanja!$AA$3:$AD$24, 4, 0)), "", SUBSTITUTE( VALUE( VLOOKUP( APIF_Import!$C119, INDIRECT( "Lookup_" &amp; APIF_Import!$M119), VLOOKUP( APIF_Import!$M119 &amp; APIF_Import!$D$1,Podesavanja!$AA$3:$AD$24, 4, 0), 0)), ".", ","))</f>
        <v>0</v>
      </c>
      <c r="E119" s="364" t="str">
        <f ca="1">IF( ISNA( VLOOKUP( APIF_Import!$M119 &amp; APIF_Import!$E$1,Podesavanja!$AA$3:$AD$24, 4, 0)), "", SUBSTITUTE( VALUE( VLOOKUP( APIF_Import!$C119, INDIRECT( "Lookup_" &amp; APIF_Import!$M119), VLOOKUP( APIF_Import!$M119 &amp; APIF_Import!$E$1,Podesavanja!$AA$3:$AD$24, 4, 0), 0)), ".", ","))</f>
        <v>0</v>
      </c>
      <c r="F119" s="364" t="str">
        <f ca="1">IF( ISNA( VLOOKUP( APIF_Import!$M119 &amp; APIF_Import!$F$1,Podesavanja!$AA$3:$AD$24, 4, 0)), "", VLOOKUP( APIF_Import!$C119, INDIRECT( "Lookup_" &amp; APIF_Import!$M119), VLOOKUP( APIF_Import!$M119 &amp; APIF_Import!$F$1,Podesavanja!$AA$3:$AD$24, 4, 0), 0))</f>
        <v/>
      </c>
      <c r="G119" s="364" t="str">
        <f ca="1">IF( ISNA( VLOOKUP( APIF_Import!$M119 &amp; APIF_Import!$G$1,Podesavanja!$AA$3:$AD$24, 4, 0)), "", VLOOKUP( APIF_Import!$C119, INDIRECT( "Lookup_" &amp; APIF_Import!$M119), VLOOKUP( APIF_Import!$M119 &amp; APIF_Import!$G$1,Podesavanja!$AA$3:$AD$24, 4, 0), 0))</f>
        <v/>
      </c>
      <c r="H119" s="364" t="str">
        <f ca="1">IF( ISNA( VLOOKUP( APIF_Import!$M119 &amp; APIF_Import!$H$1,Podesavanja!$AA$3:$AD$24, 4, 0)), "", VLOOKUP( APIF_Import!$C119, INDIRECT( "Lookup_" &amp; APIF_Import!$M119), VLOOKUP( APIF_Import!$M119 &amp; APIF_Import!$H$1,Podesavanja!$AA$3:$AD$24, 4, 0), 0))</f>
        <v/>
      </c>
      <c r="I119" s="364" t="str">
        <f ca="1">IF( ISNA( VLOOKUP( APIF_Import!$M119 &amp; APIF_Import!$I$1,Podesavanja!$AA$3:$AD$24, 4, 0)), "", VLOOKUP( APIF_Import!$C119, INDIRECT( "Lookup_" &amp; APIF_Import!$M119), VLOOKUP( APIF_Import!$M119 &amp; APIF_Import!$I$1,Podesavanja!$AA$3:$AD$24, 4, 0), 0))</f>
        <v/>
      </c>
      <c r="J119" s="364" t="str">
        <f ca="1">IF( ISNA( VLOOKUP( APIF_Import!$M119 &amp; APIF_Import!$J$1,Podesavanja!$AA$3:$AD$24, 4, 0)), "", VLOOKUP( APIF_Import!$C119, INDIRECT( "Lookup_" &amp; APIF_Import!$M119), VLOOKUP( APIF_Import!$M119 &amp; APIF_Import!$J$1,Podesavanja!$AA$3:$AD$24, 4, 0), 0))</f>
        <v/>
      </c>
      <c r="K119" s="364" t="str">
        <f ca="1">IF( ISNA( VLOOKUP( APIF_Import!$M119 &amp; APIF_Import!$K$1,Podesavanja!$AA$3:$AD$24, 4, 0)), "", VLOOKUP( APIF_Import!$C119, INDIRECT( "Lookup_" &amp; APIF_Import!$M119), VLOOKUP( APIF_Import!$M119 &amp; APIF_Import!$K$1,Podesavanja!$AA$3:$AD$24, 4, 0), 0))</f>
        <v/>
      </c>
      <c r="L119" s="8">
        <v>120</v>
      </c>
      <c r="M119" s="8" t="s">
        <v>296</v>
      </c>
    </row>
    <row r="120" spans="2:13" x14ac:dyDescent="0.2">
      <c r="B120" s="8">
        <f>VLOOKUP( APIF_Import!$M120, Podesavanja!$N$3:$Q$9, 4, 0)</f>
        <v>2</v>
      </c>
      <c r="C120" s="363">
        <f>VLOOKUP( APIF_Import!$L120, Aop!$A$2:$N$415, 4, 0)</f>
        <v>153</v>
      </c>
      <c r="D120" s="364" t="str">
        <f ca="1">IF( ISNA( VLOOKUP( APIF_Import!$M120 &amp; APIF_Import!$D$1,Podesavanja!$AA$3:$AD$24, 4, 0)), "", SUBSTITUTE( VALUE( VLOOKUP( APIF_Import!$C120, INDIRECT( "Lookup_" &amp; APIF_Import!$M120), VLOOKUP( APIF_Import!$M120 &amp; APIF_Import!$D$1,Podesavanja!$AA$3:$AD$24, 4, 0), 0)), ".", ","))</f>
        <v>168160</v>
      </c>
      <c r="E120" s="364" t="str">
        <f ca="1">IF( ISNA( VLOOKUP( APIF_Import!$M120 &amp; APIF_Import!$E$1,Podesavanja!$AA$3:$AD$24, 4, 0)), "", SUBSTITUTE( VALUE( VLOOKUP( APIF_Import!$C120, INDIRECT( "Lookup_" &amp; APIF_Import!$M120), VLOOKUP( APIF_Import!$M120 &amp; APIF_Import!$E$1,Podesavanja!$AA$3:$AD$24, 4, 0), 0)), ".", ","))</f>
        <v>109200</v>
      </c>
      <c r="F120" s="364" t="str">
        <f ca="1">IF( ISNA( VLOOKUP( APIF_Import!$M120 &amp; APIF_Import!$F$1,Podesavanja!$AA$3:$AD$24, 4, 0)), "", VLOOKUP( APIF_Import!$C120, INDIRECT( "Lookup_" &amp; APIF_Import!$M120), VLOOKUP( APIF_Import!$M120 &amp; APIF_Import!$F$1,Podesavanja!$AA$3:$AD$24, 4, 0), 0))</f>
        <v/>
      </c>
      <c r="G120" s="364" t="str">
        <f ca="1">IF( ISNA( VLOOKUP( APIF_Import!$M120 &amp; APIF_Import!$G$1,Podesavanja!$AA$3:$AD$24, 4, 0)), "", VLOOKUP( APIF_Import!$C120, INDIRECT( "Lookup_" &amp; APIF_Import!$M120), VLOOKUP( APIF_Import!$M120 &amp; APIF_Import!$G$1,Podesavanja!$AA$3:$AD$24, 4, 0), 0))</f>
        <v/>
      </c>
      <c r="H120" s="364" t="str">
        <f ca="1">IF( ISNA( VLOOKUP( APIF_Import!$M120 &amp; APIF_Import!$H$1,Podesavanja!$AA$3:$AD$24, 4, 0)), "", VLOOKUP( APIF_Import!$C120, INDIRECT( "Lookup_" &amp; APIF_Import!$M120), VLOOKUP( APIF_Import!$M120 &amp; APIF_Import!$H$1,Podesavanja!$AA$3:$AD$24, 4, 0), 0))</f>
        <v/>
      </c>
      <c r="I120" s="364" t="str">
        <f ca="1">IF( ISNA( VLOOKUP( APIF_Import!$M120 &amp; APIF_Import!$I$1,Podesavanja!$AA$3:$AD$24, 4, 0)), "", VLOOKUP( APIF_Import!$C120, INDIRECT( "Lookup_" &amp; APIF_Import!$M120), VLOOKUP( APIF_Import!$M120 &amp; APIF_Import!$I$1,Podesavanja!$AA$3:$AD$24, 4, 0), 0))</f>
        <v/>
      </c>
      <c r="J120" s="364" t="str">
        <f ca="1">IF( ISNA( VLOOKUP( APIF_Import!$M120 &amp; APIF_Import!$J$1,Podesavanja!$AA$3:$AD$24, 4, 0)), "", VLOOKUP( APIF_Import!$C120, INDIRECT( "Lookup_" &amp; APIF_Import!$M120), VLOOKUP( APIF_Import!$M120 &amp; APIF_Import!$J$1,Podesavanja!$AA$3:$AD$24, 4, 0), 0))</f>
        <v/>
      </c>
      <c r="K120" s="364" t="str">
        <f ca="1">IF( ISNA( VLOOKUP( APIF_Import!$M120 &amp; APIF_Import!$K$1,Podesavanja!$AA$3:$AD$24, 4, 0)), "", VLOOKUP( APIF_Import!$C120, INDIRECT( "Lookup_" &amp; APIF_Import!$M120), VLOOKUP( APIF_Import!$M120 &amp; APIF_Import!$K$1,Podesavanja!$AA$3:$AD$24, 4, 0), 0))</f>
        <v/>
      </c>
      <c r="L120" s="8">
        <v>121</v>
      </c>
      <c r="M120" s="8" t="s">
        <v>296</v>
      </c>
    </row>
    <row r="121" spans="2:13" x14ac:dyDescent="0.2">
      <c r="B121" s="8">
        <f>VLOOKUP( APIF_Import!$M121, Podesavanja!$N$3:$Q$9, 4, 0)</f>
        <v>2</v>
      </c>
      <c r="C121" s="363">
        <f>VLOOKUP( APIF_Import!$L121, Aop!$A$2:$N$415, 4, 0)</f>
        <v>154</v>
      </c>
      <c r="D121" s="364" t="str">
        <f ca="1">IF( ISNA( VLOOKUP( APIF_Import!$M121 &amp; APIF_Import!$D$1,Podesavanja!$AA$3:$AD$24, 4, 0)), "", SUBSTITUTE( VALUE( VLOOKUP( APIF_Import!$C121, INDIRECT( "Lookup_" &amp; APIF_Import!$M121), VLOOKUP( APIF_Import!$M121 &amp; APIF_Import!$D$1,Podesavanja!$AA$3:$AD$24, 4, 0), 0)), ".", ","))</f>
        <v>2690901</v>
      </c>
      <c r="E121" s="364" t="str">
        <f ca="1">IF( ISNA( VLOOKUP( APIF_Import!$M121 &amp; APIF_Import!$E$1,Podesavanja!$AA$3:$AD$24, 4, 0)), "", SUBSTITUTE( VALUE( VLOOKUP( APIF_Import!$C121, INDIRECT( "Lookup_" &amp; APIF_Import!$M121), VLOOKUP( APIF_Import!$M121 &amp; APIF_Import!$E$1,Podesavanja!$AA$3:$AD$24, 4, 0), 0)), ".", ","))</f>
        <v>1665679</v>
      </c>
      <c r="F121" s="364" t="str">
        <f ca="1">IF( ISNA( VLOOKUP( APIF_Import!$M121 &amp; APIF_Import!$F$1,Podesavanja!$AA$3:$AD$24, 4, 0)), "", VLOOKUP( APIF_Import!$C121, INDIRECT( "Lookup_" &amp; APIF_Import!$M121), VLOOKUP( APIF_Import!$M121 &amp; APIF_Import!$F$1,Podesavanja!$AA$3:$AD$24, 4, 0), 0))</f>
        <v/>
      </c>
      <c r="G121" s="364" t="str">
        <f ca="1">IF( ISNA( VLOOKUP( APIF_Import!$M121 &amp; APIF_Import!$G$1,Podesavanja!$AA$3:$AD$24, 4, 0)), "", VLOOKUP( APIF_Import!$C121, INDIRECT( "Lookup_" &amp; APIF_Import!$M121), VLOOKUP( APIF_Import!$M121 &amp; APIF_Import!$G$1,Podesavanja!$AA$3:$AD$24, 4, 0), 0))</f>
        <v/>
      </c>
      <c r="H121" s="364" t="str">
        <f ca="1">IF( ISNA( VLOOKUP( APIF_Import!$M121 &amp; APIF_Import!$H$1,Podesavanja!$AA$3:$AD$24, 4, 0)), "", VLOOKUP( APIF_Import!$C121, INDIRECT( "Lookup_" &amp; APIF_Import!$M121), VLOOKUP( APIF_Import!$M121 &amp; APIF_Import!$H$1,Podesavanja!$AA$3:$AD$24, 4, 0), 0))</f>
        <v/>
      </c>
      <c r="I121" s="364" t="str">
        <f ca="1">IF( ISNA( VLOOKUP( APIF_Import!$M121 &amp; APIF_Import!$I$1,Podesavanja!$AA$3:$AD$24, 4, 0)), "", VLOOKUP( APIF_Import!$C121, INDIRECT( "Lookup_" &amp; APIF_Import!$M121), VLOOKUP( APIF_Import!$M121 &amp; APIF_Import!$I$1,Podesavanja!$AA$3:$AD$24, 4, 0), 0))</f>
        <v/>
      </c>
      <c r="J121" s="364" t="str">
        <f ca="1">IF( ISNA( VLOOKUP( APIF_Import!$M121 &amp; APIF_Import!$J$1,Podesavanja!$AA$3:$AD$24, 4, 0)), "", VLOOKUP( APIF_Import!$C121, INDIRECT( "Lookup_" &amp; APIF_Import!$M121), VLOOKUP( APIF_Import!$M121 &amp; APIF_Import!$J$1,Podesavanja!$AA$3:$AD$24, 4, 0), 0))</f>
        <v/>
      </c>
      <c r="K121" s="364" t="str">
        <f ca="1">IF( ISNA( VLOOKUP( APIF_Import!$M121 &amp; APIF_Import!$K$1,Podesavanja!$AA$3:$AD$24, 4, 0)), "", VLOOKUP( APIF_Import!$C121, INDIRECT( "Lookup_" &amp; APIF_Import!$M121), VLOOKUP( APIF_Import!$M121 &amp; APIF_Import!$K$1,Podesavanja!$AA$3:$AD$24, 4, 0), 0))</f>
        <v/>
      </c>
      <c r="L121" s="8">
        <v>122</v>
      </c>
      <c r="M121" s="8" t="s">
        <v>296</v>
      </c>
    </row>
    <row r="122" spans="2:13" x14ac:dyDescent="0.2">
      <c r="B122" s="8">
        <f>VLOOKUP( APIF_Import!$M122, Podesavanja!$N$3:$Q$9, 4, 0)</f>
        <v>2</v>
      </c>
      <c r="C122" s="363">
        <f>VLOOKUP( APIF_Import!$L122, Aop!$A$2:$N$415, 4, 0)</f>
        <v>155</v>
      </c>
      <c r="D122" s="364" t="str">
        <f ca="1">IF( ISNA( VLOOKUP( APIF_Import!$M122 &amp; APIF_Import!$D$1,Podesavanja!$AA$3:$AD$24, 4, 0)), "", SUBSTITUTE( VALUE( VLOOKUP( APIF_Import!$C122, INDIRECT( "Lookup_" &amp; APIF_Import!$M122), VLOOKUP( APIF_Import!$M122 &amp; APIF_Import!$D$1,Podesavanja!$AA$3:$AD$24, 4, 0), 0)), ".", ","))</f>
        <v>0</v>
      </c>
      <c r="E122" s="364" t="str">
        <f ca="1">IF( ISNA( VLOOKUP( APIF_Import!$M122 &amp; APIF_Import!$E$1,Podesavanja!$AA$3:$AD$24, 4, 0)), "", SUBSTITUTE( VALUE( VLOOKUP( APIF_Import!$C122, INDIRECT( "Lookup_" &amp; APIF_Import!$M122), VLOOKUP( APIF_Import!$M122 &amp; APIF_Import!$E$1,Podesavanja!$AA$3:$AD$24, 4, 0), 0)), ".", ","))</f>
        <v>0</v>
      </c>
      <c r="F122" s="364" t="str">
        <f ca="1">IF( ISNA( VLOOKUP( APIF_Import!$M122 &amp; APIF_Import!$F$1,Podesavanja!$AA$3:$AD$24, 4, 0)), "", VLOOKUP( APIF_Import!$C122, INDIRECT( "Lookup_" &amp; APIF_Import!$M122), VLOOKUP( APIF_Import!$M122 &amp; APIF_Import!$F$1,Podesavanja!$AA$3:$AD$24, 4, 0), 0))</f>
        <v/>
      </c>
      <c r="G122" s="364" t="str">
        <f ca="1">IF( ISNA( VLOOKUP( APIF_Import!$M122 &amp; APIF_Import!$G$1,Podesavanja!$AA$3:$AD$24, 4, 0)), "", VLOOKUP( APIF_Import!$C122, INDIRECT( "Lookup_" &amp; APIF_Import!$M122), VLOOKUP( APIF_Import!$M122 &amp; APIF_Import!$G$1,Podesavanja!$AA$3:$AD$24, 4, 0), 0))</f>
        <v/>
      </c>
      <c r="H122" s="364" t="str">
        <f ca="1">IF( ISNA( VLOOKUP( APIF_Import!$M122 &amp; APIF_Import!$H$1,Podesavanja!$AA$3:$AD$24, 4, 0)), "", VLOOKUP( APIF_Import!$C122, INDIRECT( "Lookup_" &amp; APIF_Import!$M122), VLOOKUP( APIF_Import!$M122 &amp; APIF_Import!$H$1,Podesavanja!$AA$3:$AD$24, 4, 0), 0))</f>
        <v/>
      </c>
      <c r="I122" s="364" t="str">
        <f ca="1">IF( ISNA( VLOOKUP( APIF_Import!$M122 &amp; APIF_Import!$I$1,Podesavanja!$AA$3:$AD$24, 4, 0)), "", VLOOKUP( APIF_Import!$C122, INDIRECT( "Lookup_" &amp; APIF_Import!$M122), VLOOKUP( APIF_Import!$M122 &amp; APIF_Import!$I$1,Podesavanja!$AA$3:$AD$24, 4, 0), 0))</f>
        <v/>
      </c>
      <c r="J122" s="364" t="str">
        <f ca="1">IF( ISNA( VLOOKUP( APIF_Import!$M122 &amp; APIF_Import!$J$1,Podesavanja!$AA$3:$AD$24, 4, 0)), "", VLOOKUP( APIF_Import!$C122, INDIRECT( "Lookup_" &amp; APIF_Import!$M122), VLOOKUP( APIF_Import!$M122 &amp; APIF_Import!$J$1,Podesavanja!$AA$3:$AD$24, 4, 0), 0))</f>
        <v/>
      </c>
      <c r="K122" s="364" t="str">
        <f ca="1">IF( ISNA( VLOOKUP( APIF_Import!$M122 &amp; APIF_Import!$K$1,Podesavanja!$AA$3:$AD$24, 4, 0)), "", VLOOKUP( APIF_Import!$C122, INDIRECT( "Lookup_" &amp; APIF_Import!$M122), VLOOKUP( APIF_Import!$M122 &amp; APIF_Import!$K$1,Podesavanja!$AA$3:$AD$24, 4, 0), 0))</f>
        <v/>
      </c>
      <c r="L122" s="8">
        <v>123</v>
      </c>
      <c r="M122" s="8" t="s">
        <v>296</v>
      </c>
    </row>
    <row r="123" spans="2:13" x14ac:dyDescent="0.2">
      <c r="B123" s="8">
        <f>VLOOKUP( APIF_Import!$M123, Podesavanja!$N$3:$Q$9, 4, 0)</f>
        <v>2</v>
      </c>
      <c r="C123" s="363">
        <f>VLOOKUP( APIF_Import!$L123, Aop!$A$2:$N$415, 4, 0)</f>
        <v>156</v>
      </c>
      <c r="D123" s="364" t="str">
        <f ca="1">IF( ISNA( VLOOKUP( APIF_Import!$M123 &amp; APIF_Import!$D$1,Podesavanja!$AA$3:$AD$24, 4, 0)), "", SUBSTITUTE( VALUE( VLOOKUP( APIF_Import!$C123, INDIRECT( "Lookup_" &amp; APIF_Import!$M123), VLOOKUP( APIF_Import!$M123 &amp; APIF_Import!$D$1,Podesavanja!$AA$3:$AD$24, 4, 0), 0)), ".", ","))</f>
        <v>0</v>
      </c>
      <c r="E123" s="364" t="str">
        <f ca="1">IF( ISNA( VLOOKUP( APIF_Import!$M123 &amp; APIF_Import!$E$1,Podesavanja!$AA$3:$AD$24, 4, 0)), "", SUBSTITUTE( VALUE( VLOOKUP( APIF_Import!$C123, INDIRECT( "Lookup_" &amp; APIF_Import!$M123), VLOOKUP( APIF_Import!$M123 &amp; APIF_Import!$E$1,Podesavanja!$AA$3:$AD$24, 4, 0), 0)), ".", ","))</f>
        <v>0</v>
      </c>
      <c r="F123" s="364" t="str">
        <f ca="1">IF( ISNA( VLOOKUP( APIF_Import!$M123 &amp; APIF_Import!$F$1,Podesavanja!$AA$3:$AD$24, 4, 0)), "", VLOOKUP( APIF_Import!$C123, INDIRECT( "Lookup_" &amp; APIF_Import!$M123), VLOOKUP( APIF_Import!$M123 &amp; APIF_Import!$F$1,Podesavanja!$AA$3:$AD$24, 4, 0), 0))</f>
        <v/>
      </c>
      <c r="G123" s="364" t="str">
        <f ca="1">IF( ISNA( VLOOKUP( APIF_Import!$M123 &amp; APIF_Import!$G$1,Podesavanja!$AA$3:$AD$24, 4, 0)), "", VLOOKUP( APIF_Import!$C123, INDIRECT( "Lookup_" &amp; APIF_Import!$M123), VLOOKUP( APIF_Import!$M123 &amp; APIF_Import!$G$1,Podesavanja!$AA$3:$AD$24, 4, 0), 0))</f>
        <v/>
      </c>
      <c r="H123" s="364" t="str">
        <f ca="1">IF( ISNA( VLOOKUP( APIF_Import!$M123 &amp; APIF_Import!$H$1,Podesavanja!$AA$3:$AD$24, 4, 0)), "", VLOOKUP( APIF_Import!$C123, INDIRECT( "Lookup_" &amp; APIF_Import!$M123), VLOOKUP( APIF_Import!$M123 &amp; APIF_Import!$H$1,Podesavanja!$AA$3:$AD$24, 4, 0), 0))</f>
        <v/>
      </c>
      <c r="I123" s="364" t="str">
        <f ca="1">IF( ISNA( VLOOKUP( APIF_Import!$M123 &amp; APIF_Import!$I$1,Podesavanja!$AA$3:$AD$24, 4, 0)), "", VLOOKUP( APIF_Import!$C123, INDIRECT( "Lookup_" &amp; APIF_Import!$M123), VLOOKUP( APIF_Import!$M123 &amp; APIF_Import!$I$1,Podesavanja!$AA$3:$AD$24, 4, 0), 0))</f>
        <v/>
      </c>
      <c r="J123" s="364" t="str">
        <f ca="1">IF( ISNA( VLOOKUP( APIF_Import!$M123 &amp; APIF_Import!$J$1,Podesavanja!$AA$3:$AD$24, 4, 0)), "", VLOOKUP( APIF_Import!$C123, INDIRECT( "Lookup_" &amp; APIF_Import!$M123), VLOOKUP( APIF_Import!$M123 &amp; APIF_Import!$J$1,Podesavanja!$AA$3:$AD$24, 4, 0), 0))</f>
        <v/>
      </c>
      <c r="K123" s="364" t="str">
        <f ca="1">IF( ISNA( VLOOKUP( APIF_Import!$M123 &amp; APIF_Import!$K$1,Podesavanja!$AA$3:$AD$24, 4, 0)), "", VLOOKUP( APIF_Import!$C123, INDIRECT( "Lookup_" &amp; APIF_Import!$M123), VLOOKUP( APIF_Import!$M123 &amp; APIF_Import!$K$1,Podesavanja!$AA$3:$AD$24, 4, 0), 0))</f>
        <v/>
      </c>
      <c r="L123" s="8">
        <v>124</v>
      </c>
      <c r="M123" s="8" t="s">
        <v>296</v>
      </c>
    </row>
    <row r="124" spans="2:13" x14ac:dyDescent="0.2">
      <c r="B124" s="8">
        <f>VLOOKUP( APIF_Import!$M124, Podesavanja!$N$3:$Q$9, 4, 0)</f>
        <v>2</v>
      </c>
      <c r="C124" s="363">
        <f>VLOOKUP( APIF_Import!$L124, Aop!$A$2:$N$415, 4, 0)</f>
        <v>157</v>
      </c>
      <c r="D124" s="364" t="str">
        <f ca="1">IF( ISNA( VLOOKUP( APIF_Import!$M124 &amp; APIF_Import!$D$1,Podesavanja!$AA$3:$AD$24, 4, 0)), "", SUBSTITUTE( VALUE( VLOOKUP( APIF_Import!$C124, INDIRECT( "Lookup_" &amp; APIF_Import!$M124), VLOOKUP( APIF_Import!$M124 &amp; APIF_Import!$D$1,Podesavanja!$AA$3:$AD$24, 4, 0), 0)), ".", ","))</f>
        <v>43752</v>
      </c>
      <c r="E124" s="364" t="str">
        <f ca="1">IF( ISNA( VLOOKUP( APIF_Import!$M124 &amp; APIF_Import!$E$1,Podesavanja!$AA$3:$AD$24, 4, 0)), "", SUBSTITUTE( VALUE( VLOOKUP( APIF_Import!$C124, INDIRECT( "Lookup_" &amp; APIF_Import!$M124), VLOOKUP( APIF_Import!$M124 &amp; APIF_Import!$E$1,Podesavanja!$AA$3:$AD$24, 4, 0), 0)), ".", ","))</f>
        <v>82154</v>
      </c>
      <c r="F124" s="364" t="str">
        <f ca="1">IF( ISNA( VLOOKUP( APIF_Import!$M124 &amp; APIF_Import!$F$1,Podesavanja!$AA$3:$AD$24, 4, 0)), "", VLOOKUP( APIF_Import!$C124, INDIRECT( "Lookup_" &amp; APIF_Import!$M124), VLOOKUP( APIF_Import!$M124 &amp; APIF_Import!$F$1,Podesavanja!$AA$3:$AD$24, 4, 0), 0))</f>
        <v/>
      </c>
      <c r="G124" s="364" t="str">
        <f ca="1">IF( ISNA( VLOOKUP( APIF_Import!$M124 &amp; APIF_Import!$G$1,Podesavanja!$AA$3:$AD$24, 4, 0)), "", VLOOKUP( APIF_Import!$C124, INDIRECT( "Lookup_" &amp; APIF_Import!$M124), VLOOKUP( APIF_Import!$M124 &amp; APIF_Import!$G$1,Podesavanja!$AA$3:$AD$24, 4, 0), 0))</f>
        <v/>
      </c>
      <c r="H124" s="364" t="str">
        <f ca="1">IF( ISNA( VLOOKUP( APIF_Import!$M124 &amp; APIF_Import!$H$1,Podesavanja!$AA$3:$AD$24, 4, 0)), "", VLOOKUP( APIF_Import!$C124, INDIRECT( "Lookup_" &amp; APIF_Import!$M124), VLOOKUP( APIF_Import!$M124 &amp; APIF_Import!$H$1,Podesavanja!$AA$3:$AD$24, 4, 0), 0))</f>
        <v/>
      </c>
      <c r="I124" s="364" t="str">
        <f ca="1">IF( ISNA( VLOOKUP( APIF_Import!$M124 &amp; APIF_Import!$I$1,Podesavanja!$AA$3:$AD$24, 4, 0)), "", VLOOKUP( APIF_Import!$C124, INDIRECT( "Lookup_" &amp; APIF_Import!$M124), VLOOKUP( APIF_Import!$M124 &amp; APIF_Import!$I$1,Podesavanja!$AA$3:$AD$24, 4, 0), 0))</f>
        <v/>
      </c>
      <c r="J124" s="364" t="str">
        <f ca="1">IF( ISNA( VLOOKUP( APIF_Import!$M124 &amp; APIF_Import!$J$1,Podesavanja!$AA$3:$AD$24, 4, 0)), "", VLOOKUP( APIF_Import!$C124, INDIRECT( "Lookup_" &amp; APIF_Import!$M124), VLOOKUP( APIF_Import!$M124 &amp; APIF_Import!$J$1,Podesavanja!$AA$3:$AD$24, 4, 0), 0))</f>
        <v/>
      </c>
      <c r="K124" s="364" t="str">
        <f ca="1">IF( ISNA( VLOOKUP( APIF_Import!$M124 &amp; APIF_Import!$K$1,Podesavanja!$AA$3:$AD$24, 4, 0)), "", VLOOKUP( APIF_Import!$C124, INDIRECT( "Lookup_" &amp; APIF_Import!$M124), VLOOKUP( APIF_Import!$M124 &amp; APIF_Import!$K$1,Podesavanja!$AA$3:$AD$24, 4, 0), 0))</f>
        <v/>
      </c>
      <c r="L124" s="8">
        <v>125</v>
      </c>
      <c r="M124" s="8" t="s">
        <v>296</v>
      </c>
    </row>
    <row r="125" spans="2:13" x14ac:dyDescent="0.2">
      <c r="B125" s="8">
        <f>VLOOKUP( APIF_Import!$M125, Podesavanja!$N$3:$Q$9, 4, 0)</f>
        <v>2</v>
      </c>
      <c r="C125" s="363">
        <f>VLOOKUP( APIF_Import!$L125, Aop!$A$2:$N$415, 4, 0)</f>
        <v>158</v>
      </c>
      <c r="D125" s="364" t="str">
        <f ca="1">IF( ISNA( VLOOKUP( APIF_Import!$M125 &amp; APIF_Import!$D$1,Podesavanja!$AA$3:$AD$24, 4, 0)), "", SUBSTITUTE( VALUE( VLOOKUP( APIF_Import!$C125, INDIRECT( "Lookup_" &amp; APIF_Import!$M125), VLOOKUP( APIF_Import!$M125 &amp; APIF_Import!$D$1,Podesavanja!$AA$3:$AD$24, 4, 0), 0)), ".", ","))</f>
        <v>11502</v>
      </c>
      <c r="E125" s="364" t="str">
        <f ca="1">IF( ISNA( VLOOKUP( APIF_Import!$M125 &amp; APIF_Import!$E$1,Podesavanja!$AA$3:$AD$24, 4, 0)), "", SUBSTITUTE( VALUE( VLOOKUP( APIF_Import!$C125, INDIRECT( "Lookup_" &amp; APIF_Import!$M125), VLOOKUP( APIF_Import!$M125 &amp; APIF_Import!$E$1,Podesavanja!$AA$3:$AD$24, 4, 0), 0)), ".", ","))</f>
        <v>16305</v>
      </c>
      <c r="F125" s="364" t="str">
        <f ca="1">IF( ISNA( VLOOKUP( APIF_Import!$M125 &amp; APIF_Import!$F$1,Podesavanja!$AA$3:$AD$24, 4, 0)), "", VLOOKUP( APIF_Import!$C125, INDIRECT( "Lookup_" &amp; APIF_Import!$M125), VLOOKUP( APIF_Import!$M125 &amp; APIF_Import!$F$1,Podesavanja!$AA$3:$AD$24, 4, 0), 0))</f>
        <v/>
      </c>
      <c r="G125" s="364" t="str">
        <f ca="1">IF( ISNA( VLOOKUP( APIF_Import!$M125 &amp; APIF_Import!$G$1,Podesavanja!$AA$3:$AD$24, 4, 0)), "", VLOOKUP( APIF_Import!$C125, INDIRECT( "Lookup_" &amp; APIF_Import!$M125), VLOOKUP( APIF_Import!$M125 &amp; APIF_Import!$G$1,Podesavanja!$AA$3:$AD$24, 4, 0), 0))</f>
        <v/>
      </c>
      <c r="H125" s="364" t="str">
        <f ca="1">IF( ISNA( VLOOKUP( APIF_Import!$M125 &amp; APIF_Import!$H$1,Podesavanja!$AA$3:$AD$24, 4, 0)), "", VLOOKUP( APIF_Import!$C125, INDIRECT( "Lookup_" &amp; APIF_Import!$M125), VLOOKUP( APIF_Import!$M125 &amp; APIF_Import!$H$1,Podesavanja!$AA$3:$AD$24, 4, 0), 0))</f>
        <v/>
      </c>
      <c r="I125" s="364" t="str">
        <f ca="1">IF( ISNA( VLOOKUP( APIF_Import!$M125 &amp; APIF_Import!$I$1,Podesavanja!$AA$3:$AD$24, 4, 0)), "", VLOOKUP( APIF_Import!$C125, INDIRECT( "Lookup_" &amp; APIF_Import!$M125), VLOOKUP( APIF_Import!$M125 &amp; APIF_Import!$I$1,Podesavanja!$AA$3:$AD$24, 4, 0), 0))</f>
        <v/>
      </c>
      <c r="J125" s="364" t="str">
        <f ca="1">IF( ISNA( VLOOKUP( APIF_Import!$M125 &amp; APIF_Import!$J$1,Podesavanja!$AA$3:$AD$24, 4, 0)), "", VLOOKUP( APIF_Import!$C125, INDIRECT( "Lookup_" &amp; APIF_Import!$M125), VLOOKUP( APIF_Import!$M125 &amp; APIF_Import!$J$1,Podesavanja!$AA$3:$AD$24, 4, 0), 0))</f>
        <v/>
      </c>
      <c r="K125" s="364" t="str">
        <f ca="1">IF( ISNA( VLOOKUP( APIF_Import!$M125 &amp; APIF_Import!$K$1,Podesavanja!$AA$3:$AD$24, 4, 0)), "", VLOOKUP( APIF_Import!$C125, INDIRECT( "Lookup_" &amp; APIF_Import!$M125), VLOOKUP( APIF_Import!$M125 &amp; APIF_Import!$K$1,Podesavanja!$AA$3:$AD$24, 4, 0), 0))</f>
        <v/>
      </c>
      <c r="L125" s="8">
        <v>126</v>
      </c>
      <c r="M125" s="8" t="s">
        <v>296</v>
      </c>
    </row>
    <row r="126" spans="2:13" x14ac:dyDescent="0.2">
      <c r="B126" s="8">
        <f>VLOOKUP( APIF_Import!$M126, Podesavanja!$N$3:$Q$9, 4, 0)</f>
        <v>2</v>
      </c>
      <c r="C126" s="363">
        <f>VLOOKUP( APIF_Import!$L126, Aop!$A$2:$N$415, 4, 0)</f>
        <v>159</v>
      </c>
      <c r="D126" s="364" t="str">
        <f ca="1">IF( ISNA( VLOOKUP( APIF_Import!$M126 &amp; APIF_Import!$D$1,Podesavanja!$AA$3:$AD$24, 4, 0)), "", SUBSTITUTE( VALUE( VLOOKUP( APIF_Import!$C126, INDIRECT( "Lookup_" &amp; APIF_Import!$M126), VLOOKUP( APIF_Import!$M126 &amp; APIF_Import!$D$1,Podesavanja!$AA$3:$AD$24, 4, 0), 0)), ".", ","))</f>
        <v>0</v>
      </c>
      <c r="E126" s="364" t="str">
        <f ca="1">IF( ISNA( VLOOKUP( APIF_Import!$M126 &amp; APIF_Import!$E$1,Podesavanja!$AA$3:$AD$24, 4, 0)), "", SUBSTITUTE( VALUE( VLOOKUP( APIF_Import!$C126, INDIRECT( "Lookup_" &amp; APIF_Import!$M126), VLOOKUP( APIF_Import!$M126 &amp; APIF_Import!$E$1,Podesavanja!$AA$3:$AD$24, 4, 0), 0)), ".", ","))</f>
        <v>34923</v>
      </c>
      <c r="F126" s="364" t="str">
        <f ca="1">IF( ISNA( VLOOKUP( APIF_Import!$M126 &amp; APIF_Import!$F$1,Podesavanja!$AA$3:$AD$24, 4, 0)), "", VLOOKUP( APIF_Import!$C126, INDIRECT( "Lookup_" &amp; APIF_Import!$M126), VLOOKUP( APIF_Import!$M126 &amp; APIF_Import!$F$1,Podesavanja!$AA$3:$AD$24, 4, 0), 0))</f>
        <v/>
      </c>
      <c r="G126" s="364" t="str">
        <f ca="1">IF( ISNA( VLOOKUP( APIF_Import!$M126 &amp; APIF_Import!$G$1,Podesavanja!$AA$3:$AD$24, 4, 0)), "", VLOOKUP( APIF_Import!$C126, INDIRECT( "Lookup_" &amp; APIF_Import!$M126), VLOOKUP( APIF_Import!$M126 &amp; APIF_Import!$G$1,Podesavanja!$AA$3:$AD$24, 4, 0), 0))</f>
        <v/>
      </c>
      <c r="H126" s="364" t="str">
        <f ca="1">IF( ISNA( VLOOKUP( APIF_Import!$M126 &amp; APIF_Import!$H$1,Podesavanja!$AA$3:$AD$24, 4, 0)), "", VLOOKUP( APIF_Import!$C126, INDIRECT( "Lookup_" &amp; APIF_Import!$M126), VLOOKUP( APIF_Import!$M126 &amp; APIF_Import!$H$1,Podesavanja!$AA$3:$AD$24, 4, 0), 0))</f>
        <v/>
      </c>
      <c r="I126" s="364" t="str">
        <f ca="1">IF( ISNA( VLOOKUP( APIF_Import!$M126 &amp; APIF_Import!$I$1,Podesavanja!$AA$3:$AD$24, 4, 0)), "", VLOOKUP( APIF_Import!$C126, INDIRECT( "Lookup_" &amp; APIF_Import!$M126), VLOOKUP( APIF_Import!$M126 &amp; APIF_Import!$I$1,Podesavanja!$AA$3:$AD$24, 4, 0), 0))</f>
        <v/>
      </c>
      <c r="J126" s="364" t="str">
        <f ca="1">IF( ISNA( VLOOKUP( APIF_Import!$M126 &amp; APIF_Import!$J$1,Podesavanja!$AA$3:$AD$24, 4, 0)), "", VLOOKUP( APIF_Import!$C126, INDIRECT( "Lookup_" &amp; APIF_Import!$M126), VLOOKUP( APIF_Import!$M126 &amp; APIF_Import!$J$1,Podesavanja!$AA$3:$AD$24, 4, 0), 0))</f>
        <v/>
      </c>
      <c r="K126" s="364" t="str">
        <f ca="1">IF( ISNA( VLOOKUP( APIF_Import!$M126 &amp; APIF_Import!$K$1,Podesavanja!$AA$3:$AD$24, 4, 0)), "", VLOOKUP( APIF_Import!$C126, INDIRECT( "Lookup_" &amp; APIF_Import!$M126), VLOOKUP( APIF_Import!$M126 &amp; APIF_Import!$K$1,Podesavanja!$AA$3:$AD$24, 4, 0), 0))</f>
        <v/>
      </c>
      <c r="L126" s="8">
        <v>127</v>
      </c>
      <c r="M126" s="8" t="s">
        <v>296</v>
      </c>
    </row>
    <row r="127" spans="2:13" x14ac:dyDescent="0.2">
      <c r="B127" s="8">
        <f>VLOOKUP( APIF_Import!$M127, Podesavanja!$N$3:$Q$9, 4, 0)</f>
        <v>2</v>
      </c>
      <c r="C127" s="363">
        <f>VLOOKUP( APIF_Import!$L127, Aop!$A$2:$N$415, 4, 0)</f>
        <v>160</v>
      </c>
      <c r="D127" s="364" t="str">
        <f ca="1">IF( ISNA( VLOOKUP( APIF_Import!$M127 &amp; APIF_Import!$D$1,Podesavanja!$AA$3:$AD$24, 4, 0)), "", SUBSTITUTE( VALUE( VLOOKUP( APIF_Import!$C127, INDIRECT( "Lookup_" &amp; APIF_Import!$M127), VLOOKUP( APIF_Import!$M127 &amp; APIF_Import!$D$1,Podesavanja!$AA$3:$AD$24, 4, 0), 0)), ".", ","))</f>
        <v>73540</v>
      </c>
      <c r="E127" s="364" t="str">
        <f ca="1">IF( ISNA( VLOOKUP( APIF_Import!$M127 &amp; APIF_Import!$E$1,Podesavanja!$AA$3:$AD$24, 4, 0)), "", SUBSTITUTE( VALUE( VLOOKUP( APIF_Import!$C127, INDIRECT( "Lookup_" &amp; APIF_Import!$M127), VLOOKUP( APIF_Import!$M127 &amp; APIF_Import!$E$1,Podesavanja!$AA$3:$AD$24, 4, 0), 0)), ".", ","))</f>
        <v>66057</v>
      </c>
      <c r="F127" s="364" t="str">
        <f ca="1">IF( ISNA( VLOOKUP( APIF_Import!$M127 &amp; APIF_Import!$F$1,Podesavanja!$AA$3:$AD$24, 4, 0)), "", VLOOKUP( APIF_Import!$C127, INDIRECT( "Lookup_" &amp; APIF_Import!$M127), VLOOKUP( APIF_Import!$M127 &amp; APIF_Import!$F$1,Podesavanja!$AA$3:$AD$24, 4, 0), 0))</f>
        <v/>
      </c>
      <c r="G127" s="364" t="str">
        <f ca="1">IF( ISNA( VLOOKUP( APIF_Import!$M127 &amp; APIF_Import!$G$1,Podesavanja!$AA$3:$AD$24, 4, 0)), "", VLOOKUP( APIF_Import!$C127, INDIRECT( "Lookup_" &amp; APIF_Import!$M127), VLOOKUP( APIF_Import!$M127 &amp; APIF_Import!$G$1,Podesavanja!$AA$3:$AD$24, 4, 0), 0))</f>
        <v/>
      </c>
      <c r="H127" s="364" t="str">
        <f ca="1">IF( ISNA( VLOOKUP( APIF_Import!$M127 &amp; APIF_Import!$H$1,Podesavanja!$AA$3:$AD$24, 4, 0)), "", VLOOKUP( APIF_Import!$C127, INDIRECT( "Lookup_" &amp; APIF_Import!$M127), VLOOKUP( APIF_Import!$M127 &amp; APIF_Import!$H$1,Podesavanja!$AA$3:$AD$24, 4, 0), 0))</f>
        <v/>
      </c>
      <c r="I127" s="364" t="str">
        <f ca="1">IF( ISNA( VLOOKUP( APIF_Import!$M127 &amp; APIF_Import!$I$1,Podesavanja!$AA$3:$AD$24, 4, 0)), "", VLOOKUP( APIF_Import!$C127, INDIRECT( "Lookup_" &amp; APIF_Import!$M127), VLOOKUP( APIF_Import!$M127 &amp; APIF_Import!$I$1,Podesavanja!$AA$3:$AD$24, 4, 0), 0))</f>
        <v/>
      </c>
      <c r="J127" s="364" t="str">
        <f ca="1">IF( ISNA( VLOOKUP( APIF_Import!$M127 &amp; APIF_Import!$J$1,Podesavanja!$AA$3:$AD$24, 4, 0)), "", VLOOKUP( APIF_Import!$C127, INDIRECT( "Lookup_" &amp; APIF_Import!$M127), VLOOKUP( APIF_Import!$M127 &amp; APIF_Import!$J$1,Podesavanja!$AA$3:$AD$24, 4, 0), 0))</f>
        <v/>
      </c>
      <c r="K127" s="364" t="str">
        <f ca="1">IF( ISNA( VLOOKUP( APIF_Import!$M127 &amp; APIF_Import!$K$1,Podesavanja!$AA$3:$AD$24, 4, 0)), "", VLOOKUP( APIF_Import!$C127, INDIRECT( "Lookup_" &amp; APIF_Import!$M127), VLOOKUP( APIF_Import!$M127 &amp; APIF_Import!$K$1,Podesavanja!$AA$3:$AD$24, 4, 0), 0))</f>
        <v/>
      </c>
      <c r="L127" s="8">
        <v>128</v>
      </c>
      <c r="M127" s="8" t="s">
        <v>296</v>
      </c>
    </row>
    <row r="128" spans="2:13" x14ac:dyDescent="0.2">
      <c r="B128" s="8">
        <f>VLOOKUP( APIF_Import!$M128, Podesavanja!$N$3:$Q$9, 4, 0)</f>
        <v>2</v>
      </c>
      <c r="C128" s="363">
        <f>VLOOKUP( APIF_Import!$L128, Aop!$A$2:$N$415, 4, 0)</f>
        <v>161</v>
      </c>
      <c r="D128" s="364" t="str">
        <f ca="1">IF( ISNA( VLOOKUP( APIF_Import!$M128 &amp; APIF_Import!$D$1,Podesavanja!$AA$3:$AD$24, 4, 0)), "", SUBSTITUTE( VALUE( VLOOKUP( APIF_Import!$C128, INDIRECT( "Lookup_" &amp; APIF_Import!$M128), VLOOKUP( APIF_Import!$M128 &amp; APIF_Import!$D$1,Podesavanja!$AA$3:$AD$24, 4, 0), 0)), ".", ","))</f>
        <v>51503</v>
      </c>
      <c r="E128" s="364" t="str">
        <f ca="1">IF( ISNA( VLOOKUP( APIF_Import!$M128 &amp; APIF_Import!$E$1,Podesavanja!$AA$3:$AD$24, 4, 0)), "", SUBSTITUTE( VALUE( VLOOKUP( APIF_Import!$C128, INDIRECT( "Lookup_" &amp; APIF_Import!$M128), VLOOKUP( APIF_Import!$M128 &amp; APIF_Import!$E$1,Podesavanja!$AA$3:$AD$24, 4, 0), 0)), ".", ","))</f>
        <v>2462</v>
      </c>
      <c r="F128" s="364" t="str">
        <f ca="1">IF( ISNA( VLOOKUP( APIF_Import!$M128 &amp; APIF_Import!$F$1,Podesavanja!$AA$3:$AD$24, 4, 0)), "", VLOOKUP( APIF_Import!$C128, INDIRECT( "Lookup_" &amp; APIF_Import!$M128), VLOOKUP( APIF_Import!$M128 &amp; APIF_Import!$F$1,Podesavanja!$AA$3:$AD$24, 4, 0), 0))</f>
        <v/>
      </c>
      <c r="G128" s="364" t="str">
        <f ca="1">IF( ISNA( VLOOKUP( APIF_Import!$M128 &amp; APIF_Import!$G$1,Podesavanja!$AA$3:$AD$24, 4, 0)), "", VLOOKUP( APIF_Import!$C128, INDIRECT( "Lookup_" &amp; APIF_Import!$M128), VLOOKUP( APIF_Import!$M128 &amp; APIF_Import!$G$1,Podesavanja!$AA$3:$AD$24, 4, 0), 0))</f>
        <v/>
      </c>
      <c r="H128" s="364" t="str">
        <f ca="1">IF( ISNA( VLOOKUP( APIF_Import!$M128 &amp; APIF_Import!$H$1,Podesavanja!$AA$3:$AD$24, 4, 0)), "", VLOOKUP( APIF_Import!$C128, INDIRECT( "Lookup_" &amp; APIF_Import!$M128), VLOOKUP( APIF_Import!$M128 &amp; APIF_Import!$H$1,Podesavanja!$AA$3:$AD$24, 4, 0), 0))</f>
        <v/>
      </c>
      <c r="I128" s="364" t="str">
        <f ca="1">IF( ISNA( VLOOKUP( APIF_Import!$M128 &amp; APIF_Import!$I$1,Podesavanja!$AA$3:$AD$24, 4, 0)), "", VLOOKUP( APIF_Import!$C128, INDIRECT( "Lookup_" &amp; APIF_Import!$M128), VLOOKUP( APIF_Import!$M128 &amp; APIF_Import!$I$1,Podesavanja!$AA$3:$AD$24, 4, 0), 0))</f>
        <v/>
      </c>
      <c r="J128" s="364" t="str">
        <f ca="1">IF( ISNA( VLOOKUP( APIF_Import!$M128 &amp; APIF_Import!$J$1,Podesavanja!$AA$3:$AD$24, 4, 0)), "", VLOOKUP( APIF_Import!$C128, INDIRECT( "Lookup_" &amp; APIF_Import!$M128), VLOOKUP( APIF_Import!$M128 &amp; APIF_Import!$J$1,Podesavanja!$AA$3:$AD$24, 4, 0), 0))</f>
        <v/>
      </c>
      <c r="K128" s="364" t="str">
        <f ca="1">IF( ISNA( VLOOKUP( APIF_Import!$M128 &amp; APIF_Import!$K$1,Podesavanja!$AA$3:$AD$24, 4, 0)), "", VLOOKUP( APIF_Import!$C128, INDIRECT( "Lookup_" &amp; APIF_Import!$M128), VLOOKUP( APIF_Import!$M128 &amp; APIF_Import!$K$1,Podesavanja!$AA$3:$AD$24, 4, 0), 0))</f>
        <v/>
      </c>
      <c r="L128" s="8">
        <v>129</v>
      </c>
      <c r="M128" s="8" t="s">
        <v>296</v>
      </c>
    </row>
    <row r="129" spans="2:13" x14ac:dyDescent="0.2">
      <c r="B129" s="8">
        <f>VLOOKUP( APIF_Import!$M129, Podesavanja!$N$3:$Q$9, 4, 0)</f>
        <v>2</v>
      </c>
      <c r="C129" s="363">
        <f>VLOOKUP( APIF_Import!$L129, Aop!$A$2:$N$415, 4, 0)</f>
        <v>162</v>
      </c>
      <c r="D129" s="364" t="str">
        <f ca="1">IF( ISNA( VLOOKUP( APIF_Import!$M129 &amp; APIF_Import!$D$1,Podesavanja!$AA$3:$AD$24, 4, 0)), "", SUBSTITUTE( VALUE( VLOOKUP( APIF_Import!$C129, INDIRECT( "Lookup_" &amp; APIF_Import!$M129), VLOOKUP( APIF_Import!$M129 &amp; APIF_Import!$D$1,Podesavanja!$AA$3:$AD$24, 4, 0), 0)), ".", ","))</f>
        <v>0</v>
      </c>
      <c r="E129" s="364" t="str">
        <f ca="1">IF( ISNA( VLOOKUP( APIF_Import!$M129 &amp; APIF_Import!$E$1,Podesavanja!$AA$3:$AD$24, 4, 0)), "", SUBSTITUTE( VALUE( VLOOKUP( APIF_Import!$C129, INDIRECT( "Lookup_" &amp; APIF_Import!$M129), VLOOKUP( APIF_Import!$M129 &amp; APIF_Import!$E$1,Podesavanja!$AA$3:$AD$24, 4, 0), 0)), ".", ","))</f>
        <v>2400</v>
      </c>
      <c r="F129" s="364" t="str">
        <f ca="1">IF( ISNA( VLOOKUP( APIF_Import!$M129 &amp; APIF_Import!$F$1,Podesavanja!$AA$3:$AD$24, 4, 0)), "", VLOOKUP( APIF_Import!$C129, INDIRECT( "Lookup_" &amp; APIF_Import!$M129), VLOOKUP( APIF_Import!$M129 &amp; APIF_Import!$F$1,Podesavanja!$AA$3:$AD$24, 4, 0), 0))</f>
        <v/>
      </c>
      <c r="G129" s="364" t="str">
        <f ca="1">IF( ISNA( VLOOKUP( APIF_Import!$M129 &amp; APIF_Import!$G$1,Podesavanja!$AA$3:$AD$24, 4, 0)), "", VLOOKUP( APIF_Import!$C129, INDIRECT( "Lookup_" &amp; APIF_Import!$M129), VLOOKUP( APIF_Import!$M129 &amp; APIF_Import!$G$1,Podesavanja!$AA$3:$AD$24, 4, 0), 0))</f>
        <v/>
      </c>
      <c r="H129" s="364" t="str">
        <f ca="1">IF( ISNA( VLOOKUP( APIF_Import!$M129 &amp; APIF_Import!$H$1,Podesavanja!$AA$3:$AD$24, 4, 0)), "", VLOOKUP( APIF_Import!$C129, INDIRECT( "Lookup_" &amp; APIF_Import!$M129), VLOOKUP( APIF_Import!$M129 &amp; APIF_Import!$H$1,Podesavanja!$AA$3:$AD$24, 4, 0), 0))</f>
        <v/>
      </c>
      <c r="I129" s="364" t="str">
        <f ca="1">IF( ISNA( VLOOKUP( APIF_Import!$M129 &amp; APIF_Import!$I$1,Podesavanja!$AA$3:$AD$24, 4, 0)), "", VLOOKUP( APIF_Import!$C129, INDIRECT( "Lookup_" &amp; APIF_Import!$M129), VLOOKUP( APIF_Import!$M129 &amp; APIF_Import!$I$1,Podesavanja!$AA$3:$AD$24, 4, 0), 0))</f>
        <v/>
      </c>
      <c r="J129" s="364" t="str">
        <f ca="1">IF( ISNA( VLOOKUP( APIF_Import!$M129 &amp; APIF_Import!$J$1,Podesavanja!$AA$3:$AD$24, 4, 0)), "", VLOOKUP( APIF_Import!$C129, INDIRECT( "Lookup_" &amp; APIF_Import!$M129), VLOOKUP( APIF_Import!$M129 &amp; APIF_Import!$J$1,Podesavanja!$AA$3:$AD$24, 4, 0), 0))</f>
        <v/>
      </c>
      <c r="K129" s="364" t="str">
        <f ca="1">IF( ISNA( VLOOKUP( APIF_Import!$M129 &amp; APIF_Import!$K$1,Podesavanja!$AA$3:$AD$24, 4, 0)), "", VLOOKUP( APIF_Import!$C129, INDIRECT( "Lookup_" &amp; APIF_Import!$M129), VLOOKUP( APIF_Import!$M129 &amp; APIF_Import!$K$1,Podesavanja!$AA$3:$AD$24, 4, 0), 0))</f>
        <v/>
      </c>
      <c r="L129" s="8">
        <v>130</v>
      </c>
      <c r="M129" s="8" t="s">
        <v>296</v>
      </c>
    </row>
    <row r="130" spans="2:13" x14ac:dyDescent="0.2">
      <c r="B130" s="8">
        <f>VLOOKUP( APIF_Import!$M130, Podesavanja!$N$3:$Q$9, 4, 0)</f>
        <v>2</v>
      </c>
      <c r="C130" s="363">
        <f>VLOOKUP( APIF_Import!$L130, Aop!$A$2:$N$415, 4, 0)</f>
        <v>163</v>
      </c>
      <c r="D130" s="364" t="str">
        <f ca="1">IF( ISNA( VLOOKUP( APIF_Import!$M130 &amp; APIF_Import!$D$1,Podesavanja!$AA$3:$AD$24, 4, 0)), "", SUBSTITUTE( VALUE( VLOOKUP( APIF_Import!$C130, INDIRECT( "Lookup_" &amp; APIF_Import!$M130), VLOOKUP( APIF_Import!$M130 &amp; APIF_Import!$D$1,Podesavanja!$AA$3:$AD$24, 4, 0), 0)), ".", ","))</f>
        <v>0</v>
      </c>
      <c r="E130" s="364" t="str">
        <f ca="1">IF( ISNA( VLOOKUP( APIF_Import!$M130 &amp; APIF_Import!$E$1,Podesavanja!$AA$3:$AD$24, 4, 0)), "", SUBSTITUTE( VALUE( VLOOKUP( APIF_Import!$C130, INDIRECT( "Lookup_" &amp; APIF_Import!$M130), VLOOKUP( APIF_Import!$M130 &amp; APIF_Import!$E$1,Podesavanja!$AA$3:$AD$24, 4, 0), 0)), ".", ","))</f>
        <v>0</v>
      </c>
      <c r="F130" s="364" t="str">
        <f ca="1">IF( ISNA( VLOOKUP( APIF_Import!$M130 &amp; APIF_Import!$F$1,Podesavanja!$AA$3:$AD$24, 4, 0)), "", VLOOKUP( APIF_Import!$C130, INDIRECT( "Lookup_" &amp; APIF_Import!$M130), VLOOKUP( APIF_Import!$M130 &amp; APIF_Import!$F$1,Podesavanja!$AA$3:$AD$24, 4, 0), 0))</f>
        <v/>
      </c>
      <c r="G130" s="364" t="str">
        <f ca="1">IF( ISNA( VLOOKUP( APIF_Import!$M130 &amp; APIF_Import!$G$1,Podesavanja!$AA$3:$AD$24, 4, 0)), "", VLOOKUP( APIF_Import!$C130, INDIRECT( "Lookup_" &amp; APIF_Import!$M130), VLOOKUP( APIF_Import!$M130 &amp; APIF_Import!$G$1,Podesavanja!$AA$3:$AD$24, 4, 0), 0))</f>
        <v/>
      </c>
      <c r="H130" s="364" t="str">
        <f ca="1">IF( ISNA( VLOOKUP( APIF_Import!$M130 &amp; APIF_Import!$H$1,Podesavanja!$AA$3:$AD$24, 4, 0)), "", VLOOKUP( APIF_Import!$C130, INDIRECT( "Lookup_" &amp; APIF_Import!$M130), VLOOKUP( APIF_Import!$M130 &amp; APIF_Import!$H$1,Podesavanja!$AA$3:$AD$24, 4, 0), 0))</f>
        <v/>
      </c>
      <c r="I130" s="364" t="str">
        <f ca="1">IF( ISNA( VLOOKUP( APIF_Import!$M130 &amp; APIF_Import!$I$1,Podesavanja!$AA$3:$AD$24, 4, 0)), "", VLOOKUP( APIF_Import!$C130, INDIRECT( "Lookup_" &amp; APIF_Import!$M130), VLOOKUP( APIF_Import!$M130 &amp; APIF_Import!$I$1,Podesavanja!$AA$3:$AD$24, 4, 0), 0))</f>
        <v/>
      </c>
      <c r="J130" s="364" t="str">
        <f ca="1">IF( ISNA( VLOOKUP( APIF_Import!$M130 &amp; APIF_Import!$J$1,Podesavanja!$AA$3:$AD$24, 4, 0)), "", VLOOKUP( APIF_Import!$C130, INDIRECT( "Lookup_" &amp; APIF_Import!$M130), VLOOKUP( APIF_Import!$M130 &amp; APIF_Import!$J$1,Podesavanja!$AA$3:$AD$24, 4, 0), 0))</f>
        <v/>
      </c>
      <c r="K130" s="364" t="str">
        <f ca="1">IF( ISNA( VLOOKUP( APIF_Import!$M130 &amp; APIF_Import!$K$1,Podesavanja!$AA$3:$AD$24, 4, 0)), "", VLOOKUP( APIF_Import!$C130, INDIRECT( "Lookup_" &amp; APIF_Import!$M130), VLOOKUP( APIF_Import!$M130 &amp; APIF_Import!$K$1,Podesavanja!$AA$3:$AD$24, 4, 0), 0))</f>
        <v/>
      </c>
      <c r="L130" s="8">
        <v>131</v>
      </c>
      <c r="M130" s="8" t="s">
        <v>296</v>
      </c>
    </row>
    <row r="131" spans="2:13" x14ac:dyDescent="0.2">
      <c r="B131" s="8">
        <f>VLOOKUP( APIF_Import!$M131, Podesavanja!$N$3:$Q$9, 4, 0)</f>
        <v>2</v>
      </c>
      <c r="C131" s="363">
        <f>VLOOKUP( APIF_Import!$L131, Aop!$A$2:$N$415, 4, 0)</f>
        <v>164</v>
      </c>
      <c r="D131" s="364" t="str">
        <f ca="1">IF( ISNA( VLOOKUP( APIF_Import!$M131 &amp; APIF_Import!$D$1,Podesavanja!$AA$3:$AD$24, 4, 0)), "", SUBSTITUTE( VALUE( VLOOKUP( APIF_Import!$C131, INDIRECT( "Lookup_" &amp; APIF_Import!$M131), VLOOKUP( APIF_Import!$M131 &amp; APIF_Import!$D$1,Podesavanja!$AA$3:$AD$24, 4, 0), 0)), ".", ","))</f>
        <v>9887882</v>
      </c>
      <c r="E131" s="364" t="str">
        <f ca="1">IF( ISNA( VLOOKUP( APIF_Import!$M131 &amp; APIF_Import!$E$1,Podesavanja!$AA$3:$AD$24, 4, 0)), "", SUBSTITUTE( VALUE( VLOOKUP( APIF_Import!$C131, INDIRECT( "Lookup_" &amp; APIF_Import!$M131), VLOOKUP( APIF_Import!$M131 &amp; APIF_Import!$E$1,Podesavanja!$AA$3:$AD$24, 4, 0), 0)), ".", ","))</f>
        <v>9074711</v>
      </c>
      <c r="F131" s="364" t="str">
        <f ca="1">IF( ISNA( VLOOKUP( APIF_Import!$M131 &amp; APIF_Import!$F$1,Podesavanja!$AA$3:$AD$24, 4, 0)), "", VLOOKUP( APIF_Import!$C131, INDIRECT( "Lookup_" &amp; APIF_Import!$M131), VLOOKUP( APIF_Import!$M131 &amp; APIF_Import!$F$1,Podesavanja!$AA$3:$AD$24, 4, 0), 0))</f>
        <v/>
      </c>
      <c r="G131" s="364" t="str">
        <f ca="1">IF( ISNA( VLOOKUP( APIF_Import!$M131 &amp; APIF_Import!$G$1,Podesavanja!$AA$3:$AD$24, 4, 0)), "", VLOOKUP( APIF_Import!$C131, INDIRECT( "Lookup_" &amp; APIF_Import!$M131), VLOOKUP( APIF_Import!$M131 &amp; APIF_Import!$G$1,Podesavanja!$AA$3:$AD$24, 4, 0), 0))</f>
        <v/>
      </c>
      <c r="H131" s="364" t="str">
        <f ca="1">IF( ISNA( VLOOKUP( APIF_Import!$M131 &amp; APIF_Import!$H$1,Podesavanja!$AA$3:$AD$24, 4, 0)), "", VLOOKUP( APIF_Import!$C131, INDIRECT( "Lookup_" &amp; APIF_Import!$M131), VLOOKUP( APIF_Import!$M131 &amp; APIF_Import!$H$1,Podesavanja!$AA$3:$AD$24, 4, 0), 0))</f>
        <v/>
      </c>
      <c r="I131" s="364" t="str">
        <f ca="1">IF( ISNA( VLOOKUP( APIF_Import!$M131 &amp; APIF_Import!$I$1,Podesavanja!$AA$3:$AD$24, 4, 0)), "", VLOOKUP( APIF_Import!$C131, INDIRECT( "Lookup_" &amp; APIF_Import!$M131), VLOOKUP( APIF_Import!$M131 &amp; APIF_Import!$I$1,Podesavanja!$AA$3:$AD$24, 4, 0), 0))</f>
        <v/>
      </c>
      <c r="J131" s="364" t="str">
        <f ca="1">IF( ISNA( VLOOKUP( APIF_Import!$M131 &amp; APIF_Import!$J$1,Podesavanja!$AA$3:$AD$24, 4, 0)), "", VLOOKUP( APIF_Import!$C131, INDIRECT( "Lookup_" &amp; APIF_Import!$M131), VLOOKUP( APIF_Import!$M131 &amp; APIF_Import!$J$1,Podesavanja!$AA$3:$AD$24, 4, 0), 0))</f>
        <v/>
      </c>
      <c r="K131" s="364" t="str">
        <f ca="1">IF( ISNA( VLOOKUP( APIF_Import!$M131 &amp; APIF_Import!$K$1,Podesavanja!$AA$3:$AD$24, 4, 0)), "", VLOOKUP( APIF_Import!$C131, INDIRECT( "Lookup_" &amp; APIF_Import!$M131), VLOOKUP( APIF_Import!$M131 &amp; APIF_Import!$K$1,Podesavanja!$AA$3:$AD$24, 4, 0), 0))</f>
        <v/>
      </c>
      <c r="L131" s="8">
        <v>132</v>
      </c>
      <c r="M131" s="8" t="s">
        <v>296</v>
      </c>
    </row>
    <row r="132" spans="2:13" x14ac:dyDescent="0.2">
      <c r="B132" s="8">
        <f>VLOOKUP( APIF_Import!$M132, Podesavanja!$N$3:$Q$9, 4, 0)</f>
        <v>2</v>
      </c>
      <c r="C132" s="363">
        <f>VLOOKUP( APIF_Import!$L132, Aop!$A$2:$N$415, 4, 0)</f>
        <v>165</v>
      </c>
      <c r="D132" s="364" t="str">
        <f ca="1">IF( ISNA( VLOOKUP( APIF_Import!$M132 &amp; APIF_Import!$D$1,Podesavanja!$AA$3:$AD$24, 4, 0)), "", SUBSTITUTE( VALUE( VLOOKUP( APIF_Import!$C132, INDIRECT( "Lookup_" &amp; APIF_Import!$M132), VLOOKUP( APIF_Import!$M132 &amp; APIF_Import!$D$1,Podesavanja!$AA$3:$AD$24, 4, 0), 0)), ".", ","))</f>
        <v>0</v>
      </c>
      <c r="E132" s="364" t="str">
        <f ca="1">IF( ISNA( VLOOKUP( APIF_Import!$M132 &amp; APIF_Import!$E$1,Podesavanja!$AA$3:$AD$24, 4, 0)), "", SUBSTITUTE( VALUE( VLOOKUP( APIF_Import!$C132, INDIRECT( "Lookup_" &amp; APIF_Import!$M132), VLOOKUP( APIF_Import!$M132 &amp; APIF_Import!$E$1,Podesavanja!$AA$3:$AD$24, 4, 0), 0)), ".", ","))</f>
        <v>0</v>
      </c>
      <c r="F132" s="364" t="str">
        <f ca="1">IF( ISNA( VLOOKUP( APIF_Import!$M132 &amp; APIF_Import!$F$1,Podesavanja!$AA$3:$AD$24, 4, 0)), "", VLOOKUP( APIF_Import!$C132, INDIRECT( "Lookup_" &amp; APIF_Import!$M132), VLOOKUP( APIF_Import!$M132 &amp; APIF_Import!$F$1,Podesavanja!$AA$3:$AD$24, 4, 0), 0))</f>
        <v/>
      </c>
      <c r="G132" s="364" t="str">
        <f ca="1">IF( ISNA( VLOOKUP( APIF_Import!$M132 &amp; APIF_Import!$G$1,Podesavanja!$AA$3:$AD$24, 4, 0)), "", VLOOKUP( APIF_Import!$C132, INDIRECT( "Lookup_" &amp; APIF_Import!$M132), VLOOKUP( APIF_Import!$M132 &amp; APIF_Import!$G$1,Podesavanja!$AA$3:$AD$24, 4, 0), 0))</f>
        <v/>
      </c>
      <c r="H132" s="364" t="str">
        <f ca="1">IF( ISNA( VLOOKUP( APIF_Import!$M132 &amp; APIF_Import!$H$1,Podesavanja!$AA$3:$AD$24, 4, 0)), "", VLOOKUP( APIF_Import!$C132, INDIRECT( "Lookup_" &amp; APIF_Import!$M132), VLOOKUP( APIF_Import!$M132 &amp; APIF_Import!$H$1,Podesavanja!$AA$3:$AD$24, 4, 0), 0))</f>
        <v/>
      </c>
      <c r="I132" s="364" t="str">
        <f ca="1">IF( ISNA( VLOOKUP( APIF_Import!$M132 &amp; APIF_Import!$I$1,Podesavanja!$AA$3:$AD$24, 4, 0)), "", VLOOKUP( APIF_Import!$C132, INDIRECT( "Lookup_" &amp; APIF_Import!$M132), VLOOKUP( APIF_Import!$M132 &amp; APIF_Import!$I$1,Podesavanja!$AA$3:$AD$24, 4, 0), 0))</f>
        <v/>
      </c>
      <c r="J132" s="364" t="str">
        <f ca="1">IF( ISNA( VLOOKUP( APIF_Import!$M132 &amp; APIF_Import!$J$1,Podesavanja!$AA$3:$AD$24, 4, 0)), "", VLOOKUP( APIF_Import!$C132, INDIRECT( "Lookup_" &amp; APIF_Import!$M132), VLOOKUP( APIF_Import!$M132 &amp; APIF_Import!$J$1,Podesavanja!$AA$3:$AD$24, 4, 0), 0))</f>
        <v/>
      </c>
      <c r="K132" s="364" t="str">
        <f ca="1">IF( ISNA( VLOOKUP( APIF_Import!$M132 &amp; APIF_Import!$K$1,Podesavanja!$AA$3:$AD$24, 4, 0)), "", VLOOKUP( APIF_Import!$C132, INDIRECT( "Lookup_" &amp; APIF_Import!$M132), VLOOKUP( APIF_Import!$M132 &amp; APIF_Import!$K$1,Podesavanja!$AA$3:$AD$24, 4, 0), 0))</f>
        <v/>
      </c>
      <c r="L132" s="8">
        <v>133</v>
      </c>
      <c r="M132" s="8" t="s">
        <v>296</v>
      </c>
    </row>
    <row r="133" spans="2:13" x14ac:dyDescent="0.2">
      <c r="B133" s="8">
        <f>VLOOKUP( APIF_Import!$M133, Podesavanja!$N$3:$Q$9, 4, 0)</f>
        <v>2</v>
      </c>
      <c r="C133" s="363">
        <f>VLOOKUP( APIF_Import!$L133, Aop!$A$2:$N$415, 4, 0)</f>
        <v>166</v>
      </c>
      <c r="D133" s="364" t="str">
        <f ca="1">IF( ISNA( VLOOKUP( APIF_Import!$M133 &amp; APIF_Import!$D$1,Podesavanja!$AA$3:$AD$24, 4, 0)), "", SUBSTITUTE( VALUE( VLOOKUP( APIF_Import!$C133, INDIRECT( "Lookup_" &amp; APIF_Import!$M133), VLOOKUP( APIF_Import!$M133 &amp; APIF_Import!$D$1,Podesavanja!$AA$3:$AD$24, 4, 0), 0)), ".", ","))</f>
        <v>9887882</v>
      </c>
      <c r="E133" s="364" t="str">
        <f ca="1">IF( ISNA( VLOOKUP( APIF_Import!$M133 &amp; APIF_Import!$E$1,Podesavanja!$AA$3:$AD$24, 4, 0)), "", SUBSTITUTE( VALUE( VLOOKUP( APIF_Import!$C133, INDIRECT( "Lookup_" &amp; APIF_Import!$M133), VLOOKUP( APIF_Import!$M133 &amp; APIF_Import!$E$1,Podesavanja!$AA$3:$AD$24, 4, 0), 0)), ".", ","))</f>
        <v>9074711</v>
      </c>
      <c r="F133" s="364" t="str">
        <f ca="1">IF( ISNA( VLOOKUP( APIF_Import!$M133 &amp; APIF_Import!$F$1,Podesavanja!$AA$3:$AD$24, 4, 0)), "", VLOOKUP( APIF_Import!$C133, INDIRECT( "Lookup_" &amp; APIF_Import!$M133), VLOOKUP( APIF_Import!$M133 &amp; APIF_Import!$F$1,Podesavanja!$AA$3:$AD$24, 4, 0), 0))</f>
        <v/>
      </c>
      <c r="G133" s="364" t="str">
        <f ca="1">IF( ISNA( VLOOKUP( APIF_Import!$M133 &amp; APIF_Import!$G$1,Podesavanja!$AA$3:$AD$24, 4, 0)), "", VLOOKUP( APIF_Import!$C133, INDIRECT( "Lookup_" &amp; APIF_Import!$M133), VLOOKUP( APIF_Import!$M133 &amp; APIF_Import!$G$1,Podesavanja!$AA$3:$AD$24, 4, 0), 0))</f>
        <v/>
      </c>
      <c r="H133" s="364" t="str">
        <f ca="1">IF( ISNA( VLOOKUP( APIF_Import!$M133 &amp; APIF_Import!$H$1,Podesavanja!$AA$3:$AD$24, 4, 0)), "", VLOOKUP( APIF_Import!$C133, INDIRECT( "Lookup_" &amp; APIF_Import!$M133), VLOOKUP( APIF_Import!$M133 &amp; APIF_Import!$H$1,Podesavanja!$AA$3:$AD$24, 4, 0), 0))</f>
        <v/>
      </c>
      <c r="I133" s="364" t="str">
        <f ca="1">IF( ISNA( VLOOKUP( APIF_Import!$M133 &amp; APIF_Import!$I$1,Podesavanja!$AA$3:$AD$24, 4, 0)), "", VLOOKUP( APIF_Import!$C133, INDIRECT( "Lookup_" &amp; APIF_Import!$M133), VLOOKUP( APIF_Import!$M133 &amp; APIF_Import!$I$1,Podesavanja!$AA$3:$AD$24, 4, 0), 0))</f>
        <v/>
      </c>
      <c r="J133" s="364" t="str">
        <f ca="1">IF( ISNA( VLOOKUP( APIF_Import!$M133 &amp; APIF_Import!$J$1,Podesavanja!$AA$3:$AD$24, 4, 0)), "", VLOOKUP( APIF_Import!$C133, INDIRECT( "Lookup_" &amp; APIF_Import!$M133), VLOOKUP( APIF_Import!$M133 &amp; APIF_Import!$J$1,Podesavanja!$AA$3:$AD$24, 4, 0), 0))</f>
        <v/>
      </c>
      <c r="K133" s="364" t="str">
        <f ca="1">IF( ISNA( VLOOKUP( APIF_Import!$M133 &amp; APIF_Import!$K$1,Podesavanja!$AA$3:$AD$24, 4, 0)), "", VLOOKUP( APIF_Import!$C133, INDIRECT( "Lookup_" &amp; APIF_Import!$M133), VLOOKUP( APIF_Import!$M133 &amp; APIF_Import!$K$1,Podesavanja!$AA$3:$AD$24, 4, 0), 0))</f>
        <v/>
      </c>
      <c r="L133" s="8">
        <v>134</v>
      </c>
      <c r="M133" s="8" t="s">
        <v>296</v>
      </c>
    </row>
    <row r="134" spans="2:13" x14ac:dyDescent="0.2">
      <c r="B134" s="8">
        <f>VLOOKUP( APIF_Import!$M134, Podesavanja!$N$3:$Q$9, 4, 0)</f>
        <v>3</v>
      </c>
      <c r="C134" s="363">
        <f>VLOOKUP( APIF_Import!$L134, Aop!$A$2:$N$415, 4, 0)</f>
        <v>201</v>
      </c>
      <c r="D134" s="364" t="str">
        <f ca="1">IF( ISNA( VLOOKUP( APIF_Import!$M134 &amp; APIF_Import!$D$1,Podesavanja!$AA$3:$AD$24, 4, 0)), "", SUBSTITUTE( VALUE( VLOOKUP( APIF_Import!$C134, INDIRECT( "Lookup_" &amp; APIF_Import!$M134), VLOOKUP( APIF_Import!$M134 &amp; APIF_Import!$D$1,Podesavanja!$AA$3:$AD$24, 4, 0), 0)), ".", ","))</f>
        <v>18205944</v>
      </c>
      <c r="E134" s="364" t="str">
        <f ca="1">IF( ISNA( VLOOKUP( APIF_Import!$M134 &amp; APIF_Import!$E$1,Podesavanja!$AA$3:$AD$24, 4, 0)), "", SUBSTITUTE( VALUE( VLOOKUP( APIF_Import!$C134, INDIRECT( "Lookup_" &amp; APIF_Import!$M134), VLOOKUP( APIF_Import!$M134 &amp; APIF_Import!$E$1,Podesavanja!$AA$3:$AD$24, 4, 0), 0)), ".", ","))</f>
        <v>12951567</v>
      </c>
      <c r="F134" s="364" t="str">
        <f ca="1">IF( ISNA( VLOOKUP( APIF_Import!$M134 &amp; APIF_Import!$F$1,Podesavanja!$AA$3:$AD$24, 4, 0)), "", VLOOKUP( APIF_Import!$C134, INDIRECT( "Lookup_" &amp; APIF_Import!$M134), VLOOKUP( APIF_Import!$M134 &amp; APIF_Import!$F$1,Podesavanja!$AA$3:$AD$24, 4, 0), 0))</f>
        <v/>
      </c>
      <c r="G134" s="364" t="str">
        <f ca="1">IF( ISNA( VLOOKUP( APIF_Import!$M134 &amp; APIF_Import!$G$1,Podesavanja!$AA$3:$AD$24, 4, 0)), "", VLOOKUP( APIF_Import!$C134, INDIRECT( "Lookup_" &amp; APIF_Import!$M134), VLOOKUP( APIF_Import!$M134 &amp; APIF_Import!$G$1,Podesavanja!$AA$3:$AD$24, 4, 0), 0))</f>
        <v/>
      </c>
      <c r="H134" s="364" t="str">
        <f ca="1">IF( ISNA( VLOOKUP( APIF_Import!$M134 &amp; APIF_Import!$H$1,Podesavanja!$AA$3:$AD$24, 4, 0)), "", VLOOKUP( APIF_Import!$C134, INDIRECT( "Lookup_" &amp; APIF_Import!$M134), VLOOKUP( APIF_Import!$M134 &amp; APIF_Import!$H$1,Podesavanja!$AA$3:$AD$24, 4, 0), 0))</f>
        <v/>
      </c>
      <c r="I134" s="364" t="str">
        <f ca="1">IF( ISNA( VLOOKUP( APIF_Import!$M134 &amp; APIF_Import!$I$1,Podesavanja!$AA$3:$AD$24, 4, 0)), "", VLOOKUP( APIF_Import!$C134, INDIRECT( "Lookup_" &amp; APIF_Import!$M134), VLOOKUP( APIF_Import!$M134 &amp; APIF_Import!$I$1,Podesavanja!$AA$3:$AD$24, 4, 0), 0))</f>
        <v/>
      </c>
      <c r="J134" s="364" t="str">
        <f ca="1">IF( ISNA( VLOOKUP( APIF_Import!$M134 &amp; APIF_Import!$J$1,Podesavanja!$AA$3:$AD$24, 4, 0)), "", VLOOKUP( APIF_Import!$C134, INDIRECT( "Lookup_" &amp; APIF_Import!$M134), VLOOKUP( APIF_Import!$M134 &amp; APIF_Import!$J$1,Podesavanja!$AA$3:$AD$24, 4, 0), 0))</f>
        <v/>
      </c>
      <c r="K134" s="364" t="str">
        <f ca="1">IF( ISNA( VLOOKUP( APIF_Import!$M134 &amp; APIF_Import!$K$1,Podesavanja!$AA$3:$AD$24, 4, 0)), "", VLOOKUP( APIF_Import!$C134, INDIRECT( "Lookup_" &amp; APIF_Import!$M134), VLOOKUP( APIF_Import!$M134 &amp; APIF_Import!$K$1,Podesavanja!$AA$3:$AD$24, 4, 0), 0))</f>
        <v/>
      </c>
      <c r="L134" s="8">
        <v>136</v>
      </c>
      <c r="M134" s="8" t="s">
        <v>1497</v>
      </c>
    </row>
    <row r="135" spans="2:13" x14ac:dyDescent="0.2">
      <c r="B135" s="8">
        <f>VLOOKUP( APIF_Import!$M135, Podesavanja!$N$3:$Q$9, 4, 0)</f>
        <v>3</v>
      </c>
      <c r="C135" s="363">
        <f>VLOOKUP( APIF_Import!$L135, Aop!$A$2:$N$415, 4, 0)</f>
        <v>202</v>
      </c>
      <c r="D135" s="364" t="str">
        <f ca="1">IF( ISNA( VLOOKUP( APIF_Import!$M135 &amp; APIF_Import!$D$1,Podesavanja!$AA$3:$AD$24, 4, 0)), "", SUBSTITUTE( VALUE( VLOOKUP( APIF_Import!$C135, INDIRECT( "Lookup_" &amp; APIF_Import!$M135), VLOOKUP( APIF_Import!$M135 &amp; APIF_Import!$D$1,Podesavanja!$AA$3:$AD$24, 4, 0), 0)), ".", ","))</f>
        <v>10247935</v>
      </c>
      <c r="E135" s="364" t="str">
        <f ca="1">IF( ISNA( VLOOKUP( APIF_Import!$M135 &amp; APIF_Import!$E$1,Podesavanja!$AA$3:$AD$24, 4, 0)), "", SUBSTITUTE( VALUE( VLOOKUP( APIF_Import!$C135, INDIRECT( "Lookup_" &amp; APIF_Import!$M135), VLOOKUP( APIF_Import!$M135 &amp; APIF_Import!$E$1,Podesavanja!$AA$3:$AD$24, 4, 0), 0)), ".", ","))</f>
        <v>8449026</v>
      </c>
      <c r="F135" s="364" t="str">
        <f ca="1">IF( ISNA( VLOOKUP( APIF_Import!$M135 &amp; APIF_Import!$F$1,Podesavanja!$AA$3:$AD$24, 4, 0)), "", VLOOKUP( APIF_Import!$C135, INDIRECT( "Lookup_" &amp; APIF_Import!$M135), VLOOKUP( APIF_Import!$M135 &amp; APIF_Import!$F$1,Podesavanja!$AA$3:$AD$24, 4, 0), 0))</f>
        <v/>
      </c>
      <c r="G135" s="364" t="str">
        <f ca="1">IF( ISNA( VLOOKUP( APIF_Import!$M135 &amp; APIF_Import!$G$1,Podesavanja!$AA$3:$AD$24, 4, 0)), "", VLOOKUP( APIF_Import!$C135, INDIRECT( "Lookup_" &amp; APIF_Import!$M135), VLOOKUP( APIF_Import!$M135 &amp; APIF_Import!$G$1,Podesavanja!$AA$3:$AD$24, 4, 0), 0))</f>
        <v/>
      </c>
      <c r="H135" s="364" t="str">
        <f ca="1">IF( ISNA( VLOOKUP( APIF_Import!$M135 &amp; APIF_Import!$H$1,Podesavanja!$AA$3:$AD$24, 4, 0)), "", VLOOKUP( APIF_Import!$C135, INDIRECT( "Lookup_" &amp; APIF_Import!$M135), VLOOKUP( APIF_Import!$M135 &amp; APIF_Import!$H$1,Podesavanja!$AA$3:$AD$24, 4, 0), 0))</f>
        <v/>
      </c>
      <c r="I135" s="364" t="str">
        <f ca="1">IF( ISNA( VLOOKUP( APIF_Import!$M135 &amp; APIF_Import!$I$1,Podesavanja!$AA$3:$AD$24, 4, 0)), "", VLOOKUP( APIF_Import!$C135, INDIRECT( "Lookup_" &amp; APIF_Import!$M135), VLOOKUP( APIF_Import!$M135 &amp; APIF_Import!$I$1,Podesavanja!$AA$3:$AD$24, 4, 0), 0))</f>
        <v/>
      </c>
      <c r="J135" s="364" t="str">
        <f ca="1">IF( ISNA( VLOOKUP( APIF_Import!$M135 &amp; APIF_Import!$J$1,Podesavanja!$AA$3:$AD$24, 4, 0)), "", VLOOKUP( APIF_Import!$C135, INDIRECT( "Lookup_" &amp; APIF_Import!$M135), VLOOKUP( APIF_Import!$M135 &amp; APIF_Import!$J$1,Podesavanja!$AA$3:$AD$24, 4, 0), 0))</f>
        <v/>
      </c>
      <c r="K135" s="364" t="str">
        <f ca="1">IF( ISNA( VLOOKUP( APIF_Import!$M135 &amp; APIF_Import!$K$1,Podesavanja!$AA$3:$AD$24, 4, 0)), "", VLOOKUP( APIF_Import!$C135, INDIRECT( "Lookup_" &amp; APIF_Import!$M135), VLOOKUP( APIF_Import!$M135 &amp; APIF_Import!$K$1,Podesavanja!$AA$3:$AD$24, 4, 0), 0))</f>
        <v/>
      </c>
      <c r="L135" s="8">
        <v>137</v>
      </c>
      <c r="M135" s="8" t="s">
        <v>1497</v>
      </c>
    </row>
    <row r="136" spans="2:13" x14ac:dyDescent="0.2">
      <c r="B136" s="8">
        <f>VLOOKUP( APIF_Import!$M136, Podesavanja!$N$3:$Q$9, 4, 0)</f>
        <v>3</v>
      </c>
      <c r="C136" s="363">
        <f>VLOOKUP( APIF_Import!$L136, Aop!$A$2:$N$415, 4, 0)</f>
        <v>203</v>
      </c>
      <c r="D136" s="364" t="str">
        <f ca="1">IF( ISNA( VLOOKUP( APIF_Import!$M136 &amp; APIF_Import!$D$1,Podesavanja!$AA$3:$AD$24, 4, 0)), "", SUBSTITUTE( VALUE( VLOOKUP( APIF_Import!$C136, INDIRECT( "Lookup_" &amp; APIF_Import!$M136), VLOOKUP( APIF_Import!$M136 &amp; APIF_Import!$D$1,Podesavanja!$AA$3:$AD$24, 4, 0), 0)), ".", ","))</f>
        <v>0</v>
      </c>
      <c r="E136" s="364" t="str">
        <f ca="1">IF( ISNA( VLOOKUP( APIF_Import!$M136 &amp; APIF_Import!$E$1,Podesavanja!$AA$3:$AD$24, 4, 0)), "", SUBSTITUTE( VALUE( VLOOKUP( APIF_Import!$C136, INDIRECT( "Lookup_" &amp; APIF_Import!$M136), VLOOKUP( APIF_Import!$M136 &amp; APIF_Import!$E$1,Podesavanja!$AA$3:$AD$24, 4, 0), 0)), ".", ","))</f>
        <v>0</v>
      </c>
      <c r="F136" s="364" t="str">
        <f ca="1">IF( ISNA( VLOOKUP( APIF_Import!$M136 &amp; APIF_Import!$F$1,Podesavanja!$AA$3:$AD$24, 4, 0)), "", VLOOKUP( APIF_Import!$C136, INDIRECT( "Lookup_" &amp; APIF_Import!$M136), VLOOKUP( APIF_Import!$M136 &amp; APIF_Import!$F$1,Podesavanja!$AA$3:$AD$24, 4, 0), 0))</f>
        <v/>
      </c>
      <c r="G136" s="364" t="str">
        <f ca="1">IF( ISNA( VLOOKUP( APIF_Import!$M136 &amp; APIF_Import!$G$1,Podesavanja!$AA$3:$AD$24, 4, 0)), "", VLOOKUP( APIF_Import!$C136, INDIRECT( "Lookup_" &amp; APIF_Import!$M136), VLOOKUP( APIF_Import!$M136 &amp; APIF_Import!$G$1,Podesavanja!$AA$3:$AD$24, 4, 0), 0))</f>
        <v/>
      </c>
      <c r="H136" s="364" t="str">
        <f ca="1">IF( ISNA( VLOOKUP( APIF_Import!$M136 &amp; APIF_Import!$H$1,Podesavanja!$AA$3:$AD$24, 4, 0)), "", VLOOKUP( APIF_Import!$C136, INDIRECT( "Lookup_" &amp; APIF_Import!$M136), VLOOKUP( APIF_Import!$M136 &amp; APIF_Import!$H$1,Podesavanja!$AA$3:$AD$24, 4, 0), 0))</f>
        <v/>
      </c>
      <c r="I136" s="364" t="str">
        <f ca="1">IF( ISNA( VLOOKUP( APIF_Import!$M136 &amp; APIF_Import!$I$1,Podesavanja!$AA$3:$AD$24, 4, 0)), "", VLOOKUP( APIF_Import!$C136, INDIRECT( "Lookup_" &amp; APIF_Import!$M136), VLOOKUP( APIF_Import!$M136 &amp; APIF_Import!$I$1,Podesavanja!$AA$3:$AD$24, 4, 0), 0))</f>
        <v/>
      </c>
      <c r="J136" s="364" t="str">
        <f ca="1">IF( ISNA( VLOOKUP( APIF_Import!$M136 &amp; APIF_Import!$J$1,Podesavanja!$AA$3:$AD$24, 4, 0)), "", VLOOKUP( APIF_Import!$C136, INDIRECT( "Lookup_" &amp; APIF_Import!$M136), VLOOKUP( APIF_Import!$M136 &amp; APIF_Import!$J$1,Podesavanja!$AA$3:$AD$24, 4, 0), 0))</f>
        <v/>
      </c>
      <c r="K136" s="364" t="str">
        <f ca="1">IF( ISNA( VLOOKUP( APIF_Import!$M136 &amp; APIF_Import!$K$1,Podesavanja!$AA$3:$AD$24, 4, 0)), "", VLOOKUP( APIF_Import!$C136, INDIRECT( "Lookup_" &amp; APIF_Import!$M136), VLOOKUP( APIF_Import!$M136 &amp; APIF_Import!$K$1,Podesavanja!$AA$3:$AD$24, 4, 0), 0))</f>
        <v/>
      </c>
      <c r="L136" s="8">
        <v>138</v>
      </c>
      <c r="M136" s="8" t="s">
        <v>1497</v>
      </c>
    </row>
    <row r="137" spans="2:13" x14ac:dyDescent="0.2">
      <c r="B137" s="8">
        <f>VLOOKUP( APIF_Import!$M137, Podesavanja!$N$3:$Q$9, 4, 0)</f>
        <v>3</v>
      </c>
      <c r="C137" s="363">
        <f>VLOOKUP( APIF_Import!$L137, Aop!$A$2:$N$415, 4, 0)</f>
        <v>204</v>
      </c>
      <c r="D137" s="364" t="str">
        <f ca="1">IF( ISNA( VLOOKUP( APIF_Import!$M137 &amp; APIF_Import!$D$1,Podesavanja!$AA$3:$AD$24, 4, 0)), "", SUBSTITUTE( VALUE( VLOOKUP( APIF_Import!$C137, INDIRECT( "Lookup_" &amp; APIF_Import!$M137), VLOOKUP( APIF_Import!$M137 &amp; APIF_Import!$D$1,Podesavanja!$AA$3:$AD$24, 4, 0), 0)), ".", ","))</f>
        <v>10247935</v>
      </c>
      <c r="E137" s="364" t="str">
        <f ca="1">IF( ISNA( VLOOKUP( APIF_Import!$M137 &amp; APIF_Import!$E$1,Podesavanja!$AA$3:$AD$24, 4, 0)), "", SUBSTITUTE( VALUE( VLOOKUP( APIF_Import!$C137, INDIRECT( "Lookup_" &amp; APIF_Import!$M137), VLOOKUP( APIF_Import!$M137 &amp; APIF_Import!$E$1,Podesavanja!$AA$3:$AD$24, 4, 0), 0)), ".", ","))</f>
        <v>8449026</v>
      </c>
      <c r="F137" s="364" t="str">
        <f ca="1">IF( ISNA( VLOOKUP( APIF_Import!$M137 &amp; APIF_Import!$F$1,Podesavanja!$AA$3:$AD$24, 4, 0)), "", VLOOKUP( APIF_Import!$C137, INDIRECT( "Lookup_" &amp; APIF_Import!$M137), VLOOKUP( APIF_Import!$M137 &amp; APIF_Import!$F$1,Podesavanja!$AA$3:$AD$24, 4, 0), 0))</f>
        <v/>
      </c>
      <c r="G137" s="364" t="str">
        <f ca="1">IF( ISNA( VLOOKUP( APIF_Import!$M137 &amp; APIF_Import!$G$1,Podesavanja!$AA$3:$AD$24, 4, 0)), "", VLOOKUP( APIF_Import!$C137, INDIRECT( "Lookup_" &amp; APIF_Import!$M137), VLOOKUP( APIF_Import!$M137 &amp; APIF_Import!$G$1,Podesavanja!$AA$3:$AD$24, 4, 0), 0))</f>
        <v/>
      </c>
      <c r="H137" s="364" t="str">
        <f ca="1">IF( ISNA( VLOOKUP( APIF_Import!$M137 &amp; APIF_Import!$H$1,Podesavanja!$AA$3:$AD$24, 4, 0)), "", VLOOKUP( APIF_Import!$C137, INDIRECT( "Lookup_" &amp; APIF_Import!$M137), VLOOKUP( APIF_Import!$M137 &amp; APIF_Import!$H$1,Podesavanja!$AA$3:$AD$24, 4, 0), 0))</f>
        <v/>
      </c>
      <c r="I137" s="364" t="str">
        <f ca="1">IF( ISNA( VLOOKUP( APIF_Import!$M137 &amp; APIF_Import!$I$1,Podesavanja!$AA$3:$AD$24, 4, 0)), "", VLOOKUP( APIF_Import!$C137, INDIRECT( "Lookup_" &amp; APIF_Import!$M137), VLOOKUP( APIF_Import!$M137 &amp; APIF_Import!$I$1,Podesavanja!$AA$3:$AD$24, 4, 0), 0))</f>
        <v/>
      </c>
      <c r="J137" s="364" t="str">
        <f ca="1">IF( ISNA( VLOOKUP( APIF_Import!$M137 &amp; APIF_Import!$J$1,Podesavanja!$AA$3:$AD$24, 4, 0)), "", VLOOKUP( APIF_Import!$C137, INDIRECT( "Lookup_" &amp; APIF_Import!$M137), VLOOKUP( APIF_Import!$M137 &amp; APIF_Import!$J$1,Podesavanja!$AA$3:$AD$24, 4, 0), 0))</f>
        <v/>
      </c>
      <c r="K137" s="364" t="str">
        <f ca="1">IF( ISNA( VLOOKUP( APIF_Import!$M137 &amp; APIF_Import!$K$1,Podesavanja!$AA$3:$AD$24, 4, 0)), "", VLOOKUP( APIF_Import!$C137, INDIRECT( "Lookup_" &amp; APIF_Import!$M137), VLOOKUP( APIF_Import!$M137 &amp; APIF_Import!$K$1,Podesavanja!$AA$3:$AD$24, 4, 0), 0))</f>
        <v/>
      </c>
      <c r="L137" s="8">
        <v>139</v>
      </c>
      <c r="M137" s="8" t="s">
        <v>1497</v>
      </c>
    </row>
    <row r="138" spans="2:13" x14ac:dyDescent="0.2">
      <c r="B138" s="8">
        <f>VLOOKUP( APIF_Import!$M138, Podesavanja!$N$3:$Q$9, 4, 0)</f>
        <v>3</v>
      </c>
      <c r="C138" s="363">
        <f>VLOOKUP( APIF_Import!$L138, Aop!$A$2:$N$415, 4, 0)</f>
        <v>205</v>
      </c>
      <c r="D138" s="364" t="str">
        <f ca="1">IF( ISNA( VLOOKUP( APIF_Import!$M138 &amp; APIF_Import!$D$1,Podesavanja!$AA$3:$AD$24, 4, 0)), "", SUBSTITUTE( VALUE( VLOOKUP( APIF_Import!$C138, INDIRECT( "Lookup_" &amp; APIF_Import!$M138), VLOOKUP( APIF_Import!$M138 &amp; APIF_Import!$D$1,Podesavanja!$AA$3:$AD$24, 4, 0), 0)), ".", ","))</f>
        <v>0</v>
      </c>
      <c r="E138" s="364" t="str">
        <f ca="1">IF( ISNA( VLOOKUP( APIF_Import!$M138 &amp; APIF_Import!$E$1,Podesavanja!$AA$3:$AD$24, 4, 0)), "", SUBSTITUTE( VALUE( VLOOKUP( APIF_Import!$C138, INDIRECT( "Lookup_" &amp; APIF_Import!$M138), VLOOKUP( APIF_Import!$M138 &amp; APIF_Import!$E$1,Podesavanja!$AA$3:$AD$24, 4, 0), 0)), ".", ","))</f>
        <v>0</v>
      </c>
      <c r="F138" s="364" t="str">
        <f ca="1">IF( ISNA( VLOOKUP( APIF_Import!$M138 &amp; APIF_Import!$F$1,Podesavanja!$AA$3:$AD$24, 4, 0)), "", VLOOKUP( APIF_Import!$C138, INDIRECT( "Lookup_" &amp; APIF_Import!$M138), VLOOKUP( APIF_Import!$M138 &amp; APIF_Import!$F$1,Podesavanja!$AA$3:$AD$24, 4, 0), 0))</f>
        <v/>
      </c>
      <c r="G138" s="364" t="str">
        <f ca="1">IF( ISNA( VLOOKUP( APIF_Import!$M138 &amp; APIF_Import!$G$1,Podesavanja!$AA$3:$AD$24, 4, 0)), "", VLOOKUP( APIF_Import!$C138, INDIRECT( "Lookup_" &amp; APIF_Import!$M138), VLOOKUP( APIF_Import!$M138 &amp; APIF_Import!$G$1,Podesavanja!$AA$3:$AD$24, 4, 0), 0))</f>
        <v/>
      </c>
      <c r="H138" s="364" t="str">
        <f ca="1">IF( ISNA( VLOOKUP( APIF_Import!$M138 &amp; APIF_Import!$H$1,Podesavanja!$AA$3:$AD$24, 4, 0)), "", VLOOKUP( APIF_Import!$C138, INDIRECT( "Lookup_" &amp; APIF_Import!$M138), VLOOKUP( APIF_Import!$M138 &amp; APIF_Import!$H$1,Podesavanja!$AA$3:$AD$24, 4, 0), 0))</f>
        <v/>
      </c>
      <c r="I138" s="364" t="str">
        <f ca="1">IF( ISNA( VLOOKUP( APIF_Import!$M138 &amp; APIF_Import!$I$1,Podesavanja!$AA$3:$AD$24, 4, 0)), "", VLOOKUP( APIF_Import!$C138, INDIRECT( "Lookup_" &amp; APIF_Import!$M138), VLOOKUP( APIF_Import!$M138 &amp; APIF_Import!$I$1,Podesavanja!$AA$3:$AD$24, 4, 0), 0))</f>
        <v/>
      </c>
      <c r="J138" s="364" t="str">
        <f ca="1">IF( ISNA( VLOOKUP( APIF_Import!$M138 &amp; APIF_Import!$J$1,Podesavanja!$AA$3:$AD$24, 4, 0)), "", VLOOKUP( APIF_Import!$C138, INDIRECT( "Lookup_" &amp; APIF_Import!$M138), VLOOKUP( APIF_Import!$M138 &amp; APIF_Import!$J$1,Podesavanja!$AA$3:$AD$24, 4, 0), 0))</f>
        <v/>
      </c>
      <c r="K138" s="364" t="str">
        <f ca="1">IF( ISNA( VLOOKUP( APIF_Import!$M138 &amp; APIF_Import!$K$1,Podesavanja!$AA$3:$AD$24, 4, 0)), "", VLOOKUP( APIF_Import!$C138, INDIRECT( "Lookup_" &amp; APIF_Import!$M138), VLOOKUP( APIF_Import!$M138 &amp; APIF_Import!$K$1,Podesavanja!$AA$3:$AD$24, 4, 0), 0))</f>
        <v/>
      </c>
      <c r="L138" s="8">
        <v>140</v>
      </c>
      <c r="M138" s="8" t="s">
        <v>1497</v>
      </c>
    </row>
    <row r="139" spans="2:13" x14ac:dyDescent="0.2">
      <c r="B139" s="8">
        <f>VLOOKUP( APIF_Import!$M139, Podesavanja!$N$3:$Q$9, 4, 0)</f>
        <v>3</v>
      </c>
      <c r="C139" s="363">
        <f>VLOOKUP( APIF_Import!$L139, Aop!$A$2:$N$415, 4, 0)</f>
        <v>206</v>
      </c>
      <c r="D139" s="364" t="str">
        <f ca="1">IF( ISNA( VLOOKUP( APIF_Import!$M139 &amp; APIF_Import!$D$1,Podesavanja!$AA$3:$AD$24, 4, 0)), "", SUBSTITUTE( VALUE( VLOOKUP( APIF_Import!$C139, INDIRECT( "Lookup_" &amp; APIF_Import!$M139), VLOOKUP( APIF_Import!$M139 &amp; APIF_Import!$D$1,Podesavanja!$AA$3:$AD$24, 4, 0), 0)), ".", ","))</f>
        <v>7863680</v>
      </c>
      <c r="E139" s="364" t="str">
        <f ca="1">IF( ISNA( VLOOKUP( APIF_Import!$M139 &amp; APIF_Import!$E$1,Podesavanja!$AA$3:$AD$24, 4, 0)), "", SUBSTITUTE( VALUE( VLOOKUP( APIF_Import!$C139, INDIRECT( "Lookup_" &amp; APIF_Import!$M139), VLOOKUP( APIF_Import!$M139 &amp; APIF_Import!$E$1,Podesavanja!$AA$3:$AD$24, 4, 0), 0)), ".", ","))</f>
        <v>4323028</v>
      </c>
      <c r="F139" s="364" t="str">
        <f ca="1">IF( ISNA( VLOOKUP( APIF_Import!$M139 &amp; APIF_Import!$F$1,Podesavanja!$AA$3:$AD$24, 4, 0)), "", VLOOKUP( APIF_Import!$C139, INDIRECT( "Lookup_" &amp; APIF_Import!$M139), VLOOKUP( APIF_Import!$M139 &amp; APIF_Import!$F$1,Podesavanja!$AA$3:$AD$24, 4, 0), 0))</f>
        <v/>
      </c>
      <c r="G139" s="364" t="str">
        <f ca="1">IF( ISNA( VLOOKUP( APIF_Import!$M139 &amp; APIF_Import!$G$1,Podesavanja!$AA$3:$AD$24, 4, 0)), "", VLOOKUP( APIF_Import!$C139, INDIRECT( "Lookup_" &amp; APIF_Import!$M139), VLOOKUP( APIF_Import!$M139 &amp; APIF_Import!$G$1,Podesavanja!$AA$3:$AD$24, 4, 0), 0))</f>
        <v/>
      </c>
      <c r="H139" s="364" t="str">
        <f ca="1">IF( ISNA( VLOOKUP( APIF_Import!$M139 &amp; APIF_Import!$H$1,Podesavanja!$AA$3:$AD$24, 4, 0)), "", VLOOKUP( APIF_Import!$C139, INDIRECT( "Lookup_" &amp; APIF_Import!$M139), VLOOKUP( APIF_Import!$M139 &amp; APIF_Import!$H$1,Podesavanja!$AA$3:$AD$24, 4, 0), 0))</f>
        <v/>
      </c>
      <c r="I139" s="364" t="str">
        <f ca="1">IF( ISNA( VLOOKUP( APIF_Import!$M139 &amp; APIF_Import!$I$1,Podesavanja!$AA$3:$AD$24, 4, 0)), "", VLOOKUP( APIF_Import!$C139, INDIRECT( "Lookup_" &amp; APIF_Import!$M139), VLOOKUP( APIF_Import!$M139 &amp; APIF_Import!$I$1,Podesavanja!$AA$3:$AD$24, 4, 0), 0))</f>
        <v/>
      </c>
      <c r="J139" s="364" t="str">
        <f ca="1">IF( ISNA( VLOOKUP( APIF_Import!$M139 &amp; APIF_Import!$J$1,Podesavanja!$AA$3:$AD$24, 4, 0)), "", VLOOKUP( APIF_Import!$C139, INDIRECT( "Lookup_" &amp; APIF_Import!$M139), VLOOKUP( APIF_Import!$M139 &amp; APIF_Import!$J$1,Podesavanja!$AA$3:$AD$24, 4, 0), 0))</f>
        <v/>
      </c>
      <c r="K139" s="364" t="str">
        <f ca="1">IF( ISNA( VLOOKUP( APIF_Import!$M139 &amp; APIF_Import!$K$1,Podesavanja!$AA$3:$AD$24, 4, 0)), "", VLOOKUP( APIF_Import!$C139, INDIRECT( "Lookup_" &amp; APIF_Import!$M139), VLOOKUP( APIF_Import!$M139 &amp; APIF_Import!$K$1,Podesavanja!$AA$3:$AD$24, 4, 0), 0))</f>
        <v/>
      </c>
      <c r="L139" s="8">
        <v>141</v>
      </c>
      <c r="M139" s="8" t="s">
        <v>1497</v>
      </c>
    </row>
    <row r="140" spans="2:13" x14ac:dyDescent="0.2">
      <c r="B140" s="8">
        <f>VLOOKUP( APIF_Import!$M140, Podesavanja!$N$3:$Q$9, 4, 0)</f>
        <v>3</v>
      </c>
      <c r="C140" s="363">
        <f>VLOOKUP( APIF_Import!$L140, Aop!$A$2:$N$415, 4, 0)</f>
        <v>207</v>
      </c>
      <c r="D140" s="364" t="str">
        <f ca="1">IF( ISNA( VLOOKUP( APIF_Import!$M140 &amp; APIF_Import!$D$1,Podesavanja!$AA$3:$AD$24, 4, 0)), "", SUBSTITUTE( VALUE( VLOOKUP( APIF_Import!$C140, INDIRECT( "Lookup_" &amp; APIF_Import!$M140), VLOOKUP( APIF_Import!$M140 &amp; APIF_Import!$D$1,Podesavanja!$AA$3:$AD$24, 4, 0), 0)), ".", ","))</f>
        <v>2245016</v>
      </c>
      <c r="E140" s="364" t="str">
        <f ca="1">IF( ISNA( VLOOKUP( APIF_Import!$M140 &amp; APIF_Import!$E$1,Podesavanja!$AA$3:$AD$24, 4, 0)), "", SUBSTITUTE( VALUE( VLOOKUP( APIF_Import!$C140, INDIRECT( "Lookup_" &amp; APIF_Import!$M140), VLOOKUP( APIF_Import!$M140 &amp; APIF_Import!$E$1,Podesavanja!$AA$3:$AD$24, 4, 0), 0)), ".", ","))</f>
        <v>1681687</v>
      </c>
      <c r="F140" s="364" t="str">
        <f ca="1">IF( ISNA( VLOOKUP( APIF_Import!$M140 &amp; APIF_Import!$F$1,Podesavanja!$AA$3:$AD$24, 4, 0)), "", VLOOKUP( APIF_Import!$C140, INDIRECT( "Lookup_" &amp; APIF_Import!$M140), VLOOKUP( APIF_Import!$M140 &amp; APIF_Import!$F$1,Podesavanja!$AA$3:$AD$24, 4, 0), 0))</f>
        <v/>
      </c>
      <c r="G140" s="364" t="str">
        <f ca="1">IF( ISNA( VLOOKUP( APIF_Import!$M140 &amp; APIF_Import!$G$1,Podesavanja!$AA$3:$AD$24, 4, 0)), "", VLOOKUP( APIF_Import!$C140, INDIRECT( "Lookup_" &amp; APIF_Import!$M140), VLOOKUP( APIF_Import!$M140 &amp; APIF_Import!$G$1,Podesavanja!$AA$3:$AD$24, 4, 0), 0))</f>
        <v/>
      </c>
      <c r="H140" s="364" t="str">
        <f ca="1">IF( ISNA( VLOOKUP( APIF_Import!$M140 &amp; APIF_Import!$H$1,Podesavanja!$AA$3:$AD$24, 4, 0)), "", VLOOKUP( APIF_Import!$C140, INDIRECT( "Lookup_" &amp; APIF_Import!$M140), VLOOKUP( APIF_Import!$M140 &amp; APIF_Import!$H$1,Podesavanja!$AA$3:$AD$24, 4, 0), 0))</f>
        <v/>
      </c>
      <c r="I140" s="364" t="str">
        <f ca="1">IF( ISNA( VLOOKUP( APIF_Import!$M140 &amp; APIF_Import!$I$1,Podesavanja!$AA$3:$AD$24, 4, 0)), "", VLOOKUP( APIF_Import!$C140, INDIRECT( "Lookup_" &amp; APIF_Import!$M140), VLOOKUP( APIF_Import!$M140 &amp; APIF_Import!$I$1,Podesavanja!$AA$3:$AD$24, 4, 0), 0))</f>
        <v/>
      </c>
      <c r="J140" s="364" t="str">
        <f ca="1">IF( ISNA( VLOOKUP( APIF_Import!$M140 &amp; APIF_Import!$J$1,Podesavanja!$AA$3:$AD$24, 4, 0)), "", VLOOKUP( APIF_Import!$C140, INDIRECT( "Lookup_" &amp; APIF_Import!$M140), VLOOKUP( APIF_Import!$M140 &amp; APIF_Import!$J$1,Podesavanja!$AA$3:$AD$24, 4, 0), 0))</f>
        <v/>
      </c>
      <c r="K140" s="364" t="str">
        <f ca="1">IF( ISNA( VLOOKUP( APIF_Import!$M140 &amp; APIF_Import!$K$1,Podesavanja!$AA$3:$AD$24, 4, 0)), "", VLOOKUP( APIF_Import!$C140, INDIRECT( "Lookup_" &amp; APIF_Import!$M140), VLOOKUP( APIF_Import!$M140 &amp; APIF_Import!$K$1,Podesavanja!$AA$3:$AD$24, 4, 0), 0))</f>
        <v/>
      </c>
      <c r="L140" s="8">
        <v>142</v>
      </c>
      <c r="M140" s="8" t="s">
        <v>1497</v>
      </c>
    </row>
    <row r="141" spans="2:13" x14ac:dyDescent="0.2">
      <c r="B141" s="8">
        <f>VLOOKUP( APIF_Import!$M141, Podesavanja!$N$3:$Q$9, 4, 0)</f>
        <v>3</v>
      </c>
      <c r="C141" s="363">
        <f>VLOOKUP( APIF_Import!$L141, Aop!$A$2:$N$415, 4, 0)</f>
        <v>208</v>
      </c>
      <c r="D141" s="364" t="str">
        <f ca="1">IF( ISNA( VLOOKUP( APIF_Import!$M141 &amp; APIF_Import!$D$1,Podesavanja!$AA$3:$AD$24, 4, 0)), "", SUBSTITUTE( VALUE( VLOOKUP( APIF_Import!$C141, INDIRECT( "Lookup_" &amp; APIF_Import!$M141), VLOOKUP( APIF_Import!$M141 &amp; APIF_Import!$D$1,Podesavanja!$AA$3:$AD$24, 4, 0), 0)), ".", ","))</f>
        <v>274618</v>
      </c>
      <c r="E141" s="364" t="str">
        <f ca="1">IF( ISNA( VLOOKUP( APIF_Import!$M141 &amp; APIF_Import!$E$1,Podesavanja!$AA$3:$AD$24, 4, 0)), "", SUBSTITUTE( VALUE( VLOOKUP( APIF_Import!$C141, INDIRECT( "Lookup_" &amp; APIF_Import!$M141), VLOOKUP( APIF_Import!$M141 &amp; APIF_Import!$E$1,Podesavanja!$AA$3:$AD$24, 4, 0), 0)), ".", ","))</f>
        <v>217983</v>
      </c>
      <c r="F141" s="364" t="str">
        <f ca="1">IF( ISNA( VLOOKUP( APIF_Import!$M141 &amp; APIF_Import!$F$1,Podesavanja!$AA$3:$AD$24, 4, 0)), "", VLOOKUP( APIF_Import!$C141, INDIRECT( "Lookup_" &amp; APIF_Import!$M141), VLOOKUP( APIF_Import!$M141 &amp; APIF_Import!$F$1,Podesavanja!$AA$3:$AD$24, 4, 0), 0))</f>
        <v/>
      </c>
      <c r="G141" s="364" t="str">
        <f ca="1">IF( ISNA( VLOOKUP( APIF_Import!$M141 &amp; APIF_Import!$G$1,Podesavanja!$AA$3:$AD$24, 4, 0)), "", VLOOKUP( APIF_Import!$C141, INDIRECT( "Lookup_" &amp; APIF_Import!$M141), VLOOKUP( APIF_Import!$M141 &amp; APIF_Import!$G$1,Podesavanja!$AA$3:$AD$24, 4, 0), 0))</f>
        <v/>
      </c>
      <c r="H141" s="364" t="str">
        <f ca="1">IF( ISNA( VLOOKUP( APIF_Import!$M141 &amp; APIF_Import!$H$1,Podesavanja!$AA$3:$AD$24, 4, 0)), "", VLOOKUP( APIF_Import!$C141, INDIRECT( "Lookup_" &amp; APIF_Import!$M141), VLOOKUP( APIF_Import!$M141 &amp; APIF_Import!$H$1,Podesavanja!$AA$3:$AD$24, 4, 0), 0))</f>
        <v/>
      </c>
      <c r="I141" s="364" t="str">
        <f ca="1">IF( ISNA( VLOOKUP( APIF_Import!$M141 &amp; APIF_Import!$I$1,Podesavanja!$AA$3:$AD$24, 4, 0)), "", VLOOKUP( APIF_Import!$C141, INDIRECT( "Lookup_" &amp; APIF_Import!$M141), VLOOKUP( APIF_Import!$M141 &amp; APIF_Import!$I$1,Podesavanja!$AA$3:$AD$24, 4, 0), 0))</f>
        <v/>
      </c>
      <c r="J141" s="364" t="str">
        <f ca="1">IF( ISNA( VLOOKUP( APIF_Import!$M141 &amp; APIF_Import!$J$1,Podesavanja!$AA$3:$AD$24, 4, 0)), "", VLOOKUP( APIF_Import!$C141, INDIRECT( "Lookup_" &amp; APIF_Import!$M141), VLOOKUP( APIF_Import!$M141 &amp; APIF_Import!$J$1,Podesavanja!$AA$3:$AD$24, 4, 0), 0))</f>
        <v/>
      </c>
      <c r="K141" s="364" t="str">
        <f ca="1">IF( ISNA( VLOOKUP( APIF_Import!$M141 &amp; APIF_Import!$K$1,Podesavanja!$AA$3:$AD$24, 4, 0)), "", VLOOKUP( APIF_Import!$C141, INDIRECT( "Lookup_" &amp; APIF_Import!$M141), VLOOKUP( APIF_Import!$M141 &amp; APIF_Import!$K$1,Podesavanja!$AA$3:$AD$24, 4, 0), 0))</f>
        <v/>
      </c>
      <c r="L141" s="8">
        <v>143</v>
      </c>
      <c r="M141" s="8" t="s">
        <v>1497</v>
      </c>
    </row>
    <row r="142" spans="2:13" x14ac:dyDescent="0.2">
      <c r="B142" s="8">
        <f>VLOOKUP( APIF_Import!$M142, Podesavanja!$N$3:$Q$9, 4, 0)</f>
        <v>3</v>
      </c>
      <c r="C142" s="363">
        <f>VLOOKUP( APIF_Import!$L142, Aop!$A$2:$N$415, 4, 0)</f>
        <v>209</v>
      </c>
      <c r="D142" s="364" t="str">
        <f ca="1">IF( ISNA( VLOOKUP( APIF_Import!$M142 &amp; APIF_Import!$D$1,Podesavanja!$AA$3:$AD$24, 4, 0)), "", SUBSTITUTE( VALUE( VLOOKUP( APIF_Import!$C142, INDIRECT( "Lookup_" &amp; APIF_Import!$M142), VLOOKUP( APIF_Import!$M142 &amp; APIF_Import!$D$1,Podesavanja!$AA$3:$AD$24, 4, 0), 0)), ".", ","))</f>
        <v>5344046</v>
      </c>
      <c r="E142" s="364" t="str">
        <f ca="1">IF( ISNA( VLOOKUP( APIF_Import!$M142 &amp; APIF_Import!$E$1,Podesavanja!$AA$3:$AD$24, 4, 0)), "", SUBSTITUTE( VALUE( VLOOKUP( APIF_Import!$C142, INDIRECT( "Lookup_" &amp; APIF_Import!$M142), VLOOKUP( APIF_Import!$M142 &amp; APIF_Import!$E$1,Podesavanja!$AA$3:$AD$24, 4, 0), 0)), ".", ","))</f>
        <v>2423358</v>
      </c>
      <c r="F142" s="364" t="str">
        <f ca="1">IF( ISNA( VLOOKUP( APIF_Import!$M142 &amp; APIF_Import!$F$1,Podesavanja!$AA$3:$AD$24, 4, 0)), "", VLOOKUP( APIF_Import!$C142, INDIRECT( "Lookup_" &amp; APIF_Import!$M142), VLOOKUP( APIF_Import!$M142 &amp; APIF_Import!$F$1,Podesavanja!$AA$3:$AD$24, 4, 0), 0))</f>
        <v/>
      </c>
      <c r="G142" s="364" t="str">
        <f ca="1">IF( ISNA( VLOOKUP( APIF_Import!$M142 &amp; APIF_Import!$G$1,Podesavanja!$AA$3:$AD$24, 4, 0)), "", VLOOKUP( APIF_Import!$C142, INDIRECT( "Lookup_" &amp; APIF_Import!$M142), VLOOKUP( APIF_Import!$M142 &amp; APIF_Import!$G$1,Podesavanja!$AA$3:$AD$24, 4, 0), 0))</f>
        <v/>
      </c>
      <c r="H142" s="364" t="str">
        <f ca="1">IF( ISNA( VLOOKUP( APIF_Import!$M142 &amp; APIF_Import!$H$1,Podesavanja!$AA$3:$AD$24, 4, 0)), "", VLOOKUP( APIF_Import!$C142, INDIRECT( "Lookup_" &amp; APIF_Import!$M142), VLOOKUP( APIF_Import!$M142 &amp; APIF_Import!$H$1,Podesavanja!$AA$3:$AD$24, 4, 0), 0))</f>
        <v/>
      </c>
      <c r="I142" s="364" t="str">
        <f ca="1">IF( ISNA( VLOOKUP( APIF_Import!$M142 &amp; APIF_Import!$I$1,Podesavanja!$AA$3:$AD$24, 4, 0)), "", VLOOKUP( APIF_Import!$C142, INDIRECT( "Lookup_" &amp; APIF_Import!$M142), VLOOKUP( APIF_Import!$M142 &amp; APIF_Import!$I$1,Podesavanja!$AA$3:$AD$24, 4, 0), 0))</f>
        <v/>
      </c>
      <c r="J142" s="364" t="str">
        <f ca="1">IF( ISNA( VLOOKUP( APIF_Import!$M142 &amp; APIF_Import!$J$1,Podesavanja!$AA$3:$AD$24, 4, 0)), "", VLOOKUP( APIF_Import!$C142, INDIRECT( "Lookup_" &amp; APIF_Import!$M142), VLOOKUP( APIF_Import!$M142 &amp; APIF_Import!$J$1,Podesavanja!$AA$3:$AD$24, 4, 0), 0))</f>
        <v/>
      </c>
      <c r="K142" s="364" t="str">
        <f ca="1">IF( ISNA( VLOOKUP( APIF_Import!$M142 &amp; APIF_Import!$K$1,Podesavanja!$AA$3:$AD$24, 4, 0)), "", VLOOKUP( APIF_Import!$C142, INDIRECT( "Lookup_" &amp; APIF_Import!$M142), VLOOKUP( APIF_Import!$M142 &amp; APIF_Import!$K$1,Podesavanja!$AA$3:$AD$24, 4, 0), 0))</f>
        <v/>
      </c>
      <c r="L142" s="8">
        <v>144</v>
      </c>
      <c r="M142" s="8" t="s">
        <v>1497</v>
      </c>
    </row>
    <row r="143" spans="2:13" x14ac:dyDescent="0.2">
      <c r="B143" s="8">
        <f>VLOOKUP( APIF_Import!$M143, Podesavanja!$N$3:$Q$9, 4, 0)</f>
        <v>3</v>
      </c>
      <c r="C143" s="363">
        <f>VLOOKUP( APIF_Import!$L143, Aop!$A$2:$N$415, 4, 0)</f>
        <v>210</v>
      </c>
      <c r="D143" s="364" t="str">
        <f ca="1">IF( ISNA( VLOOKUP( APIF_Import!$M143 &amp; APIF_Import!$D$1,Podesavanja!$AA$3:$AD$24, 4, 0)), "", SUBSTITUTE( VALUE( VLOOKUP( APIF_Import!$C143, INDIRECT( "Lookup_" &amp; APIF_Import!$M143), VLOOKUP( APIF_Import!$M143 &amp; APIF_Import!$D$1,Podesavanja!$AA$3:$AD$24, 4, 0), 0)), ".", ","))</f>
        <v>0</v>
      </c>
      <c r="E143" s="364" t="str">
        <f ca="1">IF( ISNA( VLOOKUP( APIF_Import!$M143 &amp; APIF_Import!$E$1,Podesavanja!$AA$3:$AD$24, 4, 0)), "", SUBSTITUTE( VALUE( VLOOKUP( APIF_Import!$C143, INDIRECT( "Lookup_" &amp; APIF_Import!$M143), VLOOKUP( APIF_Import!$M143 &amp; APIF_Import!$E$1,Podesavanja!$AA$3:$AD$24, 4, 0), 0)), ".", ","))</f>
        <v>0</v>
      </c>
      <c r="F143" s="364" t="str">
        <f ca="1">IF( ISNA( VLOOKUP( APIF_Import!$M143 &amp; APIF_Import!$F$1,Podesavanja!$AA$3:$AD$24, 4, 0)), "", VLOOKUP( APIF_Import!$C143, INDIRECT( "Lookup_" &amp; APIF_Import!$M143), VLOOKUP( APIF_Import!$M143 &amp; APIF_Import!$F$1,Podesavanja!$AA$3:$AD$24, 4, 0), 0))</f>
        <v/>
      </c>
      <c r="G143" s="364" t="str">
        <f ca="1">IF( ISNA( VLOOKUP( APIF_Import!$M143 &amp; APIF_Import!$G$1,Podesavanja!$AA$3:$AD$24, 4, 0)), "", VLOOKUP( APIF_Import!$C143, INDIRECT( "Lookup_" &amp; APIF_Import!$M143), VLOOKUP( APIF_Import!$M143 &amp; APIF_Import!$G$1,Podesavanja!$AA$3:$AD$24, 4, 0), 0))</f>
        <v/>
      </c>
      <c r="H143" s="364" t="str">
        <f ca="1">IF( ISNA( VLOOKUP( APIF_Import!$M143 &amp; APIF_Import!$H$1,Podesavanja!$AA$3:$AD$24, 4, 0)), "", VLOOKUP( APIF_Import!$C143, INDIRECT( "Lookup_" &amp; APIF_Import!$M143), VLOOKUP( APIF_Import!$M143 &amp; APIF_Import!$H$1,Podesavanja!$AA$3:$AD$24, 4, 0), 0))</f>
        <v/>
      </c>
      <c r="I143" s="364" t="str">
        <f ca="1">IF( ISNA( VLOOKUP( APIF_Import!$M143 &amp; APIF_Import!$I$1,Podesavanja!$AA$3:$AD$24, 4, 0)), "", VLOOKUP( APIF_Import!$C143, INDIRECT( "Lookup_" &amp; APIF_Import!$M143), VLOOKUP( APIF_Import!$M143 &amp; APIF_Import!$I$1,Podesavanja!$AA$3:$AD$24, 4, 0), 0))</f>
        <v/>
      </c>
      <c r="J143" s="364" t="str">
        <f ca="1">IF( ISNA( VLOOKUP( APIF_Import!$M143 &amp; APIF_Import!$J$1,Podesavanja!$AA$3:$AD$24, 4, 0)), "", VLOOKUP( APIF_Import!$C143, INDIRECT( "Lookup_" &amp; APIF_Import!$M143), VLOOKUP( APIF_Import!$M143 &amp; APIF_Import!$J$1,Podesavanja!$AA$3:$AD$24, 4, 0), 0))</f>
        <v/>
      </c>
      <c r="K143" s="364" t="str">
        <f ca="1">IF( ISNA( VLOOKUP( APIF_Import!$M143 &amp; APIF_Import!$K$1,Podesavanja!$AA$3:$AD$24, 4, 0)), "", VLOOKUP( APIF_Import!$C143, INDIRECT( "Lookup_" &amp; APIF_Import!$M143), VLOOKUP( APIF_Import!$M143 &amp; APIF_Import!$K$1,Podesavanja!$AA$3:$AD$24, 4, 0), 0))</f>
        <v/>
      </c>
      <c r="L143" s="8">
        <v>145</v>
      </c>
      <c r="M143" s="8" t="s">
        <v>1497</v>
      </c>
    </row>
    <row r="144" spans="2:13" x14ac:dyDescent="0.2">
      <c r="B144" s="8">
        <f>VLOOKUP( APIF_Import!$M144, Podesavanja!$N$3:$Q$9, 4, 0)</f>
        <v>3</v>
      </c>
      <c r="C144" s="363">
        <f>VLOOKUP( APIF_Import!$L144, Aop!$A$2:$N$415, 4, 0)</f>
        <v>211</v>
      </c>
      <c r="D144" s="364" t="str">
        <f ca="1">IF( ISNA( VLOOKUP( APIF_Import!$M144 &amp; APIF_Import!$D$1,Podesavanja!$AA$3:$AD$24, 4, 0)), "", SUBSTITUTE( VALUE( VLOOKUP( APIF_Import!$C144, INDIRECT( "Lookup_" &amp; APIF_Import!$M144), VLOOKUP( APIF_Import!$M144 &amp; APIF_Import!$D$1,Podesavanja!$AA$3:$AD$24, 4, 0), 0)), ".", ","))</f>
        <v>34671</v>
      </c>
      <c r="E144" s="364" t="str">
        <f ca="1">IF( ISNA( VLOOKUP( APIF_Import!$M144 &amp; APIF_Import!$E$1,Podesavanja!$AA$3:$AD$24, 4, 0)), "", SUBSTITUTE( VALUE( VLOOKUP( APIF_Import!$C144, INDIRECT( "Lookup_" &amp; APIF_Import!$M144), VLOOKUP( APIF_Import!$M144 &amp; APIF_Import!$E$1,Podesavanja!$AA$3:$AD$24, 4, 0), 0)), ".", ","))</f>
        <v>38539</v>
      </c>
      <c r="F144" s="364" t="str">
        <f ca="1">IF( ISNA( VLOOKUP( APIF_Import!$M144 &amp; APIF_Import!$F$1,Podesavanja!$AA$3:$AD$24, 4, 0)), "", VLOOKUP( APIF_Import!$C144, INDIRECT( "Lookup_" &amp; APIF_Import!$M144), VLOOKUP( APIF_Import!$M144 &amp; APIF_Import!$F$1,Podesavanja!$AA$3:$AD$24, 4, 0), 0))</f>
        <v/>
      </c>
      <c r="G144" s="364" t="str">
        <f ca="1">IF( ISNA( VLOOKUP( APIF_Import!$M144 &amp; APIF_Import!$G$1,Podesavanja!$AA$3:$AD$24, 4, 0)), "", VLOOKUP( APIF_Import!$C144, INDIRECT( "Lookup_" &amp; APIF_Import!$M144), VLOOKUP( APIF_Import!$M144 &amp; APIF_Import!$G$1,Podesavanja!$AA$3:$AD$24, 4, 0), 0))</f>
        <v/>
      </c>
      <c r="H144" s="364" t="str">
        <f ca="1">IF( ISNA( VLOOKUP( APIF_Import!$M144 &amp; APIF_Import!$H$1,Podesavanja!$AA$3:$AD$24, 4, 0)), "", VLOOKUP( APIF_Import!$C144, INDIRECT( "Lookup_" &amp; APIF_Import!$M144), VLOOKUP( APIF_Import!$M144 &amp; APIF_Import!$H$1,Podesavanja!$AA$3:$AD$24, 4, 0), 0))</f>
        <v/>
      </c>
      <c r="I144" s="364" t="str">
        <f ca="1">IF( ISNA( VLOOKUP( APIF_Import!$M144 &amp; APIF_Import!$I$1,Podesavanja!$AA$3:$AD$24, 4, 0)), "", VLOOKUP( APIF_Import!$C144, INDIRECT( "Lookup_" &amp; APIF_Import!$M144), VLOOKUP( APIF_Import!$M144 &amp; APIF_Import!$I$1,Podesavanja!$AA$3:$AD$24, 4, 0), 0))</f>
        <v/>
      </c>
      <c r="J144" s="364" t="str">
        <f ca="1">IF( ISNA( VLOOKUP( APIF_Import!$M144 &amp; APIF_Import!$J$1,Podesavanja!$AA$3:$AD$24, 4, 0)), "", VLOOKUP( APIF_Import!$C144, INDIRECT( "Lookup_" &amp; APIF_Import!$M144), VLOOKUP( APIF_Import!$M144 &amp; APIF_Import!$J$1,Podesavanja!$AA$3:$AD$24, 4, 0), 0))</f>
        <v/>
      </c>
      <c r="K144" s="364" t="str">
        <f ca="1">IF( ISNA( VLOOKUP( APIF_Import!$M144 &amp; APIF_Import!$K$1,Podesavanja!$AA$3:$AD$24, 4, 0)), "", VLOOKUP( APIF_Import!$C144, INDIRECT( "Lookup_" &amp; APIF_Import!$M144), VLOOKUP( APIF_Import!$M144 &amp; APIF_Import!$K$1,Podesavanja!$AA$3:$AD$24, 4, 0), 0))</f>
        <v/>
      </c>
      <c r="L144" s="8">
        <v>146</v>
      </c>
      <c r="M144" s="8" t="s">
        <v>1497</v>
      </c>
    </row>
    <row r="145" spans="2:13" x14ac:dyDescent="0.2">
      <c r="B145" s="8">
        <f>VLOOKUP( APIF_Import!$M145, Podesavanja!$N$3:$Q$9, 4, 0)</f>
        <v>3</v>
      </c>
      <c r="C145" s="363">
        <f>VLOOKUP( APIF_Import!$L145, Aop!$A$2:$N$415, 4, 0)</f>
        <v>212</v>
      </c>
      <c r="D145" s="364" t="str">
        <f ca="1">IF( ISNA( VLOOKUP( APIF_Import!$M145 &amp; APIF_Import!$D$1,Podesavanja!$AA$3:$AD$24, 4, 0)), "", SUBSTITUTE( VALUE( VLOOKUP( APIF_Import!$C145, INDIRECT( "Lookup_" &amp; APIF_Import!$M145), VLOOKUP( APIF_Import!$M145 &amp; APIF_Import!$D$1,Podesavanja!$AA$3:$AD$24, 4, 0), 0)), ".", ","))</f>
        <v>62258</v>
      </c>
      <c r="E145" s="364" t="str">
        <f ca="1">IF( ISNA( VLOOKUP( APIF_Import!$M145 &amp; APIF_Import!$E$1,Podesavanja!$AA$3:$AD$24, 4, 0)), "", SUBSTITUTE( VALUE( VLOOKUP( APIF_Import!$C145, INDIRECT( "Lookup_" &amp; APIF_Import!$M145), VLOOKUP( APIF_Import!$M145 &amp; APIF_Import!$E$1,Podesavanja!$AA$3:$AD$24, 4, 0), 0)), ".", ","))</f>
        <v>25065</v>
      </c>
      <c r="F145" s="364" t="str">
        <f ca="1">IF( ISNA( VLOOKUP( APIF_Import!$M145 &amp; APIF_Import!$F$1,Podesavanja!$AA$3:$AD$24, 4, 0)), "", VLOOKUP( APIF_Import!$C145, INDIRECT( "Lookup_" &amp; APIF_Import!$M145), VLOOKUP( APIF_Import!$M145 &amp; APIF_Import!$F$1,Podesavanja!$AA$3:$AD$24, 4, 0), 0))</f>
        <v/>
      </c>
      <c r="G145" s="364" t="str">
        <f ca="1">IF( ISNA( VLOOKUP( APIF_Import!$M145 &amp; APIF_Import!$G$1,Podesavanja!$AA$3:$AD$24, 4, 0)), "", VLOOKUP( APIF_Import!$C145, INDIRECT( "Lookup_" &amp; APIF_Import!$M145), VLOOKUP( APIF_Import!$M145 &amp; APIF_Import!$G$1,Podesavanja!$AA$3:$AD$24, 4, 0), 0))</f>
        <v/>
      </c>
      <c r="H145" s="364" t="str">
        <f ca="1">IF( ISNA( VLOOKUP( APIF_Import!$M145 &amp; APIF_Import!$H$1,Podesavanja!$AA$3:$AD$24, 4, 0)), "", VLOOKUP( APIF_Import!$C145, INDIRECT( "Lookup_" &amp; APIF_Import!$M145), VLOOKUP( APIF_Import!$M145 &amp; APIF_Import!$H$1,Podesavanja!$AA$3:$AD$24, 4, 0), 0))</f>
        <v/>
      </c>
      <c r="I145" s="364" t="str">
        <f ca="1">IF( ISNA( VLOOKUP( APIF_Import!$M145 &amp; APIF_Import!$I$1,Podesavanja!$AA$3:$AD$24, 4, 0)), "", VLOOKUP( APIF_Import!$C145, INDIRECT( "Lookup_" &amp; APIF_Import!$M145), VLOOKUP( APIF_Import!$M145 &amp; APIF_Import!$I$1,Podesavanja!$AA$3:$AD$24, 4, 0), 0))</f>
        <v/>
      </c>
      <c r="J145" s="364" t="str">
        <f ca="1">IF( ISNA( VLOOKUP( APIF_Import!$M145 &amp; APIF_Import!$J$1,Podesavanja!$AA$3:$AD$24, 4, 0)), "", VLOOKUP( APIF_Import!$C145, INDIRECT( "Lookup_" &amp; APIF_Import!$M145), VLOOKUP( APIF_Import!$M145 &amp; APIF_Import!$J$1,Podesavanja!$AA$3:$AD$24, 4, 0), 0))</f>
        <v/>
      </c>
      <c r="K145" s="364" t="str">
        <f ca="1">IF( ISNA( VLOOKUP( APIF_Import!$M145 &amp; APIF_Import!$K$1,Podesavanja!$AA$3:$AD$24, 4, 0)), "", VLOOKUP( APIF_Import!$C145, INDIRECT( "Lookup_" &amp; APIF_Import!$M145), VLOOKUP( APIF_Import!$M145 &amp; APIF_Import!$K$1,Podesavanja!$AA$3:$AD$24, 4, 0), 0))</f>
        <v/>
      </c>
      <c r="L145" s="8">
        <v>147</v>
      </c>
      <c r="M145" s="8" t="s">
        <v>1497</v>
      </c>
    </row>
    <row r="146" spans="2:13" x14ac:dyDescent="0.2">
      <c r="B146" s="8">
        <f>VLOOKUP( APIF_Import!$M146, Podesavanja!$N$3:$Q$9, 4, 0)</f>
        <v>3</v>
      </c>
      <c r="C146" s="363">
        <f>VLOOKUP( APIF_Import!$L146, Aop!$A$2:$N$415, 4, 0)</f>
        <v>213</v>
      </c>
      <c r="D146" s="364" t="str">
        <f ca="1">IF( ISNA( VLOOKUP( APIF_Import!$M146 &amp; APIF_Import!$D$1,Podesavanja!$AA$3:$AD$24, 4, 0)), "", SUBSTITUTE( VALUE( VLOOKUP( APIF_Import!$C146, INDIRECT( "Lookup_" &amp; APIF_Import!$M146), VLOOKUP( APIF_Import!$M146 &amp; APIF_Import!$D$1,Podesavanja!$AA$3:$AD$24, 4, 0), 0)), ".", ","))</f>
        <v>0</v>
      </c>
      <c r="E146" s="364" t="str">
        <f ca="1">IF( ISNA( VLOOKUP( APIF_Import!$M146 &amp; APIF_Import!$E$1,Podesavanja!$AA$3:$AD$24, 4, 0)), "", SUBSTITUTE( VALUE( VLOOKUP( APIF_Import!$C146, INDIRECT( "Lookup_" &amp; APIF_Import!$M146), VLOOKUP( APIF_Import!$M146 &amp; APIF_Import!$E$1,Podesavanja!$AA$3:$AD$24, 4, 0), 0)), ".", ","))</f>
        <v>0</v>
      </c>
      <c r="F146" s="364" t="str">
        <f ca="1">IF( ISNA( VLOOKUP( APIF_Import!$M146 &amp; APIF_Import!$F$1,Podesavanja!$AA$3:$AD$24, 4, 0)), "", VLOOKUP( APIF_Import!$C146, INDIRECT( "Lookup_" &amp; APIF_Import!$M146), VLOOKUP( APIF_Import!$M146 &amp; APIF_Import!$F$1,Podesavanja!$AA$3:$AD$24, 4, 0), 0))</f>
        <v/>
      </c>
      <c r="G146" s="364" t="str">
        <f ca="1">IF( ISNA( VLOOKUP( APIF_Import!$M146 &amp; APIF_Import!$G$1,Podesavanja!$AA$3:$AD$24, 4, 0)), "", VLOOKUP( APIF_Import!$C146, INDIRECT( "Lookup_" &amp; APIF_Import!$M146), VLOOKUP( APIF_Import!$M146 &amp; APIF_Import!$G$1,Podesavanja!$AA$3:$AD$24, 4, 0), 0))</f>
        <v/>
      </c>
      <c r="H146" s="364" t="str">
        <f ca="1">IF( ISNA( VLOOKUP( APIF_Import!$M146 &amp; APIF_Import!$H$1,Podesavanja!$AA$3:$AD$24, 4, 0)), "", VLOOKUP( APIF_Import!$C146, INDIRECT( "Lookup_" &amp; APIF_Import!$M146), VLOOKUP( APIF_Import!$M146 &amp; APIF_Import!$H$1,Podesavanja!$AA$3:$AD$24, 4, 0), 0))</f>
        <v/>
      </c>
      <c r="I146" s="364" t="str">
        <f ca="1">IF( ISNA( VLOOKUP( APIF_Import!$M146 &amp; APIF_Import!$I$1,Podesavanja!$AA$3:$AD$24, 4, 0)), "", VLOOKUP( APIF_Import!$C146, INDIRECT( "Lookup_" &amp; APIF_Import!$M146), VLOOKUP( APIF_Import!$M146 &amp; APIF_Import!$I$1,Podesavanja!$AA$3:$AD$24, 4, 0), 0))</f>
        <v/>
      </c>
      <c r="J146" s="364" t="str">
        <f ca="1">IF( ISNA( VLOOKUP( APIF_Import!$M146 &amp; APIF_Import!$J$1,Podesavanja!$AA$3:$AD$24, 4, 0)), "", VLOOKUP( APIF_Import!$C146, INDIRECT( "Lookup_" &amp; APIF_Import!$M146), VLOOKUP( APIF_Import!$M146 &amp; APIF_Import!$J$1,Podesavanja!$AA$3:$AD$24, 4, 0), 0))</f>
        <v/>
      </c>
      <c r="K146" s="364" t="str">
        <f ca="1">IF( ISNA( VLOOKUP( APIF_Import!$M146 &amp; APIF_Import!$K$1,Podesavanja!$AA$3:$AD$24, 4, 0)), "", VLOOKUP( APIF_Import!$C146, INDIRECT( "Lookup_" &amp; APIF_Import!$M146), VLOOKUP( APIF_Import!$M146 &amp; APIF_Import!$K$1,Podesavanja!$AA$3:$AD$24, 4, 0), 0))</f>
        <v/>
      </c>
      <c r="L146" s="8">
        <v>148</v>
      </c>
      <c r="M146" s="8" t="s">
        <v>1497</v>
      </c>
    </row>
    <row r="147" spans="2:13" x14ac:dyDescent="0.2">
      <c r="B147" s="8">
        <f>VLOOKUP( APIF_Import!$M147, Podesavanja!$N$3:$Q$9, 4, 0)</f>
        <v>3</v>
      </c>
      <c r="C147" s="363">
        <f>VLOOKUP( APIF_Import!$L147, Aop!$A$2:$N$415, 4, 0)</f>
        <v>214</v>
      </c>
      <c r="D147" s="364" t="str">
        <f ca="1">IF( ISNA( VLOOKUP( APIF_Import!$M147 &amp; APIF_Import!$D$1,Podesavanja!$AA$3:$AD$24, 4, 0)), "", SUBSTITUTE( VALUE( VLOOKUP( APIF_Import!$C147, INDIRECT( "Lookup_" &amp; APIF_Import!$M147), VLOOKUP( APIF_Import!$M147 &amp; APIF_Import!$D$1,Podesavanja!$AA$3:$AD$24, 4, 0), 0)), ".", ","))</f>
        <v>0</v>
      </c>
      <c r="E147" s="364" t="str">
        <f ca="1">IF( ISNA( VLOOKUP( APIF_Import!$M147 &amp; APIF_Import!$E$1,Podesavanja!$AA$3:$AD$24, 4, 0)), "", SUBSTITUTE( VALUE( VLOOKUP( APIF_Import!$C147, INDIRECT( "Lookup_" &amp; APIF_Import!$M147), VLOOKUP( APIF_Import!$M147 &amp; APIF_Import!$E$1,Podesavanja!$AA$3:$AD$24, 4, 0), 0)), ".", ","))</f>
        <v>0</v>
      </c>
      <c r="F147" s="364" t="str">
        <f ca="1">IF( ISNA( VLOOKUP( APIF_Import!$M147 &amp; APIF_Import!$F$1,Podesavanja!$AA$3:$AD$24, 4, 0)), "", VLOOKUP( APIF_Import!$C147, INDIRECT( "Lookup_" &amp; APIF_Import!$M147), VLOOKUP( APIF_Import!$M147 &amp; APIF_Import!$F$1,Podesavanja!$AA$3:$AD$24, 4, 0), 0))</f>
        <v/>
      </c>
      <c r="G147" s="364" t="str">
        <f ca="1">IF( ISNA( VLOOKUP( APIF_Import!$M147 &amp; APIF_Import!$G$1,Podesavanja!$AA$3:$AD$24, 4, 0)), "", VLOOKUP( APIF_Import!$C147, INDIRECT( "Lookup_" &amp; APIF_Import!$M147), VLOOKUP( APIF_Import!$M147 &amp; APIF_Import!$G$1,Podesavanja!$AA$3:$AD$24, 4, 0), 0))</f>
        <v/>
      </c>
      <c r="H147" s="364" t="str">
        <f ca="1">IF( ISNA( VLOOKUP( APIF_Import!$M147 &amp; APIF_Import!$H$1,Podesavanja!$AA$3:$AD$24, 4, 0)), "", VLOOKUP( APIF_Import!$C147, INDIRECT( "Lookup_" &amp; APIF_Import!$M147), VLOOKUP( APIF_Import!$M147 &amp; APIF_Import!$H$1,Podesavanja!$AA$3:$AD$24, 4, 0), 0))</f>
        <v/>
      </c>
      <c r="I147" s="364" t="str">
        <f ca="1">IF( ISNA( VLOOKUP( APIF_Import!$M147 &amp; APIF_Import!$I$1,Podesavanja!$AA$3:$AD$24, 4, 0)), "", VLOOKUP( APIF_Import!$C147, INDIRECT( "Lookup_" &amp; APIF_Import!$M147), VLOOKUP( APIF_Import!$M147 &amp; APIF_Import!$I$1,Podesavanja!$AA$3:$AD$24, 4, 0), 0))</f>
        <v/>
      </c>
      <c r="J147" s="364" t="str">
        <f ca="1">IF( ISNA( VLOOKUP( APIF_Import!$M147 &amp; APIF_Import!$J$1,Podesavanja!$AA$3:$AD$24, 4, 0)), "", VLOOKUP( APIF_Import!$C147, INDIRECT( "Lookup_" &amp; APIF_Import!$M147), VLOOKUP( APIF_Import!$M147 &amp; APIF_Import!$J$1,Podesavanja!$AA$3:$AD$24, 4, 0), 0))</f>
        <v/>
      </c>
      <c r="K147" s="364" t="str">
        <f ca="1">IF( ISNA( VLOOKUP( APIF_Import!$M147 &amp; APIF_Import!$K$1,Podesavanja!$AA$3:$AD$24, 4, 0)), "", VLOOKUP( APIF_Import!$C147, INDIRECT( "Lookup_" &amp; APIF_Import!$M147), VLOOKUP( APIF_Import!$M147 &amp; APIF_Import!$K$1,Podesavanja!$AA$3:$AD$24, 4, 0), 0))</f>
        <v/>
      </c>
      <c r="L147" s="8">
        <v>149</v>
      </c>
      <c r="M147" s="8" t="s">
        <v>1497</v>
      </c>
    </row>
    <row r="148" spans="2:13" x14ac:dyDescent="0.2">
      <c r="B148" s="8">
        <f>VLOOKUP( APIF_Import!$M148, Podesavanja!$N$3:$Q$9, 4, 0)</f>
        <v>3</v>
      </c>
      <c r="C148" s="363">
        <f>VLOOKUP( APIF_Import!$L148, Aop!$A$2:$N$415, 4, 0)</f>
        <v>215</v>
      </c>
      <c r="D148" s="364" t="str">
        <f ca="1">IF( ISNA( VLOOKUP( APIF_Import!$M148 &amp; APIF_Import!$D$1,Podesavanja!$AA$3:$AD$24, 4, 0)), "", SUBSTITUTE( VALUE( VLOOKUP( APIF_Import!$C148, INDIRECT( "Lookup_" &amp; APIF_Import!$M148), VLOOKUP( APIF_Import!$M148 &amp; APIF_Import!$D$1,Podesavanja!$AA$3:$AD$24, 4, 0), 0)), ".", ","))</f>
        <v>121916</v>
      </c>
      <c r="E148" s="364" t="str">
        <f ca="1">IF( ISNA( VLOOKUP( APIF_Import!$M148 &amp; APIF_Import!$E$1,Podesavanja!$AA$3:$AD$24, 4, 0)), "", SUBSTITUTE( VALUE( VLOOKUP( APIF_Import!$C148, INDIRECT( "Lookup_" &amp; APIF_Import!$M148), VLOOKUP( APIF_Import!$M148 &amp; APIF_Import!$E$1,Podesavanja!$AA$3:$AD$24, 4, 0), 0)), ".", ","))</f>
        <v>166039</v>
      </c>
      <c r="F148" s="364" t="str">
        <f ca="1">IF( ISNA( VLOOKUP( APIF_Import!$M148 &amp; APIF_Import!$F$1,Podesavanja!$AA$3:$AD$24, 4, 0)), "", VLOOKUP( APIF_Import!$C148, INDIRECT( "Lookup_" &amp; APIF_Import!$M148), VLOOKUP( APIF_Import!$M148 &amp; APIF_Import!$F$1,Podesavanja!$AA$3:$AD$24, 4, 0), 0))</f>
        <v/>
      </c>
      <c r="G148" s="364" t="str">
        <f ca="1">IF( ISNA( VLOOKUP( APIF_Import!$M148 &amp; APIF_Import!$G$1,Podesavanja!$AA$3:$AD$24, 4, 0)), "", VLOOKUP( APIF_Import!$C148, INDIRECT( "Lookup_" &amp; APIF_Import!$M148), VLOOKUP( APIF_Import!$M148 &amp; APIF_Import!$G$1,Podesavanja!$AA$3:$AD$24, 4, 0), 0))</f>
        <v/>
      </c>
      <c r="H148" s="364" t="str">
        <f ca="1">IF( ISNA( VLOOKUP( APIF_Import!$M148 &amp; APIF_Import!$H$1,Podesavanja!$AA$3:$AD$24, 4, 0)), "", VLOOKUP( APIF_Import!$C148, INDIRECT( "Lookup_" &amp; APIF_Import!$M148), VLOOKUP( APIF_Import!$M148 &amp; APIF_Import!$H$1,Podesavanja!$AA$3:$AD$24, 4, 0), 0))</f>
        <v/>
      </c>
      <c r="I148" s="364" t="str">
        <f ca="1">IF( ISNA( VLOOKUP( APIF_Import!$M148 &amp; APIF_Import!$I$1,Podesavanja!$AA$3:$AD$24, 4, 0)), "", VLOOKUP( APIF_Import!$C148, INDIRECT( "Lookup_" &amp; APIF_Import!$M148), VLOOKUP( APIF_Import!$M148 &amp; APIF_Import!$I$1,Podesavanja!$AA$3:$AD$24, 4, 0), 0))</f>
        <v/>
      </c>
      <c r="J148" s="364" t="str">
        <f ca="1">IF( ISNA( VLOOKUP( APIF_Import!$M148 &amp; APIF_Import!$J$1,Podesavanja!$AA$3:$AD$24, 4, 0)), "", VLOOKUP( APIF_Import!$C148, INDIRECT( "Lookup_" &amp; APIF_Import!$M148), VLOOKUP( APIF_Import!$M148 &amp; APIF_Import!$J$1,Podesavanja!$AA$3:$AD$24, 4, 0), 0))</f>
        <v/>
      </c>
      <c r="K148" s="364" t="str">
        <f ca="1">IF( ISNA( VLOOKUP( APIF_Import!$M148 &amp; APIF_Import!$K$1,Podesavanja!$AA$3:$AD$24, 4, 0)), "", VLOOKUP( APIF_Import!$C148, INDIRECT( "Lookup_" &amp; APIF_Import!$M148), VLOOKUP( APIF_Import!$M148 &amp; APIF_Import!$K$1,Podesavanja!$AA$3:$AD$24, 4, 0), 0))</f>
        <v/>
      </c>
      <c r="L148" s="8">
        <v>150</v>
      </c>
      <c r="M148" s="8" t="s">
        <v>1497</v>
      </c>
    </row>
    <row r="149" spans="2:13" x14ac:dyDescent="0.2">
      <c r="B149" s="8">
        <f>VLOOKUP( APIF_Import!$M149, Podesavanja!$N$3:$Q$9, 4, 0)</f>
        <v>3</v>
      </c>
      <c r="C149" s="363">
        <f>VLOOKUP( APIF_Import!$L149, Aop!$A$2:$N$415, 4, 0)</f>
        <v>216</v>
      </c>
      <c r="D149" s="364" t="str">
        <f ca="1">IF( ISNA( VLOOKUP( APIF_Import!$M149 &amp; APIF_Import!$D$1,Podesavanja!$AA$3:$AD$24, 4, 0)), "", SUBSTITUTE( VALUE( VLOOKUP( APIF_Import!$C149, INDIRECT( "Lookup_" &amp; APIF_Import!$M149), VLOOKUP( APIF_Import!$M149 &amp; APIF_Import!$D$1,Podesavanja!$AA$3:$AD$24, 4, 0), 0)), ".", ","))</f>
        <v>17530682</v>
      </c>
      <c r="E149" s="364" t="str">
        <f ca="1">IF( ISNA( VLOOKUP( APIF_Import!$M149 &amp; APIF_Import!$E$1,Podesavanja!$AA$3:$AD$24, 4, 0)), "", SUBSTITUTE( VALUE( VLOOKUP( APIF_Import!$C149, INDIRECT( "Lookup_" &amp; APIF_Import!$M149), VLOOKUP( APIF_Import!$M149 &amp; APIF_Import!$E$1,Podesavanja!$AA$3:$AD$24, 4, 0), 0)), ".", ","))</f>
        <v>12775430</v>
      </c>
      <c r="F149" s="364" t="str">
        <f ca="1">IF( ISNA( VLOOKUP( APIF_Import!$M149 &amp; APIF_Import!$F$1,Podesavanja!$AA$3:$AD$24, 4, 0)), "", VLOOKUP( APIF_Import!$C149, INDIRECT( "Lookup_" &amp; APIF_Import!$M149), VLOOKUP( APIF_Import!$M149 &amp; APIF_Import!$F$1,Podesavanja!$AA$3:$AD$24, 4, 0), 0))</f>
        <v/>
      </c>
      <c r="G149" s="364" t="str">
        <f ca="1">IF( ISNA( VLOOKUP( APIF_Import!$M149 &amp; APIF_Import!$G$1,Podesavanja!$AA$3:$AD$24, 4, 0)), "", VLOOKUP( APIF_Import!$C149, INDIRECT( "Lookup_" &amp; APIF_Import!$M149), VLOOKUP( APIF_Import!$M149 &amp; APIF_Import!$G$1,Podesavanja!$AA$3:$AD$24, 4, 0), 0))</f>
        <v/>
      </c>
      <c r="H149" s="364" t="str">
        <f ca="1">IF( ISNA( VLOOKUP( APIF_Import!$M149 &amp; APIF_Import!$H$1,Podesavanja!$AA$3:$AD$24, 4, 0)), "", VLOOKUP( APIF_Import!$C149, INDIRECT( "Lookup_" &amp; APIF_Import!$M149), VLOOKUP( APIF_Import!$M149 &amp; APIF_Import!$H$1,Podesavanja!$AA$3:$AD$24, 4, 0), 0))</f>
        <v/>
      </c>
      <c r="I149" s="364" t="str">
        <f ca="1">IF( ISNA( VLOOKUP( APIF_Import!$M149 &amp; APIF_Import!$I$1,Podesavanja!$AA$3:$AD$24, 4, 0)), "", VLOOKUP( APIF_Import!$C149, INDIRECT( "Lookup_" &amp; APIF_Import!$M149), VLOOKUP( APIF_Import!$M149 &amp; APIF_Import!$I$1,Podesavanja!$AA$3:$AD$24, 4, 0), 0))</f>
        <v/>
      </c>
      <c r="J149" s="364" t="str">
        <f ca="1">IF( ISNA( VLOOKUP( APIF_Import!$M149 &amp; APIF_Import!$J$1,Podesavanja!$AA$3:$AD$24, 4, 0)), "", VLOOKUP( APIF_Import!$C149, INDIRECT( "Lookup_" &amp; APIF_Import!$M149), VLOOKUP( APIF_Import!$M149 &amp; APIF_Import!$J$1,Podesavanja!$AA$3:$AD$24, 4, 0), 0))</f>
        <v/>
      </c>
      <c r="K149" s="364" t="str">
        <f ca="1">IF( ISNA( VLOOKUP( APIF_Import!$M149 &amp; APIF_Import!$K$1,Podesavanja!$AA$3:$AD$24, 4, 0)), "", VLOOKUP( APIF_Import!$C149, INDIRECT( "Lookup_" &amp; APIF_Import!$M149), VLOOKUP( APIF_Import!$M149 &amp; APIF_Import!$K$1,Podesavanja!$AA$3:$AD$24, 4, 0), 0))</f>
        <v/>
      </c>
      <c r="L149" s="8">
        <v>151</v>
      </c>
      <c r="M149" s="8" t="s">
        <v>1497</v>
      </c>
    </row>
    <row r="150" spans="2:13" x14ac:dyDescent="0.2">
      <c r="B150" s="8">
        <f>VLOOKUP( APIF_Import!$M150, Podesavanja!$N$3:$Q$9, 4, 0)</f>
        <v>3</v>
      </c>
      <c r="C150" s="363">
        <f>VLOOKUP( APIF_Import!$L150, Aop!$A$2:$N$415, 4, 0)</f>
        <v>217</v>
      </c>
      <c r="D150" s="364" t="str">
        <f ca="1">IF( ISNA( VLOOKUP( APIF_Import!$M150 &amp; APIF_Import!$D$1,Podesavanja!$AA$3:$AD$24, 4, 0)), "", SUBSTITUTE( VALUE( VLOOKUP( APIF_Import!$C150, INDIRECT( "Lookup_" &amp; APIF_Import!$M150), VLOOKUP( APIF_Import!$M150 &amp; APIF_Import!$D$1,Podesavanja!$AA$3:$AD$24, 4, 0), 0)), ".", ","))</f>
        <v>7162580</v>
      </c>
      <c r="E150" s="364" t="str">
        <f ca="1">IF( ISNA( VLOOKUP( APIF_Import!$M150 &amp; APIF_Import!$E$1,Podesavanja!$AA$3:$AD$24, 4, 0)), "", SUBSTITUTE( VALUE( VLOOKUP( APIF_Import!$C150, INDIRECT( "Lookup_" &amp; APIF_Import!$M150), VLOOKUP( APIF_Import!$M150 &amp; APIF_Import!$E$1,Podesavanja!$AA$3:$AD$24, 4, 0), 0)), ".", ","))</f>
        <v>6268215</v>
      </c>
      <c r="F150" s="364" t="str">
        <f ca="1">IF( ISNA( VLOOKUP( APIF_Import!$M150 &amp; APIF_Import!$F$1,Podesavanja!$AA$3:$AD$24, 4, 0)), "", VLOOKUP( APIF_Import!$C150, INDIRECT( "Lookup_" &amp; APIF_Import!$M150), VLOOKUP( APIF_Import!$M150 &amp; APIF_Import!$F$1,Podesavanja!$AA$3:$AD$24, 4, 0), 0))</f>
        <v/>
      </c>
      <c r="G150" s="364" t="str">
        <f ca="1">IF( ISNA( VLOOKUP( APIF_Import!$M150 &amp; APIF_Import!$G$1,Podesavanja!$AA$3:$AD$24, 4, 0)), "", VLOOKUP( APIF_Import!$C150, INDIRECT( "Lookup_" &amp; APIF_Import!$M150), VLOOKUP( APIF_Import!$M150 &amp; APIF_Import!$G$1,Podesavanja!$AA$3:$AD$24, 4, 0), 0))</f>
        <v/>
      </c>
      <c r="H150" s="364" t="str">
        <f ca="1">IF( ISNA( VLOOKUP( APIF_Import!$M150 &amp; APIF_Import!$H$1,Podesavanja!$AA$3:$AD$24, 4, 0)), "", VLOOKUP( APIF_Import!$C150, INDIRECT( "Lookup_" &amp; APIF_Import!$M150), VLOOKUP( APIF_Import!$M150 &amp; APIF_Import!$H$1,Podesavanja!$AA$3:$AD$24, 4, 0), 0))</f>
        <v/>
      </c>
      <c r="I150" s="364" t="str">
        <f ca="1">IF( ISNA( VLOOKUP( APIF_Import!$M150 &amp; APIF_Import!$I$1,Podesavanja!$AA$3:$AD$24, 4, 0)), "", VLOOKUP( APIF_Import!$C150, INDIRECT( "Lookup_" &amp; APIF_Import!$M150), VLOOKUP( APIF_Import!$M150 &amp; APIF_Import!$I$1,Podesavanja!$AA$3:$AD$24, 4, 0), 0))</f>
        <v/>
      </c>
      <c r="J150" s="364" t="str">
        <f ca="1">IF( ISNA( VLOOKUP( APIF_Import!$M150 &amp; APIF_Import!$J$1,Podesavanja!$AA$3:$AD$24, 4, 0)), "", VLOOKUP( APIF_Import!$C150, INDIRECT( "Lookup_" &amp; APIF_Import!$M150), VLOOKUP( APIF_Import!$M150 &amp; APIF_Import!$J$1,Podesavanja!$AA$3:$AD$24, 4, 0), 0))</f>
        <v/>
      </c>
      <c r="K150" s="364" t="str">
        <f ca="1">IF( ISNA( VLOOKUP( APIF_Import!$M150 &amp; APIF_Import!$K$1,Podesavanja!$AA$3:$AD$24, 4, 0)), "", VLOOKUP( APIF_Import!$C150, INDIRECT( "Lookup_" &amp; APIF_Import!$M150), VLOOKUP( APIF_Import!$M150 &amp; APIF_Import!$K$1,Podesavanja!$AA$3:$AD$24, 4, 0), 0))</f>
        <v/>
      </c>
      <c r="L150" s="8">
        <v>152</v>
      </c>
      <c r="M150" s="8" t="s">
        <v>1497</v>
      </c>
    </row>
    <row r="151" spans="2:13" x14ac:dyDescent="0.2">
      <c r="B151" s="8">
        <f>VLOOKUP( APIF_Import!$M151, Podesavanja!$N$3:$Q$9, 4, 0)</f>
        <v>3</v>
      </c>
      <c r="C151" s="363">
        <f>VLOOKUP( APIF_Import!$L151, Aop!$A$2:$N$415, 4, 0)</f>
        <v>218</v>
      </c>
      <c r="D151" s="364" t="str">
        <f ca="1">IF( ISNA( VLOOKUP( APIF_Import!$M151 &amp; APIF_Import!$D$1,Podesavanja!$AA$3:$AD$24, 4, 0)), "", SUBSTITUTE( VALUE( VLOOKUP( APIF_Import!$C151, INDIRECT( "Lookup_" &amp; APIF_Import!$M151), VLOOKUP( APIF_Import!$M151 &amp; APIF_Import!$D$1,Podesavanja!$AA$3:$AD$24, 4, 0), 0)), ".", ","))</f>
        <v>8099058</v>
      </c>
      <c r="E151" s="364" t="str">
        <f ca="1">IF( ISNA( VLOOKUP( APIF_Import!$M151 &amp; APIF_Import!$E$1,Podesavanja!$AA$3:$AD$24, 4, 0)), "", SUBSTITUTE( VALUE( VLOOKUP( APIF_Import!$C151, INDIRECT( "Lookup_" &amp; APIF_Import!$M151), VLOOKUP( APIF_Import!$M151 &amp; APIF_Import!$E$1,Podesavanja!$AA$3:$AD$24, 4, 0), 0)), ".", ","))</f>
        <v>4521671</v>
      </c>
      <c r="F151" s="364" t="str">
        <f ca="1">IF( ISNA( VLOOKUP( APIF_Import!$M151 &amp; APIF_Import!$F$1,Podesavanja!$AA$3:$AD$24, 4, 0)), "", VLOOKUP( APIF_Import!$C151, INDIRECT( "Lookup_" &amp; APIF_Import!$M151), VLOOKUP( APIF_Import!$M151 &amp; APIF_Import!$F$1,Podesavanja!$AA$3:$AD$24, 4, 0), 0))</f>
        <v/>
      </c>
      <c r="G151" s="364" t="str">
        <f ca="1">IF( ISNA( VLOOKUP( APIF_Import!$M151 &amp; APIF_Import!$G$1,Podesavanja!$AA$3:$AD$24, 4, 0)), "", VLOOKUP( APIF_Import!$C151, INDIRECT( "Lookup_" &amp; APIF_Import!$M151), VLOOKUP( APIF_Import!$M151 &amp; APIF_Import!$G$1,Podesavanja!$AA$3:$AD$24, 4, 0), 0))</f>
        <v/>
      </c>
      <c r="H151" s="364" t="str">
        <f ca="1">IF( ISNA( VLOOKUP( APIF_Import!$M151 &amp; APIF_Import!$H$1,Podesavanja!$AA$3:$AD$24, 4, 0)), "", VLOOKUP( APIF_Import!$C151, INDIRECT( "Lookup_" &amp; APIF_Import!$M151), VLOOKUP( APIF_Import!$M151 &amp; APIF_Import!$H$1,Podesavanja!$AA$3:$AD$24, 4, 0), 0))</f>
        <v/>
      </c>
      <c r="I151" s="364" t="str">
        <f ca="1">IF( ISNA( VLOOKUP( APIF_Import!$M151 &amp; APIF_Import!$I$1,Podesavanja!$AA$3:$AD$24, 4, 0)), "", VLOOKUP( APIF_Import!$C151, INDIRECT( "Lookup_" &amp; APIF_Import!$M151), VLOOKUP( APIF_Import!$M151 &amp; APIF_Import!$I$1,Podesavanja!$AA$3:$AD$24, 4, 0), 0))</f>
        <v/>
      </c>
      <c r="J151" s="364" t="str">
        <f ca="1">IF( ISNA( VLOOKUP( APIF_Import!$M151 &amp; APIF_Import!$J$1,Podesavanja!$AA$3:$AD$24, 4, 0)), "", VLOOKUP( APIF_Import!$C151, INDIRECT( "Lookup_" &amp; APIF_Import!$M151), VLOOKUP( APIF_Import!$M151 &amp; APIF_Import!$J$1,Podesavanja!$AA$3:$AD$24, 4, 0), 0))</f>
        <v/>
      </c>
      <c r="K151" s="364" t="str">
        <f ca="1">IF( ISNA( VLOOKUP( APIF_Import!$M151 &amp; APIF_Import!$K$1,Podesavanja!$AA$3:$AD$24, 4, 0)), "", VLOOKUP( APIF_Import!$C151, INDIRECT( "Lookup_" &amp; APIF_Import!$M151), VLOOKUP( APIF_Import!$M151 &amp; APIF_Import!$K$1,Podesavanja!$AA$3:$AD$24, 4, 0), 0))</f>
        <v/>
      </c>
      <c r="L151" s="8">
        <v>153</v>
      </c>
      <c r="M151" s="8" t="s">
        <v>1497</v>
      </c>
    </row>
    <row r="152" spans="2:13" x14ac:dyDescent="0.2">
      <c r="B152" s="8">
        <f>VLOOKUP( APIF_Import!$M152, Podesavanja!$N$3:$Q$9, 4, 0)</f>
        <v>3</v>
      </c>
      <c r="C152" s="363">
        <f>VLOOKUP( APIF_Import!$L152, Aop!$A$2:$N$415, 4, 0)</f>
        <v>219</v>
      </c>
      <c r="D152" s="364" t="str">
        <f ca="1">IF( ISNA( VLOOKUP( APIF_Import!$M152 &amp; APIF_Import!$D$1,Podesavanja!$AA$3:$AD$24, 4, 0)), "", SUBSTITUTE( VALUE( VLOOKUP( APIF_Import!$C152, INDIRECT( "Lookup_" &amp; APIF_Import!$M152), VLOOKUP( APIF_Import!$M152 &amp; APIF_Import!$D$1,Podesavanja!$AA$3:$AD$24, 4, 0), 0)), ".", ","))</f>
        <v>1370879</v>
      </c>
      <c r="E152" s="364" t="str">
        <f ca="1">IF( ISNA( VLOOKUP( APIF_Import!$M152 &amp; APIF_Import!$E$1,Podesavanja!$AA$3:$AD$24, 4, 0)), "", SUBSTITUTE( VALUE( VLOOKUP( APIF_Import!$C152, INDIRECT( "Lookup_" &amp; APIF_Import!$M152), VLOOKUP( APIF_Import!$M152 &amp; APIF_Import!$E$1,Podesavanja!$AA$3:$AD$24, 4, 0), 0)), ".", ","))</f>
        <v>1168194</v>
      </c>
      <c r="F152" s="364" t="str">
        <f ca="1">IF( ISNA( VLOOKUP( APIF_Import!$M152 &amp; APIF_Import!$F$1,Podesavanja!$AA$3:$AD$24, 4, 0)), "", VLOOKUP( APIF_Import!$C152, INDIRECT( "Lookup_" &amp; APIF_Import!$M152), VLOOKUP( APIF_Import!$M152 &amp; APIF_Import!$F$1,Podesavanja!$AA$3:$AD$24, 4, 0), 0))</f>
        <v/>
      </c>
      <c r="G152" s="364" t="str">
        <f ca="1">IF( ISNA( VLOOKUP( APIF_Import!$M152 &amp; APIF_Import!$G$1,Podesavanja!$AA$3:$AD$24, 4, 0)), "", VLOOKUP( APIF_Import!$C152, INDIRECT( "Lookup_" &amp; APIF_Import!$M152), VLOOKUP( APIF_Import!$M152 &amp; APIF_Import!$G$1,Podesavanja!$AA$3:$AD$24, 4, 0), 0))</f>
        <v/>
      </c>
      <c r="H152" s="364" t="str">
        <f ca="1">IF( ISNA( VLOOKUP( APIF_Import!$M152 &amp; APIF_Import!$H$1,Podesavanja!$AA$3:$AD$24, 4, 0)), "", VLOOKUP( APIF_Import!$C152, INDIRECT( "Lookup_" &amp; APIF_Import!$M152), VLOOKUP( APIF_Import!$M152 &amp; APIF_Import!$H$1,Podesavanja!$AA$3:$AD$24, 4, 0), 0))</f>
        <v/>
      </c>
      <c r="I152" s="364" t="str">
        <f ca="1">IF( ISNA( VLOOKUP( APIF_Import!$M152 &amp; APIF_Import!$I$1,Podesavanja!$AA$3:$AD$24, 4, 0)), "", VLOOKUP( APIF_Import!$C152, INDIRECT( "Lookup_" &amp; APIF_Import!$M152), VLOOKUP( APIF_Import!$M152 &amp; APIF_Import!$I$1,Podesavanja!$AA$3:$AD$24, 4, 0), 0))</f>
        <v/>
      </c>
      <c r="J152" s="364" t="str">
        <f ca="1">IF( ISNA( VLOOKUP( APIF_Import!$M152 &amp; APIF_Import!$J$1,Podesavanja!$AA$3:$AD$24, 4, 0)), "", VLOOKUP( APIF_Import!$C152, INDIRECT( "Lookup_" &amp; APIF_Import!$M152), VLOOKUP( APIF_Import!$M152 &amp; APIF_Import!$J$1,Podesavanja!$AA$3:$AD$24, 4, 0), 0))</f>
        <v/>
      </c>
      <c r="K152" s="364" t="str">
        <f ca="1">IF( ISNA( VLOOKUP( APIF_Import!$M152 &amp; APIF_Import!$K$1,Podesavanja!$AA$3:$AD$24, 4, 0)), "", VLOOKUP( APIF_Import!$C152, INDIRECT( "Lookup_" &amp; APIF_Import!$M152), VLOOKUP( APIF_Import!$M152 &amp; APIF_Import!$K$1,Podesavanja!$AA$3:$AD$24, 4, 0), 0))</f>
        <v/>
      </c>
      <c r="L152" s="8">
        <v>154</v>
      </c>
      <c r="M152" s="8" t="s">
        <v>1497</v>
      </c>
    </row>
    <row r="153" spans="2:13" x14ac:dyDescent="0.2">
      <c r="B153" s="8">
        <f>VLOOKUP( APIF_Import!$M153, Podesavanja!$N$3:$Q$9, 4, 0)</f>
        <v>3</v>
      </c>
      <c r="C153" s="363">
        <f>VLOOKUP( APIF_Import!$L153, Aop!$A$2:$N$415, 4, 0)</f>
        <v>220</v>
      </c>
      <c r="D153" s="364" t="str">
        <f ca="1">IF( ISNA( VLOOKUP( APIF_Import!$M153 &amp; APIF_Import!$D$1,Podesavanja!$AA$3:$AD$24, 4, 0)), "", SUBSTITUTE( VALUE( VLOOKUP( APIF_Import!$C153, INDIRECT( "Lookup_" &amp; APIF_Import!$M153), VLOOKUP( APIF_Import!$M153 &amp; APIF_Import!$D$1,Podesavanja!$AA$3:$AD$24, 4, 0), 0)), ".", ","))</f>
        <v>1097643</v>
      </c>
      <c r="E153" s="364" t="str">
        <f ca="1">IF( ISNA( VLOOKUP( APIF_Import!$M153 &amp; APIF_Import!$E$1,Podesavanja!$AA$3:$AD$24, 4, 0)), "", SUBSTITUTE( VALUE( VLOOKUP( APIF_Import!$C153, INDIRECT( "Lookup_" &amp; APIF_Import!$M153), VLOOKUP( APIF_Import!$M153 &amp; APIF_Import!$E$1,Podesavanja!$AA$3:$AD$24, 4, 0), 0)), ".", ","))</f>
        <v>970148</v>
      </c>
      <c r="F153" s="364" t="str">
        <f ca="1">IF( ISNA( VLOOKUP( APIF_Import!$M153 &amp; APIF_Import!$F$1,Podesavanja!$AA$3:$AD$24, 4, 0)), "", VLOOKUP( APIF_Import!$C153, INDIRECT( "Lookup_" &amp; APIF_Import!$M153), VLOOKUP( APIF_Import!$M153 &amp; APIF_Import!$F$1,Podesavanja!$AA$3:$AD$24, 4, 0), 0))</f>
        <v/>
      </c>
      <c r="G153" s="364" t="str">
        <f ca="1">IF( ISNA( VLOOKUP( APIF_Import!$M153 &amp; APIF_Import!$G$1,Podesavanja!$AA$3:$AD$24, 4, 0)), "", VLOOKUP( APIF_Import!$C153, INDIRECT( "Lookup_" &amp; APIF_Import!$M153), VLOOKUP( APIF_Import!$M153 &amp; APIF_Import!$G$1,Podesavanja!$AA$3:$AD$24, 4, 0), 0))</f>
        <v/>
      </c>
      <c r="H153" s="364" t="str">
        <f ca="1">IF( ISNA( VLOOKUP( APIF_Import!$M153 &amp; APIF_Import!$H$1,Podesavanja!$AA$3:$AD$24, 4, 0)), "", VLOOKUP( APIF_Import!$C153, INDIRECT( "Lookup_" &amp; APIF_Import!$M153), VLOOKUP( APIF_Import!$M153 &amp; APIF_Import!$H$1,Podesavanja!$AA$3:$AD$24, 4, 0), 0))</f>
        <v/>
      </c>
      <c r="I153" s="364" t="str">
        <f ca="1">IF( ISNA( VLOOKUP( APIF_Import!$M153 &amp; APIF_Import!$I$1,Podesavanja!$AA$3:$AD$24, 4, 0)), "", VLOOKUP( APIF_Import!$C153, INDIRECT( "Lookup_" &amp; APIF_Import!$M153), VLOOKUP( APIF_Import!$M153 &amp; APIF_Import!$I$1,Podesavanja!$AA$3:$AD$24, 4, 0), 0))</f>
        <v/>
      </c>
      <c r="J153" s="364" t="str">
        <f ca="1">IF( ISNA( VLOOKUP( APIF_Import!$M153 &amp; APIF_Import!$J$1,Podesavanja!$AA$3:$AD$24, 4, 0)), "", VLOOKUP( APIF_Import!$C153, INDIRECT( "Lookup_" &amp; APIF_Import!$M153), VLOOKUP( APIF_Import!$M153 &amp; APIF_Import!$J$1,Podesavanja!$AA$3:$AD$24, 4, 0), 0))</f>
        <v/>
      </c>
      <c r="K153" s="364" t="str">
        <f ca="1">IF( ISNA( VLOOKUP( APIF_Import!$M153 &amp; APIF_Import!$K$1,Podesavanja!$AA$3:$AD$24, 4, 0)), "", VLOOKUP( APIF_Import!$C153, INDIRECT( "Lookup_" &amp; APIF_Import!$M153), VLOOKUP( APIF_Import!$M153 &amp; APIF_Import!$K$1,Podesavanja!$AA$3:$AD$24, 4, 0), 0))</f>
        <v/>
      </c>
      <c r="L153" s="8">
        <v>155</v>
      </c>
      <c r="M153" s="8" t="s">
        <v>1497</v>
      </c>
    </row>
    <row r="154" spans="2:13" x14ac:dyDescent="0.2">
      <c r="B154" s="8">
        <f>VLOOKUP( APIF_Import!$M154, Podesavanja!$N$3:$Q$9, 4, 0)</f>
        <v>3</v>
      </c>
      <c r="C154" s="363">
        <f>VLOOKUP( APIF_Import!$L154, Aop!$A$2:$N$415, 4, 0)</f>
        <v>221</v>
      </c>
      <c r="D154" s="364" t="str">
        <f ca="1">IF( ISNA( VLOOKUP( APIF_Import!$M154 &amp; APIF_Import!$D$1,Podesavanja!$AA$3:$AD$24, 4, 0)), "", SUBSTITUTE( VALUE( VLOOKUP( APIF_Import!$C154, INDIRECT( "Lookup_" &amp; APIF_Import!$M154), VLOOKUP( APIF_Import!$M154 &amp; APIF_Import!$D$1,Podesavanja!$AA$3:$AD$24, 4, 0), 0)), ".", ","))</f>
        <v>273236</v>
      </c>
      <c r="E154" s="364" t="str">
        <f ca="1">IF( ISNA( VLOOKUP( APIF_Import!$M154 &amp; APIF_Import!$E$1,Podesavanja!$AA$3:$AD$24, 4, 0)), "", SUBSTITUTE( VALUE( VLOOKUP( APIF_Import!$C154, INDIRECT( "Lookup_" &amp; APIF_Import!$M154), VLOOKUP( APIF_Import!$M154 &amp; APIF_Import!$E$1,Podesavanja!$AA$3:$AD$24, 4, 0), 0)), ".", ","))</f>
        <v>198046</v>
      </c>
      <c r="F154" s="364" t="str">
        <f ca="1">IF( ISNA( VLOOKUP( APIF_Import!$M154 &amp; APIF_Import!$F$1,Podesavanja!$AA$3:$AD$24, 4, 0)), "", VLOOKUP( APIF_Import!$C154, INDIRECT( "Lookup_" &amp; APIF_Import!$M154), VLOOKUP( APIF_Import!$M154 &amp; APIF_Import!$F$1,Podesavanja!$AA$3:$AD$24, 4, 0), 0))</f>
        <v/>
      </c>
      <c r="G154" s="364" t="str">
        <f ca="1">IF( ISNA( VLOOKUP( APIF_Import!$M154 &amp; APIF_Import!$G$1,Podesavanja!$AA$3:$AD$24, 4, 0)), "", VLOOKUP( APIF_Import!$C154, INDIRECT( "Lookup_" &amp; APIF_Import!$M154), VLOOKUP( APIF_Import!$M154 &amp; APIF_Import!$G$1,Podesavanja!$AA$3:$AD$24, 4, 0), 0))</f>
        <v/>
      </c>
      <c r="H154" s="364" t="str">
        <f ca="1">IF( ISNA( VLOOKUP( APIF_Import!$M154 &amp; APIF_Import!$H$1,Podesavanja!$AA$3:$AD$24, 4, 0)), "", VLOOKUP( APIF_Import!$C154, INDIRECT( "Lookup_" &amp; APIF_Import!$M154), VLOOKUP( APIF_Import!$M154 &amp; APIF_Import!$H$1,Podesavanja!$AA$3:$AD$24, 4, 0), 0))</f>
        <v/>
      </c>
      <c r="I154" s="364" t="str">
        <f ca="1">IF( ISNA( VLOOKUP( APIF_Import!$M154 &amp; APIF_Import!$I$1,Podesavanja!$AA$3:$AD$24, 4, 0)), "", VLOOKUP( APIF_Import!$C154, INDIRECT( "Lookup_" &amp; APIF_Import!$M154), VLOOKUP( APIF_Import!$M154 &amp; APIF_Import!$I$1,Podesavanja!$AA$3:$AD$24, 4, 0), 0))</f>
        <v/>
      </c>
      <c r="J154" s="364" t="str">
        <f ca="1">IF( ISNA( VLOOKUP( APIF_Import!$M154 &amp; APIF_Import!$J$1,Podesavanja!$AA$3:$AD$24, 4, 0)), "", VLOOKUP( APIF_Import!$C154, INDIRECT( "Lookup_" &amp; APIF_Import!$M154), VLOOKUP( APIF_Import!$M154 &amp; APIF_Import!$J$1,Podesavanja!$AA$3:$AD$24, 4, 0), 0))</f>
        <v/>
      </c>
      <c r="K154" s="364" t="str">
        <f ca="1">IF( ISNA( VLOOKUP( APIF_Import!$M154 &amp; APIF_Import!$K$1,Podesavanja!$AA$3:$AD$24, 4, 0)), "", VLOOKUP( APIF_Import!$C154, INDIRECT( "Lookup_" &amp; APIF_Import!$M154), VLOOKUP( APIF_Import!$M154 &amp; APIF_Import!$K$1,Podesavanja!$AA$3:$AD$24, 4, 0), 0))</f>
        <v/>
      </c>
      <c r="L154" s="8">
        <v>156</v>
      </c>
      <c r="M154" s="8" t="s">
        <v>1497</v>
      </c>
    </row>
    <row r="155" spans="2:13" x14ac:dyDescent="0.2">
      <c r="B155" s="8">
        <f>VLOOKUP( APIF_Import!$M155, Podesavanja!$N$3:$Q$9, 4, 0)</f>
        <v>3</v>
      </c>
      <c r="C155" s="363">
        <f>VLOOKUP( APIF_Import!$L155, Aop!$A$2:$N$415, 4, 0)</f>
        <v>222</v>
      </c>
      <c r="D155" s="364" t="str">
        <f ca="1">IF( ISNA( VLOOKUP( APIF_Import!$M155 &amp; APIF_Import!$D$1,Podesavanja!$AA$3:$AD$24, 4, 0)), "", SUBSTITUTE( VALUE( VLOOKUP( APIF_Import!$C155, INDIRECT( "Lookup_" &amp; APIF_Import!$M155), VLOOKUP( APIF_Import!$M155 &amp; APIF_Import!$D$1,Podesavanja!$AA$3:$AD$24, 4, 0), 0)), ".", ","))</f>
        <v>392323</v>
      </c>
      <c r="E155" s="364" t="str">
        <f ca="1">IF( ISNA( VLOOKUP( APIF_Import!$M155 &amp; APIF_Import!$E$1,Podesavanja!$AA$3:$AD$24, 4, 0)), "", SUBSTITUTE( VALUE( VLOOKUP( APIF_Import!$C155, INDIRECT( "Lookup_" &amp; APIF_Import!$M155), VLOOKUP( APIF_Import!$M155 &amp; APIF_Import!$E$1,Podesavanja!$AA$3:$AD$24, 4, 0), 0)), ".", ","))</f>
        <v>340467</v>
      </c>
      <c r="F155" s="364" t="str">
        <f ca="1">IF( ISNA( VLOOKUP( APIF_Import!$M155 &amp; APIF_Import!$F$1,Podesavanja!$AA$3:$AD$24, 4, 0)), "", VLOOKUP( APIF_Import!$C155, INDIRECT( "Lookup_" &amp; APIF_Import!$M155), VLOOKUP( APIF_Import!$M155 &amp; APIF_Import!$F$1,Podesavanja!$AA$3:$AD$24, 4, 0), 0))</f>
        <v/>
      </c>
      <c r="G155" s="364" t="str">
        <f ca="1">IF( ISNA( VLOOKUP( APIF_Import!$M155 &amp; APIF_Import!$G$1,Podesavanja!$AA$3:$AD$24, 4, 0)), "", VLOOKUP( APIF_Import!$C155, INDIRECT( "Lookup_" &amp; APIF_Import!$M155), VLOOKUP( APIF_Import!$M155 &amp; APIF_Import!$G$1,Podesavanja!$AA$3:$AD$24, 4, 0), 0))</f>
        <v/>
      </c>
      <c r="H155" s="364" t="str">
        <f ca="1">IF( ISNA( VLOOKUP( APIF_Import!$M155 &amp; APIF_Import!$H$1,Podesavanja!$AA$3:$AD$24, 4, 0)), "", VLOOKUP( APIF_Import!$C155, INDIRECT( "Lookup_" &amp; APIF_Import!$M155), VLOOKUP( APIF_Import!$M155 &amp; APIF_Import!$H$1,Podesavanja!$AA$3:$AD$24, 4, 0), 0))</f>
        <v/>
      </c>
      <c r="I155" s="364" t="str">
        <f ca="1">IF( ISNA( VLOOKUP( APIF_Import!$M155 &amp; APIF_Import!$I$1,Podesavanja!$AA$3:$AD$24, 4, 0)), "", VLOOKUP( APIF_Import!$C155, INDIRECT( "Lookup_" &amp; APIF_Import!$M155), VLOOKUP( APIF_Import!$M155 &amp; APIF_Import!$I$1,Podesavanja!$AA$3:$AD$24, 4, 0), 0))</f>
        <v/>
      </c>
      <c r="J155" s="364" t="str">
        <f ca="1">IF( ISNA( VLOOKUP( APIF_Import!$M155 &amp; APIF_Import!$J$1,Podesavanja!$AA$3:$AD$24, 4, 0)), "", VLOOKUP( APIF_Import!$C155, INDIRECT( "Lookup_" &amp; APIF_Import!$M155), VLOOKUP( APIF_Import!$M155 &amp; APIF_Import!$J$1,Podesavanja!$AA$3:$AD$24, 4, 0), 0))</f>
        <v/>
      </c>
      <c r="K155" s="364" t="str">
        <f ca="1">IF( ISNA( VLOOKUP( APIF_Import!$M155 &amp; APIF_Import!$K$1,Podesavanja!$AA$3:$AD$24, 4, 0)), "", VLOOKUP( APIF_Import!$C155, INDIRECT( "Lookup_" &amp; APIF_Import!$M155), VLOOKUP( APIF_Import!$M155 &amp; APIF_Import!$K$1,Podesavanja!$AA$3:$AD$24, 4, 0), 0))</f>
        <v/>
      </c>
      <c r="L155" s="8">
        <v>157</v>
      </c>
      <c r="M155" s="8" t="s">
        <v>1497</v>
      </c>
    </row>
    <row r="156" spans="2:13" x14ac:dyDescent="0.2">
      <c r="B156" s="8">
        <f>VLOOKUP( APIF_Import!$M156, Podesavanja!$N$3:$Q$9, 4, 0)</f>
        <v>3</v>
      </c>
      <c r="C156" s="363">
        <f>VLOOKUP( APIF_Import!$L156, Aop!$A$2:$N$415, 4, 0)</f>
        <v>223</v>
      </c>
      <c r="D156" s="364" t="str">
        <f ca="1">IF( ISNA( VLOOKUP( APIF_Import!$M156 &amp; APIF_Import!$D$1,Podesavanja!$AA$3:$AD$24, 4, 0)), "", SUBSTITUTE( VALUE( VLOOKUP( APIF_Import!$C156, INDIRECT( "Lookup_" &amp; APIF_Import!$M156), VLOOKUP( APIF_Import!$M156 &amp; APIF_Import!$D$1,Podesavanja!$AA$3:$AD$24, 4, 0), 0)), ".", ","))</f>
        <v>304222</v>
      </c>
      <c r="E156" s="364" t="str">
        <f ca="1">IF( ISNA( VLOOKUP( APIF_Import!$M156 &amp; APIF_Import!$E$1,Podesavanja!$AA$3:$AD$24, 4, 0)), "", SUBSTITUTE( VALUE( VLOOKUP( APIF_Import!$C156, INDIRECT( "Lookup_" &amp; APIF_Import!$M156), VLOOKUP( APIF_Import!$M156 &amp; APIF_Import!$E$1,Podesavanja!$AA$3:$AD$24, 4, 0), 0)), ".", ","))</f>
        <v>290461</v>
      </c>
      <c r="F156" s="364" t="str">
        <f ca="1">IF( ISNA( VLOOKUP( APIF_Import!$M156 &amp; APIF_Import!$F$1,Podesavanja!$AA$3:$AD$24, 4, 0)), "", VLOOKUP( APIF_Import!$C156, INDIRECT( "Lookup_" &amp; APIF_Import!$M156), VLOOKUP( APIF_Import!$M156 &amp; APIF_Import!$F$1,Podesavanja!$AA$3:$AD$24, 4, 0), 0))</f>
        <v/>
      </c>
      <c r="G156" s="364" t="str">
        <f ca="1">IF( ISNA( VLOOKUP( APIF_Import!$M156 &amp; APIF_Import!$G$1,Podesavanja!$AA$3:$AD$24, 4, 0)), "", VLOOKUP( APIF_Import!$C156, INDIRECT( "Lookup_" &amp; APIF_Import!$M156), VLOOKUP( APIF_Import!$M156 &amp; APIF_Import!$G$1,Podesavanja!$AA$3:$AD$24, 4, 0), 0))</f>
        <v/>
      </c>
      <c r="H156" s="364" t="str">
        <f ca="1">IF( ISNA( VLOOKUP( APIF_Import!$M156 &amp; APIF_Import!$H$1,Podesavanja!$AA$3:$AD$24, 4, 0)), "", VLOOKUP( APIF_Import!$C156, INDIRECT( "Lookup_" &amp; APIF_Import!$M156), VLOOKUP( APIF_Import!$M156 &amp; APIF_Import!$H$1,Podesavanja!$AA$3:$AD$24, 4, 0), 0))</f>
        <v/>
      </c>
      <c r="I156" s="364" t="str">
        <f ca="1">IF( ISNA( VLOOKUP( APIF_Import!$M156 &amp; APIF_Import!$I$1,Podesavanja!$AA$3:$AD$24, 4, 0)), "", VLOOKUP( APIF_Import!$C156, INDIRECT( "Lookup_" &amp; APIF_Import!$M156), VLOOKUP( APIF_Import!$M156 &amp; APIF_Import!$I$1,Podesavanja!$AA$3:$AD$24, 4, 0), 0))</f>
        <v/>
      </c>
      <c r="J156" s="364" t="str">
        <f ca="1">IF( ISNA( VLOOKUP( APIF_Import!$M156 &amp; APIF_Import!$J$1,Podesavanja!$AA$3:$AD$24, 4, 0)), "", VLOOKUP( APIF_Import!$C156, INDIRECT( "Lookup_" &amp; APIF_Import!$M156), VLOOKUP( APIF_Import!$M156 &amp; APIF_Import!$J$1,Podesavanja!$AA$3:$AD$24, 4, 0), 0))</f>
        <v/>
      </c>
      <c r="K156" s="364" t="str">
        <f ca="1">IF( ISNA( VLOOKUP( APIF_Import!$M156 &amp; APIF_Import!$K$1,Podesavanja!$AA$3:$AD$24, 4, 0)), "", VLOOKUP( APIF_Import!$C156, INDIRECT( "Lookup_" &amp; APIF_Import!$M156), VLOOKUP( APIF_Import!$M156 &amp; APIF_Import!$K$1,Podesavanja!$AA$3:$AD$24, 4, 0), 0))</f>
        <v/>
      </c>
      <c r="L156" s="8">
        <v>158</v>
      </c>
      <c r="M156" s="8" t="s">
        <v>1497</v>
      </c>
    </row>
    <row r="157" spans="2:13" x14ac:dyDescent="0.2">
      <c r="B157" s="8">
        <f>VLOOKUP( APIF_Import!$M157, Podesavanja!$N$3:$Q$9, 4, 0)</f>
        <v>3</v>
      </c>
      <c r="C157" s="363">
        <f>VLOOKUP( APIF_Import!$L157, Aop!$A$2:$N$415, 4, 0)</f>
        <v>224</v>
      </c>
      <c r="D157" s="364" t="str">
        <f ca="1">IF( ISNA( VLOOKUP( APIF_Import!$M157 &amp; APIF_Import!$D$1,Podesavanja!$AA$3:$AD$24, 4, 0)), "", SUBSTITUTE( VALUE( VLOOKUP( APIF_Import!$C157, INDIRECT( "Lookup_" &amp; APIF_Import!$M157), VLOOKUP( APIF_Import!$M157 &amp; APIF_Import!$D$1,Podesavanja!$AA$3:$AD$24, 4, 0), 0)), ".", ","))</f>
        <v>304222</v>
      </c>
      <c r="E157" s="364" t="str">
        <f ca="1">IF( ISNA( VLOOKUP( APIF_Import!$M157 &amp; APIF_Import!$E$1,Podesavanja!$AA$3:$AD$24, 4, 0)), "", SUBSTITUTE( VALUE( VLOOKUP( APIF_Import!$C157, INDIRECT( "Lookup_" &amp; APIF_Import!$M157), VLOOKUP( APIF_Import!$M157 &amp; APIF_Import!$E$1,Podesavanja!$AA$3:$AD$24, 4, 0), 0)), ".", ","))</f>
        <v>290461</v>
      </c>
      <c r="F157" s="364" t="str">
        <f ca="1">IF( ISNA( VLOOKUP( APIF_Import!$M157 &amp; APIF_Import!$F$1,Podesavanja!$AA$3:$AD$24, 4, 0)), "", VLOOKUP( APIF_Import!$C157, INDIRECT( "Lookup_" &amp; APIF_Import!$M157), VLOOKUP( APIF_Import!$M157 &amp; APIF_Import!$F$1,Podesavanja!$AA$3:$AD$24, 4, 0), 0))</f>
        <v/>
      </c>
      <c r="G157" s="364" t="str">
        <f ca="1">IF( ISNA( VLOOKUP( APIF_Import!$M157 &amp; APIF_Import!$G$1,Podesavanja!$AA$3:$AD$24, 4, 0)), "", VLOOKUP( APIF_Import!$C157, INDIRECT( "Lookup_" &amp; APIF_Import!$M157), VLOOKUP( APIF_Import!$M157 &amp; APIF_Import!$G$1,Podesavanja!$AA$3:$AD$24, 4, 0), 0))</f>
        <v/>
      </c>
      <c r="H157" s="364" t="str">
        <f ca="1">IF( ISNA( VLOOKUP( APIF_Import!$M157 &amp; APIF_Import!$H$1,Podesavanja!$AA$3:$AD$24, 4, 0)), "", VLOOKUP( APIF_Import!$C157, INDIRECT( "Lookup_" &amp; APIF_Import!$M157), VLOOKUP( APIF_Import!$M157 &amp; APIF_Import!$H$1,Podesavanja!$AA$3:$AD$24, 4, 0), 0))</f>
        <v/>
      </c>
      <c r="I157" s="364" t="str">
        <f ca="1">IF( ISNA( VLOOKUP( APIF_Import!$M157 &amp; APIF_Import!$I$1,Podesavanja!$AA$3:$AD$24, 4, 0)), "", VLOOKUP( APIF_Import!$C157, INDIRECT( "Lookup_" &amp; APIF_Import!$M157), VLOOKUP( APIF_Import!$M157 &amp; APIF_Import!$I$1,Podesavanja!$AA$3:$AD$24, 4, 0), 0))</f>
        <v/>
      </c>
      <c r="J157" s="364" t="str">
        <f ca="1">IF( ISNA( VLOOKUP( APIF_Import!$M157 &amp; APIF_Import!$J$1,Podesavanja!$AA$3:$AD$24, 4, 0)), "", VLOOKUP( APIF_Import!$C157, INDIRECT( "Lookup_" &amp; APIF_Import!$M157), VLOOKUP( APIF_Import!$M157 &amp; APIF_Import!$J$1,Podesavanja!$AA$3:$AD$24, 4, 0), 0))</f>
        <v/>
      </c>
      <c r="K157" s="364" t="str">
        <f ca="1">IF( ISNA( VLOOKUP( APIF_Import!$M157 &amp; APIF_Import!$K$1,Podesavanja!$AA$3:$AD$24, 4, 0)), "", VLOOKUP( APIF_Import!$C157, INDIRECT( "Lookup_" &amp; APIF_Import!$M157), VLOOKUP( APIF_Import!$M157 &amp; APIF_Import!$K$1,Podesavanja!$AA$3:$AD$24, 4, 0), 0))</f>
        <v/>
      </c>
      <c r="L157" s="8">
        <v>159</v>
      </c>
      <c r="M157" s="8" t="s">
        <v>1497</v>
      </c>
    </row>
    <row r="158" spans="2:13" x14ac:dyDescent="0.2">
      <c r="B158" s="8">
        <f>VLOOKUP( APIF_Import!$M158, Podesavanja!$N$3:$Q$9, 4, 0)</f>
        <v>3</v>
      </c>
      <c r="C158" s="363">
        <f>VLOOKUP( APIF_Import!$L158, Aop!$A$2:$N$415, 4, 0)</f>
        <v>225</v>
      </c>
      <c r="D158" s="364" t="str">
        <f ca="1">IF( ISNA( VLOOKUP( APIF_Import!$M158 &amp; APIF_Import!$D$1,Podesavanja!$AA$3:$AD$24, 4, 0)), "", SUBSTITUTE( VALUE( VLOOKUP( APIF_Import!$C158, INDIRECT( "Lookup_" &amp; APIF_Import!$M158), VLOOKUP( APIF_Import!$M158 &amp; APIF_Import!$D$1,Podesavanja!$AA$3:$AD$24, 4, 0), 0)), ".", ","))</f>
        <v>0</v>
      </c>
      <c r="E158" s="364" t="str">
        <f ca="1">IF( ISNA( VLOOKUP( APIF_Import!$M158 &amp; APIF_Import!$E$1,Podesavanja!$AA$3:$AD$24, 4, 0)), "", SUBSTITUTE( VALUE( VLOOKUP( APIF_Import!$C158, INDIRECT( "Lookup_" &amp; APIF_Import!$M158), VLOOKUP( APIF_Import!$M158 &amp; APIF_Import!$E$1,Podesavanja!$AA$3:$AD$24, 4, 0), 0)), ".", ","))</f>
        <v>0</v>
      </c>
      <c r="F158" s="364" t="str">
        <f ca="1">IF( ISNA( VLOOKUP( APIF_Import!$M158 &amp; APIF_Import!$F$1,Podesavanja!$AA$3:$AD$24, 4, 0)), "", VLOOKUP( APIF_Import!$C158, INDIRECT( "Lookup_" &amp; APIF_Import!$M158), VLOOKUP( APIF_Import!$M158 &amp; APIF_Import!$F$1,Podesavanja!$AA$3:$AD$24, 4, 0), 0))</f>
        <v/>
      </c>
      <c r="G158" s="364" t="str">
        <f ca="1">IF( ISNA( VLOOKUP( APIF_Import!$M158 &amp; APIF_Import!$G$1,Podesavanja!$AA$3:$AD$24, 4, 0)), "", VLOOKUP( APIF_Import!$C158, INDIRECT( "Lookup_" &amp; APIF_Import!$M158), VLOOKUP( APIF_Import!$M158 &amp; APIF_Import!$G$1,Podesavanja!$AA$3:$AD$24, 4, 0), 0))</f>
        <v/>
      </c>
      <c r="H158" s="364" t="str">
        <f ca="1">IF( ISNA( VLOOKUP( APIF_Import!$M158 &amp; APIF_Import!$H$1,Podesavanja!$AA$3:$AD$24, 4, 0)), "", VLOOKUP( APIF_Import!$C158, INDIRECT( "Lookup_" &amp; APIF_Import!$M158), VLOOKUP( APIF_Import!$M158 &amp; APIF_Import!$H$1,Podesavanja!$AA$3:$AD$24, 4, 0), 0))</f>
        <v/>
      </c>
      <c r="I158" s="364" t="str">
        <f ca="1">IF( ISNA( VLOOKUP( APIF_Import!$M158 &amp; APIF_Import!$I$1,Podesavanja!$AA$3:$AD$24, 4, 0)), "", VLOOKUP( APIF_Import!$C158, INDIRECT( "Lookup_" &amp; APIF_Import!$M158), VLOOKUP( APIF_Import!$M158 &amp; APIF_Import!$I$1,Podesavanja!$AA$3:$AD$24, 4, 0), 0))</f>
        <v/>
      </c>
      <c r="J158" s="364" t="str">
        <f ca="1">IF( ISNA( VLOOKUP( APIF_Import!$M158 &amp; APIF_Import!$J$1,Podesavanja!$AA$3:$AD$24, 4, 0)), "", VLOOKUP( APIF_Import!$C158, INDIRECT( "Lookup_" &amp; APIF_Import!$M158), VLOOKUP( APIF_Import!$M158 &amp; APIF_Import!$J$1,Podesavanja!$AA$3:$AD$24, 4, 0), 0))</f>
        <v/>
      </c>
      <c r="K158" s="364" t="str">
        <f ca="1">IF( ISNA( VLOOKUP( APIF_Import!$M158 &amp; APIF_Import!$K$1,Podesavanja!$AA$3:$AD$24, 4, 0)), "", VLOOKUP( APIF_Import!$C158, INDIRECT( "Lookup_" &amp; APIF_Import!$M158), VLOOKUP( APIF_Import!$M158 &amp; APIF_Import!$K$1,Podesavanja!$AA$3:$AD$24, 4, 0), 0))</f>
        <v/>
      </c>
      <c r="L158" s="8">
        <v>160</v>
      </c>
      <c r="M158" s="8" t="s">
        <v>1497</v>
      </c>
    </row>
    <row r="159" spans="2:13" x14ac:dyDescent="0.2">
      <c r="B159" s="8">
        <f>VLOOKUP( APIF_Import!$M159, Podesavanja!$N$3:$Q$9, 4, 0)</f>
        <v>3</v>
      </c>
      <c r="C159" s="363">
        <f>VLOOKUP( APIF_Import!$L159, Aop!$A$2:$N$415, 4, 0)</f>
        <v>226</v>
      </c>
      <c r="D159" s="364" t="str">
        <f ca="1">IF( ISNA( VLOOKUP( APIF_Import!$M159 &amp; APIF_Import!$D$1,Podesavanja!$AA$3:$AD$24, 4, 0)), "", SUBSTITUTE( VALUE( VLOOKUP( APIF_Import!$C159, INDIRECT( "Lookup_" &amp; APIF_Import!$M159), VLOOKUP( APIF_Import!$M159 &amp; APIF_Import!$D$1,Podesavanja!$AA$3:$AD$24, 4, 0), 0)), ".", ","))</f>
        <v>176815</v>
      </c>
      <c r="E159" s="364" t="str">
        <f ca="1">IF( ISNA( VLOOKUP( APIF_Import!$M159 &amp; APIF_Import!$E$1,Podesavanja!$AA$3:$AD$24, 4, 0)), "", SUBSTITUTE( VALUE( VLOOKUP( APIF_Import!$C159, INDIRECT( "Lookup_" &amp; APIF_Import!$M159), VLOOKUP( APIF_Import!$M159 &amp; APIF_Import!$E$1,Podesavanja!$AA$3:$AD$24, 4, 0), 0)), ".", ","))</f>
        <v>164269</v>
      </c>
      <c r="F159" s="364" t="str">
        <f ca="1">IF( ISNA( VLOOKUP( APIF_Import!$M159 &amp; APIF_Import!$F$1,Podesavanja!$AA$3:$AD$24, 4, 0)), "", VLOOKUP( APIF_Import!$C159, INDIRECT( "Lookup_" &amp; APIF_Import!$M159), VLOOKUP( APIF_Import!$M159 &amp; APIF_Import!$F$1,Podesavanja!$AA$3:$AD$24, 4, 0), 0))</f>
        <v/>
      </c>
      <c r="G159" s="364" t="str">
        <f ca="1">IF( ISNA( VLOOKUP( APIF_Import!$M159 &amp; APIF_Import!$G$1,Podesavanja!$AA$3:$AD$24, 4, 0)), "", VLOOKUP( APIF_Import!$C159, INDIRECT( "Lookup_" &amp; APIF_Import!$M159), VLOOKUP( APIF_Import!$M159 &amp; APIF_Import!$G$1,Podesavanja!$AA$3:$AD$24, 4, 0), 0))</f>
        <v/>
      </c>
      <c r="H159" s="364" t="str">
        <f ca="1">IF( ISNA( VLOOKUP( APIF_Import!$M159 &amp; APIF_Import!$H$1,Podesavanja!$AA$3:$AD$24, 4, 0)), "", VLOOKUP( APIF_Import!$C159, INDIRECT( "Lookup_" &amp; APIF_Import!$M159), VLOOKUP( APIF_Import!$M159 &amp; APIF_Import!$H$1,Podesavanja!$AA$3:$AD$24, 4, 0), 0))</f>
        <v/>
      </c>
      <c r="I159" s="364" t="str">
        <f ca="1">IF( ISNA( VLOOKUP( APIF_Import!$M159 &amp; APIF_Import!$I$1,Podesavanja!$AA$3:$AD$24, 4, 0)), "", VLOOKUP( APIF_Import!$C159, INDIRECT( "Lookup_" &amp; APIF_Import!$M159), VLOOKUP( APIF_Import!$M159 &amp; APIF_Import!$I$1,Podesavanja!$AA$3:$AD$24, 4, 0), 0))</f>
        <v/>
      </c>
      <c r="J159" s="364" t="str">
        <f ca="1">IF( ISNA( VLOOKUP( APIF_Import!$M159 &amp; APIF_Import!$J$1,Podesavanja!$AA$3:$AD$24, 4, 0)), "", VLOOKUP( APIF_Import!$C159, INDIRECT( "Lookup_" &amp; APIF_Import!$M159), VLOOKUP( APIF_Import!$M159 &amp; APIF_Import!$J$1,Podesavanja!$AA$3:$AD$24, 4, 0), 0))</f>
        <v/>
      </c>
      <c r="K159" s="364" t="str">
        <f ca="1">IF( ISNA( VLOOKUP( APIF_Import!$M159 &amp; APIF_Import!$K$1,Podesavanja!$AA$3:$AD$24, 4, 0)), "", VLOOKUP( APIF_Import!$C159, INDIRECT( "Lookup_" &amp; APIF_Import!$M159), VLOOKUP( APIF_Import!$M159 &amp; APIF_Import!$K$1,Podesavanja!$AA$3:$AD$24, 4, 0), 0))</f>
        <v/>
      </c>
      <c r="L159" s="8">
        <v>161</v>
      </c>
      <c r="M159" s="8" t="s">
        <v>1497</v>
      </c>
    </row>
    <row r="160" spans="2:13" x14ac:dyDescent="0.2">
      <c r="B160" s="8">
        <f>VLOOKUP( APIF_Import!$M160, Podesavanja!$N$3:$Q$9, 4, 0)</f>
        <v>3</v>
      </c>
      <c r="C160" s="363">
        <f>VLOOKUP( APIF_Import!$L160, Aop!$A$2:$N$415, 4, 0)</f>
        <v>227</v>
      </c>
      <c r="D160" s="364" t="str">
        <f ca="1">IF( ISNA( VLOOKUP( APIF_Import!$M160 &amp; APIF_Import!$D$1,Podesavanja!$AA$3:$AD$24, 4, 0)), "", SUBSTITUTE( VALUE( VLOOKUP( APIF_Import!$C160, INDIRECT( "Lookup_" &amp; APIF_Import!$M160), VLOOKUP( APIF_Import!$M160 &amp; APIF_Import!$D$1,Podesavanja!$AA$3:$AD$24, 4, 0), 0)), ".", ","))</f>
        <v>23711</v>
      </c>
      <c r="E160" s="364" t="str">
        <f ca="1">IF( ISNA( VLOOKUP( APIF_Import!$M160 &amp; APIF_Import!$E$1,Podesavanja!$AA$3:$AD$24, 4, 0)), "", SUBSTITUTE( VALUE( VLOOKUP( APIF_Import!$C160, INDIRECT( "Lookup_" &amp; APIF_Import!$M160), VLOOKUP( APIF_Import!$M160 &amp; APIF_Import!$E$1,Podesavanja!$AA$3:$AD$24, 4, 0), 0)), ".", ","))</f>
        <v>21176</v>
      </c>
      <c r="F160" s="364" t="str">
        <f ca="1">IF( ISNA( VLOOKUP( APIF_Import!$M160 &amp; APIF_Import!$F$1,Podesavanja!$AA$3:$AD$24, 4, 0)), "", VLOOKUP( APIF_Import!$C160, INDIRECT( "Lookup_" &amp; APIF_Import!$M160), VLOOKUP( APIF_Import!$M160 &amp; APIF_Import!$F$1,Podesavanja!$AA$3:$AD$24, 4, 0), 0))</f>
        <v/>
      </c>
      <c r="G160" s="364" t="str">
        <f ca="1">IF( ISNA( VLOOKUP( APIF_Import!$M160 &amp; APIF_Import!$G$1,Podesavanja!$AA$3:$AD$24, 4, 0)), "", VLOOKUP( APIF_Import!$C160, INDIRECT( "Lookup_" &amp; APIF_Import!$M160), VLOOKUP( APIF_Import!$M160 &amp; APIF_Import!$G$1,Podesavanja!$AA$3:$AD$24, 4, 0), 0))</f>
        <v/>
      </c>
      <c r="H160" s="364" t="str">
        <f ca="1">IF( ISNA( VLOOKUP( APIF_Import!$M160 &amp; APIF_Import!$H$1,Podesavanja!$AA$3:$AD$24, 4, 0)), "", VLOOKUP( APIF_Import!$C160, INDIRECT( "Lookup_" &amp; APIF_Import!$M160), VLOOKUP( APIF_Import!$M160 &amp; APIF_Import!$H$1,Podesavanja!$AA$3:$AD$24, 4, 0), 0))</f>
        <v/>
      </c>
      <c r="I160" s="364" t="str">
        <f ca="1">IF( ISNA( VLOOKUP( APIF_Import!$M160 &amp; APIF_Import!$I$1,Podesavanja!$AA$3:$AD$24, 4, 0)), "", VLOOKUP( APIF_Import!$C160, INDIRECT( "Lookup_" &amp; APIF_Import!$M160), VLOOKUP( APIF_Import!$M160 &amp; APIF_Import!$I$1,Podesavanja!$AA$3:$AD$24, 4, 0), 0))</f>
        <v/>
      </c>
      <c r="J160" s="364" t="str">
        <f ca="1">IF( ISNA( VLOOKUP( APIF_Import!$M160 &amp; APIF_Import!$J$1,Podesavanja!$AA$3:$AD$24, 4, 0)), "", VLOOKUP( APIF_Import!$C160, INDIRECT( "Lookup_" &amp; APIF_Import!$M160), VLOOKUP( APIF_Import!$M160 &amp; APIF_Import!$J$1,Podesavanja!$AA$3:$AD$24, 4, 0), 0))</f>
        <v/>
      </c>
      <c r="K160" s="364" t="str">
        <f ca="1">IF( ISNA( VLOOKUP( APIF_Import!$M160 &amp; APIF_Import!$K$1,Podesavanja!$AA$3:$AD$24, 4, 0)), "", VLOOKUP( APIF_Import!$C160, INDIRECT( "Lookup_" &amp; APIF_Import!$M160), VLOOKUP( APIF_Import!$M160 &amp; APIF_Import!$K$1,Podesavanja!$AA$3:$AD$24, 4, 0), 0))</f>
        <v/>
      </c>
      <c r="L160" s="8">
        <v>162</v>
      </c>
      <c r="M160" s="8" t="s">
        <v>1497</v>
      </c>
    </row>
    <row r="161" spans="2:13" x14ac:dyDescent="0.2">
      <c r="B161" s="8">
        <f>VLOOKUP( APIF_Import!$M161, Podesavanja!$N$3:$Q$9, 4, 0)</f>
        <v>3</v>
      </c>
      <c r="C161" s="363">
        <f>VLOOKUP( APIF_Import!$L161, Aop!$A$2:$N$415, 4, 0)</f>
        <v>228</v>
      </c>
      <c r="D161" s="364" t="str">
        <f ca="1">IF( ISNA( VLOOKUP( APIF_Import!$M161 &amp; APIF_Import!$D$1,Podesavanja!$AA$3:$AD$24, 4, 0)), "", SUBSTITUTE( VALUE( VLOOKUP( APIF_Import!$C161, INDIRECT( "Lookup_" &amp; APIF_Import!$M161), VLOOKUP( APIF_Import!$M161 &amp; APIF_Import!$D$1,Podesavanja!$AA$3:$AD$24, 4, 0), 0)), ".", ","))</f>
        <v>1094</v>
      </c>
      <c r="E161" s="364" t="str">
        <f ca="1">IF( ISNA( VLOOKUP( APIF_Import!$M161 &amp; APIF_Import!$E$1,Podesavanja!$AA$3:$AD$24, 4, 0)), "", SUBSTITUTE( VALUE( VLOOKUP( APIF_Import!$C161, INDIRECT( "Lookup_" &amp; APIF_Import!$M161), VLOOKUP( APIF_Import!$M161 &amp; APIF_Import!$E$1,Podesavanja!$AA$3:$AD$24, 4, 0), 0)), ".", ","))</f>
        <v>977</v>
      </c>
      <c r="F161" s="364" t="str">
        <f ca="1">IF( ISNA( VLOOKUP( APIF_Import!$M161 &amp; APIF_Import!$F$1,Podesavanja!$AA$3:$AD$24, 4, 0)), "", VLOOKUP( APIF_Import!$C161, INDIRECT( "Lookup_" &amp; APIF_Import!$M161), VLOOKUP( APIF_Import!$M161 &amp; APIF_Import!$F$1,Podesavanja!$AA$3:$AD$24, 4, 0), 0))</f>
        <v/>
      </c>
      <c r="G161" s="364" t="str">
        <f ca="1">IF( ISNA( VLOOKUP( APIF_Import!$M161 &amp; APIF_Import!$G$1,Podesavanja!$AA$3:$AD$24, 4, 0)), "", VLOOKUP( APIF_Import!$C161, INDIRECT( "Lookup_" &amp; APIF_Import!$M161), VLOOKUP( APIF_Import!$M161 &amp; APIF_Import!$G$1,Podesavanja!$AA$3:$AD$24, 4, 0), 0))</f>
        <v/>
      </c>
      <c r="H161" s="364" t="str">
        <f ca="1">IF( ISNA( VLOOKUP( APIF_Import!$M161 &amp; APIF_Import!$H$1,Podesavanja!$AA$3:$AD$24, 4, 0)), "", VLOOKUP( APIF_Import!$C161, INDIRECT( "Lookup_" &amp; APIF_Import!$M161), VLOOKUP( APIF_Import!$M161 &amp; APIF_Import!$H$1,Podesavanja!$AA$3:$AD$24, 4, 0), 0))</f>
        <v/>
      </c>
      <c r="I161" s="364" t="str">
        <f ca="1">IF( ISNA( VLOOKUP( APIF_Import!$M161 &amp; APIF_Import!$I$1,Podesavanja!$AA$3:$AD$24, 4, 0)), "", VLOOKUP( APIF_Import!$C161, INDIRECT( "Lookup_" &amp; APIF_Import!$M161), VLOOKUP( APIF_Import!$M161 &amp; APIF_Import!$I$1,Podesavanja!$AA$3:$AD$24, 4, 0), 0))</f>
        <v/>
      </c>
      <c r="J161" s="364" t="str">
        <f ca="1">IF( ISNA( VLOOKUP( APIF_Import!$M161 &amp; APIF_Import!$J$1,Podesavanja!$AA$3:$AD$24, 4, 0)), "", VLOOKUP( APIF_Import!$C161, INDIRECT( "Lookup_" &amp; APIF_Import!$M161), VLOOKUP( APIF_Import!$M161 &amp; APIF_Import!$J$1,Podesavanja!$AA$3:$AD$24, 4, 0), 0))</f>
        <v/>
      </c>
      <c r="K161" s="364" t="str">
        <f ca="1">IF( ISNA( VLOOKUP( APIF_Import!$M161 &amp; APIF_Import!$K$1,Podesavanja!$AA$3:$AD$24, 4, 0)), "", VLOOKUP( APIF_Import!$C161, INDIRECT( "Lookup_" &amp; APIF_Import!$M161), VLOOKUP( APIF_Import!$M161 &amp; APIF_Import!$K$1,Podesavanja!$AA$3:$AD$24, 4, 0), 0))</f>
        <v/>
      </c>
      <c r="L161" s="8">
        <v>163</v>
      </c>
      <c r="M161" s="8" t="s">
        <v>1497</v>
      </c>
    </row>
    <row r="162" spans="2:13" x14ac:dyDescent="0.2">
      <c r="B162" s="8">
        <f>VLOOKUP( APIF_Import!$M162, Podesavanja!$N$3:$Q$9, 4, 0)</f>
        <v>3</v>
      </c>
      <c r="C162" s="363">
        <f>VLOOKUP( APIF_Import!$L162, Aop!$A$2:$N$415, 4, 0)</f>
        <v>229</v>
      </c>
      <c r="D162" s="364" t="str">
        <f ca="1">IF( ISNA( VLOOKUP( APIF_Import!$M162 &amp; APIF_Import!$D$1,Podesavanja!$AA$3:$AD$24, 4, 0)), "", SUBSTITUTE( VALUE( VLOOKUP( APIF_Import!$C162, INDIRECT( "Lookup_" &amp; APIF_Import!$M162), VLOOKUP( APIF_Import!$M162 &amp; APIF_Import!$D$1,Podesavanja!$AA$3:$AD$24, 4, 0), 0)), ".", ","))</f>
        <v>675262</v>
      </c>
      <c r="E162" s="364" t="str">
        <f ca="1">IF( ISNA( VLOOKUP( APIF_Import!$M162 &amp; APIF_Import!$E$1,Podesavanja!$AA$3:$AD$24, 4, 0)), "", SUBSTITUTE( VALUE( VLOOKUP( APIF_Import!$C162, INDIRECT( "Lookup_" &amp; APIF_Import!$M162), VLOOKUP( APIF_Import!$M162 &amp; APIF_Import!$E$1,Podesavanja!$AA$3:$AD$24, 4, 0), 0)), ".", ","))</f>
        <v>176137</v>
      </c>
      <c r="F162" s="364" t="str">
        <f ca="1">IF( ISNA( VLOOKUP( APIF_Import!$M162 &amp; APIF_Import!$F$1,Podesavanja!$AA$3:$AD$24, 4, 0)), "", VLOOKUP( APIF_Import!$C162, INDIRECT( "Lookup_" &amp; APIF_Import!$M162), VLOOKUP( APIF_Import!$M162 &amp; APIF_Import!$F$1,Podesavanja!$AA$3:$AD$24, 4, 0), 0))</f>
        <v/>
      </c>
      <c r="G162" s="364" t="str">
        <f ca="1">IF( ISNA( VLOOKUP( APIF_Import!$M162 &amp; APIF_Import!$G$1,Podesavanja!$AA$3:$AD$24, 4, 0)), "", VLOOKUP( APIF_Import!$C162, INDIRECT( "Lookup_" &amp; APIF_Import!$M162), VLOOKUP( APIF_Import!$M162 &amp; APIF_Import!$G$1,Podesavanja!$AA$3:$AD$24, 4, 0), 0))</f>
        <v/>
      </c>
      <c r="H162" s="364" t="str">
        <f ca="1">IF( ISNA( VLOOKUP( APIF_Import!$M162 &amp; APIF_Import!$H$1,Podesavanja!$AA$3:$AD$24, 4, 0)), "", VLOOKUP( APIF_Import!$C162, INDIRECT( "Lookup_" &amp; APIF_Import!$M162), VLOOKUP( APIF_Import!$M162 &amp; APIF_Import!$H$1,Podesavanja!$AA$3:$AD$24, 4, 0), 0))</f>
        <v/>
      </c>
      <c r="I162" s="364" t="str">
        <f ca="1">IF( ISNA( VLOOKUP( APIF_Import!$M162 &amp; APIF_Import!$I$1,Podesavanja!$AA$3:$AD$24, 4, 0)), "", VLOOKUP( APIF_Import!$C162, INDIRECT( "Lookup_" &amp; APIF_Import!$M162), VLOOKUP( APIF_Import!$M162 &amp; APIF_Import!$I$1,Podesavanja!$AA$3:$AD$24, 4, 0), 0))</f>
        <v/>
      </c>
      <c r="J162" s="364" t="str">
        <f ca="1">IF( ISNA( VLOOKUP( APIF_Import!$M162 &amp; APIF_Import!$J$1,Podesavanja!$AA$3:$AD$24, 4, 0)), "", VLOOKUP( APIF_Import!$C162, INDIRECT( "Lookup_" &amp; APIF_Import!$M162), VLOOKUP( APIF_Import!$M162 &amp; APIF_Import!$J$1,Podesavanja!$AA$3:$AD$24, 4, 0), 0))</f>
        <v/>
      </c>
      <c r="K162" s="364" t="str">
        <f ca="1">IF( ISNA( VLOOKUP( APIF_Import!$M162 &amp; APIF_Import!$K$1,Podesavanja!$AA$3:$AD$24, 4, 0)), "", VLOOKUP( APIF_Import!$C162, INDIRECT( "Lookup_" &amp; APIF_Import!$M162), VLOOKUP( APIF_Import!$M162 &amp; APIF_Import!$K$1,Podesavanja!$AA$3:$AD$24, 4, 0), 0))</f>
        <v/>
      </c>
      <c r="L162" s="8">
        <v>164</v>
      </c>
      <c r="M162" s="8" t="s">
        <v>1497</v>
      </c>
    </row>
    <row r="163" spans="2:13" x14ac:dyDescent="0.2">
      <c r="B163" s="8">
        <f>VLOOKUP( APIF_Import!$M163, Podesavanja!$N$3:$Q$9, 4, 0)</f>
        <v>3</v>
      </c>
      <c r="C163" s="363">
        <f>VLOOKUP( APIF_Import!$L163, Aop!$A$2:$N$415, 4, 0)</f>
        <v>230</v>
      </c>
      <c r="D163" s="364" t="str">
        <f ca="1">IF( ISNA( VLOOKUP( APIF_Import!$M163 &amp; APIF_Import!$D$1,Podesavanja!$AA$3:$AD$24, 4, 0)), "", SUBSTITUTE( VALUE( VLOOKUP( APIF_Import!$C163, INDIRECT( "Lookup_" &amp; APIF_Import!$M163), VLOOKUP( APIF_Import!$M163 &amp; APIF_Import!$D$1,Podesavanja!$AA$3:$AD$24, 4, 0), 0)), ".", ","))</f>
        <v>0</v>
      </c>
      <c r="E163" s="364" t="str">
        <f ca="1">IF( ISNA( VLOOKUP( APIF_Import!$M163 &amp; APIF_Import!$E$1,Podesavanja!$AA$3:$AD$24, 4, 0)), "", SUBSTITUTE( VALUE( VLOOKUP( APIF_Import!$C163, INDIRECT( "Lookup_" &amp; APIF_Import!$M163), VLOOKUP( APIF_Import!$M163 &amp; APIF_Import!$E$1,Podesavanja!$AA$3:$AD$24, 4, 0), 0)), ".", ","))</f>
        <v>0</v>
      </c>
      <c r="F163" s="364" t="str">
        <f ca="1">IF( ISNA( VLOOKUP( APIF_Import!$M163 &amp; APIF_Import!$F$1,Podesavanja!$AA$3:$AD$24, 4, 0)), "", VLOOKUP( APIF_Import!$C163, INDIRECT( "Lookup_" &amp; APIF_Import!$M163), VLOOKUP( APIF_Import!$M163 &amp; APIF_Import!$F$1,Podesavanja!$AA$3:$AD$24, 4, 0), 0))</f>
        <v/>
      </c>
      <c r="G163" s="364" t="str">
        <f ca="1">IF( ISNA( VLOOKUP( APIF_Import!$M163 &amp; APIF_Import!$G$1,Podesavanja!$AA$3:$AD$24, 4, 0)), "", VLOOKUP( APIF_Import!$C163, INDIRECT( "Lookup_" &amp; APIF_Import!$M163), VLOOKUP( APIF_Import!$M163 &amp; APIF_Import!$G$1,Podesavanja!$AA$3:$AD$24, 4, 0), 0))</f>
        <v/>
      </c>
      <c r="H163" s="364" t="str">
        <f ca="1">IF( ISNA( VLOOKUP( APIF_Import!$M163 &amp; APIF_Import!$H$1,Podesavanja!$AA$3:$AD$24, 4, 0)), "", VLOOKUP( APIF_Import!$C163, INDIRECT( "Lookup_" &amp; APIF_Import!$M163), VLOOKUP( APIF_Import!$M163 &amp; APIF_Import!$H$1,Podesavanja!$AA$3:$AD$24, 4, 0), 0))</f>
        <v/>
      </c>
      <c r="I163" s="364" t="str">
        <f ca="1">IF( ISNA( VLOOKUP( APIF_Import!$M163 &amp; APIF_Import!$I$1,Podesavanja!$AA$3:$AD$24, 4, 0)), "", VLOOKUP( APIF_Import!$C163, INDIRECT( "Lookup_" &amp; APIF_Import!$M163), VLOOKUP( APIF_Import!$M163 &amp; APIF_Import!$I$1,Podesavanja!$AA$3:$AD$24, 4, 0), 0))</f>
        <v/>
      </c>
      <c r="J163" s="364" t="str">
        <f ca="1">IF( ISNA( VLOOKUP( APIF_Import!$M163 &amp; APIF_Import!$J$1,Podesavanja!$AA$3:$AD$24, 4, 0)), "", VLOOKUP( APIF_Import!$C163, INDIRECT( "Lookup_" &amp; APIF_Import!$M163), VLOOKUP( APIF_Import!$M163 &amp; APIF_Import!$J$1,Podesavanja!$AA$3:$AD$24, 4, 0), 0))</f>
        <v/>
      </c>
      <c r="K163" s="364" t="str">
        <f ca="1">IF( ISNA( VLOOKUP( APIF_Import!$M163 &amp; APIF_Import!$K$1,Podesavanja!$AA$3:$AD$24, 4, 0)), "", VLOOKUP( APIF_Import!$C163, INDIRECT( "Lookup_" &amp; APIF_Import!$M163), VLOOKUP( APIF_Import!$M163 &amp; APIF_Import!$K$1,Podesavanja!$AA$3:$AD$24, 4, 0), 0))</f>
        <v/>
      </c>
      <c r="L163" s="8">
        <v>165</v>
      </c>
      <c r="M163" s="8" t="s">
        <v>1497</v>
      </c>
    </row>
    <row r="164" spans="2:13" x14ac:dyDescent="0.2">
      <c r="B164" s="8">
        <f>VLOOKUP( APIF_Import!$M164, Podesavanja!$N$3:$Q$9, 4, 0)</f>
        <v>3</v>
      </c>
      <c r="C164" s="363">
        <f>VLOOKUP( APIF_Import!$L164, Aop!$A$2:$N$415, 4, 0)</f>
        <v>231</v>
      </c>
      <c r="D164" s="364" t="str">
        <f ca="1">IF( ISNA( VLOOKUP( APIF_Import!$M164 &amp; APIF_Import!$D$1,Podesavanja!$AA$3:$AD$24, 4, 0)), "", SUBSTITUTE( VALUE( VLOOKUP( APIF_Import!$C164, INDIRECT( "Lookup_" &amp; APIF_Import!$M164), VLOOKUP( APIF_Import!$M164 &amp; APIF_Import!$D$1,Podesavanja!$AA$3:$AD$24, 4, 0), 0)), ".", ","))</f>
        <v>58280</v>
      </c>
      <c r="E164" s="364" t="str">
        <f ca="1">IF( ISNA( VLOOKUP( APIF_Import!$M164 &amp; APIF_Import!$E$1,Podesavanja!$AA$3:$AD$24, 4, 0)), "", SUBSTITUTE( VALUE( VLOOKUP( APIF_Import!$C164, INDIRECT( "Lookup_" &amp; APIF_Import!$M164), VLOOKUP( APIF_Import!$M164 &amp; APIF_Import!$E$1,Podesavanja!$AA$3:$AD$24, 4, 0), 0)), ".", ","))</f>
        <v>4077</v>
      </c>
      <c r="F164" s="364" t="str">
        <f ca="1">IF( ISNA( VLOOKUP( APIF_Import!$M164 &amp; APIF_Import!$F$1,Podesavanja!$AA$3:$AD$24, 4, 0)), "", VLOOKUP( APIF_Import!$C164, INDIRECT( "Lookup_" &amp; APIF_Import!$M164), VLOOKUP( APIF_Import!$M164 &amp; APIF_Import!$F$1,Podesavanja!$AA$3:$AD$24, 4, 0), 0))</f>
        <v/>
      </c>
      <c r="G164" s="364" t="str">
        <f ca="1">IF( ISNA( VLOOKUP( APIF_Import!$M164 &amp; APIF_Import!$G$1,Podesavanja!$AA$3:$AD$24, 4, 0)), "", VLOOKUP( APIF_Import!$C164, INDIRECT( "Lookup_" &amp; APIF_Import!$M164), VLOOKUP( APIF_Import!$M164 &amp; APIF_Import!$G$1,Podesavanja!$AA$3:$AD$24, 4, 0), 0))</f>
        <v/>
      </c>
      <c r="H164" s="364" t="str">
        <f ca="1">IF( ISNA( VLOOKUP( APIF_Import!$M164 &amp; APIF_Import!$H$1,Podesavanja!$AA$3:$AD$24, 4, 0)), "", VLOOKUP( APIF_Import!$C164, INDIRECT( "Lookup_" &amp; APIF_Import!$M164), VLOOKUP( APIF_Import!$M164 &amp; APIF_Import!$H$1,Podesavanja!$AA$3:$AD$24, 4, 0), 0))</f>
        <v/>
      </c>
      <c r="I164" s="364" t="str">
        <f ca="1">IF( ISNA( VLOOKUP( APIF_Import!$M164 &amp; APIF_Import!$I$1,Podesavanja!$AA$3:$AD$24, 4, 0)), "", VLOOKUP( APIF_Import!$C164, INDIRECT( "Lookup_" &amp; APIF_Import!$M164), VLOOKUP( APIF_Import!$M164 &amp; APIF_Import!$I$1,Podesavanja!$AA$3:$AD$24, 4, 0), 0))</f>
        <v/>
      </c>
      <c r="J164" s="364" t="str">
        <f ca="1">IF( ISNA( VLOOKUP( APIF_Import!$M164 &amp; APIF_Import!$J$1,Podesavanja!$AA$3:$AD$24, 4, 0)), "", VLOOKUP( APIF_Import!$C164, INDIRECT( "Lookup_" &amp; APIF_Import!$M164), VLOOKUP( APIF_Import!$M164 &amp; APIF_Import!$J$1,Podesavanja!$AA$3:$AD$24, 4, 0), 0))</f>
        <v/>
      </c>
      <c r="K164" s="364" t="str">
        <f ca="1">IF( ISNA( VLOOKUP( APIF_Import!$M164 &amp; APIF_Import!$K$1,Podesavanja!$AA$3:$AD$24, 4, 0)), "", VLOOKUP( APIF_Import!$C164, INDIRECT( "Lookup_" &amp; APIF_Import!$M164), VLOOKUP( APIF_Import!$M164 &amp; APIF_Import!$K$1,Podesavanja!$AA$3:$AD$24, 4, 0), 0))</f>
        <v/>
      </c>
      <c r="L164" s="8">
        <v>167</v>
      </c>
      <c r="M164" s="8" t="s">
        <v>1497</v>
      </c>
    </row>
    <row r="165" spans="2:13" x14ac:dyDescent="0.2">
      <c r="B165" s="8">
        <f>VLOOKUP( APIF_Import!$M165, Podesavanja!$N$3:$Q$9, 4, 0)</f>
        <v>3</v>
      </c>
      <c r="C165" s="363">
        <f>VLOOKUP( APIF_Import!$L165, Aop!$A$2:$N$415, 4, 0)</f>
        <v>232</v>
      </c>
      <c r="D165" s="364" t="str">
        <f ca="1">IF( ISNA( VLOOKUP( APIF_Import!$M165 &amp; APIF_Import!$D$1,Podesavanja!$AA$3:$AD$24, 4, 0)), "", SUBSTITUTE( VALUE( VLOOKUP( APIF_Import!$C165, INDIRECT( "Lookup_" &amp; APIF_Import!$M165), VLOOKUP( APIF_Import!$M165 &amp; APIF_Import!$D$1,Podesavanja!$AA$3:$AD$24, 4, 0), 0)), ".", ","))</f>
        <v>58280</v>
      </c>
      <c r="E165" s="364" t="str">
        <f ca="1">IF( ISNA( VLOOKUP( APIF_Import!$M165 &amp; APIF_Import!$E$1,Podesavanja!$AA$3:$AD$24, 4, 0)), "", SUBSTITUTE( VALUE( VLOOKUP( APIF_Import!$C165, INDIRECT( "Lookup_" &amp; APIF_Import!$M165), VLOOKUP( APIF_Import!$M165 &amp; APIF_Import!$E$1,Podesavanja!$AA$3:$AD$24, 4, 0), 0)), ".", ","))</f>
        <v>0</v>
      </c>
      <c r="F165" s="364" t="str">
        <f ca="1">IF( ISNA( VLOOKUP( APIF_Import!$M165 &amp; APIF_Import!$F$1,Podesavanja!$AA$3:$AD$24, 4, 0)), "", VLOOKUP( APIF_Import!$C165, INDIRECT( "Lookup_" &amp; APIF_Import!$M165), VLOOKUP( APIF_Import!$M165 &amp; APIF_Import!$F$1,Podesavanja!$AA$3:$AD$24, 4, 0), 0))</f>
        <v/>
      </c>
      <c r="G165" s="364" t="str">
        <f ca="1">IF( ISNA( VLOOKUP( APIF_Import!$M165 &amp; APIF_Import!$G$1,Podesavanja!$AA$3:$AD$24, 4, 0)), "", VLOOKUP( APIF_Import!$C165, INDIRECT( "Lookup_" &amp; APIF_Import!$M165), VLOOKUP( APIF_Import!$M165 &amp; APIF_Import!$G$1,Podesavanja!$AA$3:$AD$24, 4, 0), 0))</f>
        <v/>
      </c>
      <c r="H165" s="364" t="str">
        <f ca="1">IF( ISNA( VLOOKUP( APIF_Import!$M165 &amp; APIF_Import!$H$1,Podesavanja!$AA$3:$AD$24, 4, 0)), "", VLOOKUP( APIF_Import!$C165, INDIRECT( "Lookup_" &amp; APIF_Import!$M165), VLOOKUP( APIF_Import!$M165 &amp; APIF_Import!$H$1,Podesavanja!$AA$3:$AD$24, 4, 0), 0))</f>
        <v/>
      </c>
      <c r="I165" s="364" t="str">
        <f ca="1">IF( ISNA( VLOOKUP( APIF_Import!$M165 &amp; APIF_Import!$I$1,Podesavanja!$AA$3:$AD$24, 4, 0)), "", VLOOKUP( APIF_Import!$C165, INDIRECT( "Lookup_" &amp; APIF_Import!$M165), VLOOKUP( APIF_Import!$M165 &amp; APIF_Import!$I$1,Podesavanja!$AA$3:$AD$24, 4, 0), 0))</f>
        <v/>
      </c>
      <c r="J165" s="364" t="str">
        <f ca="1">IF( ISNA( VLOOKUP( APIF_Import!$M165 &amp; APIF_Import!$J$1,Podesavanja!$AA$3:$AD$24, 4, 0)), "", VLOOKUP( APIF_Import!$C165, INDIRECT( "Lookup_" &amp; APIF_Import!$M165), VLOOKUP( APIF_Import!$M165 &amp; APIF_Import!$J$1,Podesavanja!$AA$3:$AD$24, 4, 0), 0))</f>
        <v/>
      </c>
      <c r="K165" s="364" t="str">
        <f ca="1">IF( ISNA( VLOOKUP( APIF_Import!$M165 &amp; APIF_Import!$K$1,Podesavanja!$AA$3:$AD$24, 4, 0)), "", VLOOKUP( APIF_Import!$C165, INDIRECT( "Lookup_" &amp; APIF_Import!$M165), VLOOKUP( APIF_Import!$M165 &amp; APIF_Import!$K$1,Podesavanja!$AA$3:$AD$24, 4, 0), 0))</f>
        <v/>
      </c>
      <c r="L165" s="8">
        <v>168</v>
      </c>
      <c r="M165" s="8" t="s">
        <v>1497</v>
      </c>
    </row>
    <row r="166" spans="2:13" x14ac:dyDescent="0.2">
      <c r="B166" s="8">
        <f>VLOOKUP( APIF_Import!$M166, Podesavanja!$N$3:$Q$9, 4, 0)</f>
        <v>3</v>
      </c>
      <c r="C166" s="363">
        <f>VLOOKUP( APIF_Import!$L166, Aop!$A$2:$N$415, 4, 0)</f>
        <v>233</v>
      </c>
      <c r="D166" s="364" t="str">
        <f ca="1">IF( ISNA( VLOOKUP( APIF_Import!$M166 &amp; APIF_Import!$D$1,Podesavanja!$AA$3:$AD$24, 4, 0)), "", SUBSTITUTE( VALUE( VLOOKUP( APIF_Import!$C166, INDIRECT( "Lookup_" &amp; APIF_Import!$M166), VLOOKUP( APIF_Import!$M166 &amp; APIF_Import!$D$1,Podesavanja!$AA$3:$AD$24, 4, 0), 0)), ".", ","))</f>
        <v>0</v>
      </c>
      <c r="E166" s="364" t="str">
        <f ca="1">IF( ISNA( VLOOKUP( APIF_Import!$M166 &amp; APIF_Import!$E$1,Podesavanja!$AA$3:$AD$24, 4, 0)), "", SUBSTITUTE( VALUE( VLOOKUP( APIF_Import!$C166, INDIRECT( "Lookup_" &amp; APIF_Import!$M166), VLOOKUP( APIF_Import!$M166 &amp; APIF_Import!$E$1,Podesavanja!$AA$3:$AD$24, 4, 0), 0)), ".", ","))</f>
        <v>0</v>
      </c>
      <c r="F166" s="364" t="str">
        <f ca="1">IF( ISNA( VLOOKUP( APIF_Import!$M166 &amp; APIF_Import!$F$1,Podesavanja!$AA$3:$AD$24, 4, 0)), "", VLOOKUP( APIF_Import!$C166, INDIRECT( "Lookup_" &amp; APIF_Import!$M166), VLOOKUP( APIF_Import!$M166 &amp; APIF_Import!$F$1,Podesavanja!$AA$3:$AD$24, 4, 0), 0))</f>
        <v/>
      </c>
      <c r="G166" s="364" t="str">
        <f ca="1">IF( ISNA( VLOOKUP( APIF_Import!$M166 &amp; APIF_Import!$G$1,Podesavanja!$AA$3:$AD$24, 4, 0)), "", VLOOKUP( APIF_Import!$C166, INDIRECT( "Lookup_" &amp; APIF_Import!$M166), VLOOKUP( APIF_Import!$M166 &amp; APIF_Import!$G$1,Podesavanja!$AA$3:$AD$24, 4, 0), 0))</f>
        <v/>
      </c>
      <c r="H166" s="364" t="str">
        <f ca="1">IF( ISNA( VLOOKUP( APIF_Import!$M166 &amp; APIF_Import!$H$1,Podesavanja!$AA$3:$AD$24, 4, 0)), "", VLOOKUP( APIF_Import!$C166, INDIRECT( "Lookup_" &amp; APIF_Import!$M166), VLOOKUP( APIF_Import!$M166 &amp; APIF_Import!$H$1,Podesavanja!$AA$3:$AD$24, 4, 0), 0))</f>
        <v/>
      </c>
      <c r="I166" s="364" t="str">
        <f ca="1">IF( ISNA( VLOOKUP( APIF_Import!$M166 &amp; APIF_Import!$I$1,Podesavanja!$AA$3:$AD$24, 4, 0)), "", VLOOKUP( APIF_Import!$C166, INDIRECT( "Lookup_" &amp; APIF_Import!$M166), VLOOKUP( APIF_Import!$M166 &amp; APIF_Import!$I$1,Podesavanja!$AA$3:$AD$24, 4, 0), 0))</f>
        <v/>
      </c>
      <c r="J166" s="364" t="str">
        <f ca="1">IF( ISNA( VLOOKUP( APIF_Import!$M166 &amp; APIF_Import!$J$1,Podesavanja!$AA$3:$AD$24, 4, 0)), "", VLOOKUP( APIF_Import!$C166, INDIRECT( "Lookup_" &amp; APIF_Import!$M166), VLOOKUP( APIF_Import!$M166 &amp; APIF_Import!$J$1,Podesavanja!$AA$3:$AD$24, 4, 0), 0))</f>
        <v/>
      </c>
      <c r="K166" s="364" t="str">
        <f ca="1">IF( ISNA( VLOOKUP( APIF_Import!$M166 &amp; APIF_Import!$K$1,Podesavanja!$AA$3:$AD$24, 4, 0)), "", VLOOKUP( APIF_Import!$C166, INDIRECT( "Lookup_" &amp; APIF_Import!$M166), VLOOKUP( APIF_Import!$M166 &amp; APIF_Import!$K$1,Podesavanja!$AA$3:$AD$24, 4, 0), 0))</f>
        <v/>
      </c>
      <c r="L166" s="8">
        <v>169</v>
      </c>
      <c r="M166" s="8" t="s">
        <v>1497</v>
      </c>
    </row>
    <row r="167" spans="2:13" x14ac:dyDescent="0.2">
      <c r="B167" s="8">
        <f>VLOOKUP( APIF_Import!$M167, Podesavanja!$N$3:$Q$9, 4, 0)</f>
        <v>3</v>
      </c>
      <c r="C167" s="363">
        <f>VLOOKUP( APIF_Import!$L167, Aop!$A$2:$N$415, 4, 0)</f>
        <v>234</v>
      </c>
      <c r="D167" s="364" t="str">
        <f ca="1">IF( ISNA( VLOOKUP( APIF_Import!$M167 &amp; APIF_Import!$D$1,Podesavanja!$AA$3:$AD$24, 4, 0)), "", SUBSTITUTE( VALUE( VLOOKUP( APIF_Import!$C167, INDIRECT( "Lookup_" &amp; APIF_Import!$M167), VLOOKUP( APIF_Import!$M167 &amp; APIF_Import!$D$1,Podesavanja!$AA$3:$AD$24, 4, 0), 0)), ".", ","))</f>
        <v>0</v>
      </c>
      <c r="E167" s="364" t="str">
        <f ca="1">IF( ISNA( VLOOKUP( APIF_Import!$M167 &amp; APIF_Import!$E$1,Podesavanja!$AA$3:$AD$24, 4, 0)), "", SUBSTITUTE( VALUE( VLOOKUP( APIF_Import!$C167, INDIRECT( "Lookup_" &amp; APIF_Import!$M167), VLOOKUP( APIF_Import!$M167 &amp; APIF_Import!$E$1,Podesavanja!$AA$3:$AD$24, 4, 0), 0)), ".", ","))</f>
        <v>4077</v>
      </c>
      <c r="F167" s="364" t="str">
        <f ca="1">IF( ISNA( VLOOKUP( APIF_Import!$M167 &amp; APIF_Import!$F$1,Podesavanja!$AA$3:$AD$24, 4, 0)), "", VLOOKUP( APIF_Import!$C167, INDIRECT( "Lookup_" &amp; APIF_Import!$M167), VLOOKUP( APIF_Import!$M167 &amp; APIF_Import!$F$1,Podesavanja!$AA$3:$AD$24, 4, 0), 0))</f>
        <v/>
      </c>
      <c r="G167" s="364" t="str">
        <f ca="1">IF( ISNA( VLOOKUP( APIF_Import!$M167 &amp; APIF_Import!$G$1,Podesavanja!$AA$3:$AD$24, 4, 0)), "", VLOOKUP( APIF_Import!$C167, INDIRECT( "Lookup_" &amp; APIF_Import!$M167), VLOOKUP( APIF_Import!$M167 &amp; APIF_Import!$G$1,Podesavanja!$AA$3:$AD$24, 4, 0), 0))</f>
        <v/>
      </c>
      <c r="H167" s="364" t="str">
        <f ca="1">IF( ISNA( VLOOKUP( APIF_Import!$M167 &amp; APIF_Import!$H$1,Podesavanja!$AA$3:$AD$24, 4, 0)), "", VLOOKUP( APIF_Import!$C167, INDIRECT( "Lookup_" &amp; APIF_Import!$M167), VLOOKUP( APIF_Import!$M167 &amp; APIF_Import!$H$1,Podesavanja!$AA$3:$AD$24, 4, 0), 0))</f>
        <v/>
      </c>
      <c r="I167" s="364" t="str">
        <f ca="1">IF( ISNA( VLOOKUP( APIF_Import!$M167 &amp; APIF_Import!$I$1,Podesavanja!$AA$3:$AD$24, 4, 0)), "", VLOOKUP( APIF_Import!$C167, INDIRECT( "Lookup_" &amp; APIF_Import!$M167), VLOOKUP( APIF_Import!$M167 &amp; APIF_Import!$I$1,Podesavanja!$AA$3:$AD$24, 4, 0), 0))</f>
        <v/>
      </c>
      <c r="J167" s="364" t="str">
        <f ca="1">IF( ISNA( VLOOKUP( APIF_Import!$M167 &amp; APIF_Import!$J$1,Podesavanja!$AA$3:$AD$24, 4, 0)), "", VLOOKUP( APIF_Import!$C167, INDIRECT( "Lookup_" &amp; APIF_Import!$M167), VLOOKUP( APIF_Import!$M167 &amp; APIF_Import!$J$1,Podesavanja!$AA$3:$AD$24, 4, 0), 0))</f>
        <v/>
      </c>
      <c r="K167" s="364" t="str">
        <f ca="1">IF( ISNA( VLOOKUP( APIF_Import!$M167 &amp; APIF_Import!$K$1,Podesavanja!$AA$3:$AD$24, 4, 0)), "", VLOOKUP( APIF_Import!$C167, INDIRECT( "Lookup_" &amp; APIF_Import!$M167), VLOOKUP( APIF_Import!$M167 &amp; APIF_Import!$K$1,Podesavanja!$AA$3:$AD$24, 4, 0), 0))</f>
        <v/>
      </c>
      <c r="L167" s="8">
        <v>170</v>
      </c>
      <c r="M167" s="8" t="s">
        <v>1497</v>
      </c>
    </row>
    <row r="168" spans="2:13" x14ac:dyDescent="0.2">
      <c r="B168" s="8">
        <f>VLOOKUP( APIF_Import!$M168, Podesavanja!$N$3:$Q$9, 4, 0)</f>
        <v>3</v>
      </c>
      <c r="C168" s="363">
        <f>VLOOKUP( APIF_Import!$L168, Aop!$A$2:$N$415, 4, 0)</f>
        <v>235</v>
      </c>
      <c r="D168" s="364" t="str">
        <f ca="1">IF( ISNA( VLOOKUP( APIF_Import!$M168 &amp; APIF_Import!$D$1,Podesavanja!$AA$3:$AD$24, 4, 0)), "", SUBSTITUTE( VALUE( VLOOKUP( APIF_Import!$C168, INDIRECT( "Lookup_" &amp; APIF_Import!$M168), VLOOKUP( APIF_Import!$M168 &amp; APIF_Import!$D$1,Podesavanja!$AA$3:$AD$24, 4, 0), 0)), ".", ","))</f>
        <v>0</v>
      </c>
      <c r="E168" s="364" t="str">
        <f ca="1">IF( ISNA( VLOOKUP( APIF_Import!$M168 &amp; APIF_Import!$E$1,Podesavanja!$AA$3:$AD$24, 4, 0)), "", SUBSTITUTE( VALUE( VLOOKUP( APIF_Import!$C168, INDIRECT( "Lookup_" &amp; APIF_Import!$M168), VLOOKUP( APIF_Import!$M168 &amp; APIF_Import!$E$1,Podesavanja!$AA$3:$AD$24, 4, 0), 0)), ".", ","))</f>
        <v>0</v>
      </c>
      <c r="F168" s="364" t="str">
        <f ca="1">IF( ISNA( VLOOKUP( APIF_Import!$M168 &amp; APIF_Import!$F$1,Podesavanja!$AA$3:$AD$24, 4, 0)), "", VLOOKUP( APIF_Import!$C168, INDIRECT( "Lookup_" &amp; APIF_Import!$M168), VLOOKUP( APIF_Import!$M168 &amp; APIF_Import!$F$1,Podesavanja!$AA$3:$AD$24, 4, 0), 0))</f>
        <v/>
      </c>
      <c r="G168" s="364" t="str">
        <f ca="1">IF( ISNA( VLOOKUP( APIF_Import!$M168 &amp; APIF_Import!$G$1,Podesavanja!$AA$3:$AD$24, 4, 0)), "", VLOOKUP( APIF_Import!$C168, INDIRECT( "Lookup_" &amp; APIF_Import!$M168), VLOOKUP( APIF_Import!$M168 &amp; APIF_Import!$G$1,Podesavanja!$AA$3:$AD$24, 4, 0), 0))</f>
        <v/>
      </c>
      <c r="H168" s="364" t="str">
        <f ca="1">IF( ISNA( VLOOKUP( APIF_Import!$M168 &amp; APIF_Import!$H$1,Podesavanja!$AA$3:$AD$24, 4, 0)), "", VLOOKUP( APIF_Import!$C168, INDIRECT( "Lookup_" &amp; APIF_Import!$M168), VLOOKUP( APIF_Import!$M168 &amp; APIF_Import!$H$1,Podesavanja!$AA$3:$AD$24, 4, 0), 0))</f>
        <v/>
      </c>
      <c r="I168" s="364" t="str">
        <f ca="1">IF( ISNA( VLOOKUP( APIF_Import!$M168 &amp; APIF_Import!$I$1,Podesavanja!$AA$3:$AD$24, 4, 0)), "", VLOOKUP( APIF_Import!$C168, INDIRECT( "Lookup_" &amp; APIF_Import!$M168), VLOOKUP( APIF_Import!$M168 &amp; APIF_Import!$I$1,Podesavanja!$AA$3:$AD$24, 4, 0), 0))</f>
        <v/>
      </c>
      <c r="J168" s="364" t="str">
        <f ca="1">IF( ISNA( VLOOKUP( APIF_Import!$M168 &amp; APIF_Import!$J$1,Podesavanja!$AA$3:$AD$24, 4, 0)), "", VLOOKUP( APIF_Import!$C168, INDIRECT( "Lookup_" &amp; APIF_Import!$M168), VLOOKUP( APIF_Import!$M168 &amp; APIF_Import!$J$1,Podesavanja!$AA$3:$AD$24, 4, 0), 0))</f>
        <v/>
      </c>
      <c r="K168" s="364" t="str">
        <f ca="1">IF( ISNA( VLOOKUP( APIF_Import!$M168 &amp; APIF_Import!$K$1,Podesavanja!$AA$3:$AD$24, 4, 0)), "", VLOOKUP( APIF_Import!$C168, INDIRECT( "Lookup_" &amp; APIF_Import!$M168), VLOOKUP( APIF_Import!$M168 &amp; APIF_Import!$K$1,Podesavanja!$AA$3:$AD$24, 4, 0), 0))</f>
        <v/>
      </c>
      <c r="L168" s="8">
        <v>171</v>
      </c>
      <c r="M168" s="8" t="s">
        <v>1497</v>
      </c>
    </row>
    <row r="169" spans="2:13" x14ac:dyDescent="0.2">
      <c r="B169" s="8">
        <f>VLOOKUP( APIF_Import!$M169, Podesavanja!$N$3:$Q$9, 4, 0)</f>
        <v>3</v>
      </c>
      <c r="C169" s="363">
        <f>VLOOKUP( APIF_Import!$L169, Aop!$A$2:$N$415, 4, 0)</f>
        <v>236</v>
      </c>
      <c r="D169" s="364" t="str">
        <f ca="1">IF( ISNA( VLOOKUP( APIF_Import!$M169 &amp; APIF_Import!$D$1,Podesavanja!$AA$3:$AD$24, 4, 0)), "", SUBSTITUTE( VALUE( VLOOKUP( APIF_Import!$C169, INDIRECT( "Lookup_" &amp; APIF_Import!$M169), VLOOKUP( APIF_Import!$M169 &amp; APIF_Import!$D$1,Podesavanja!$AA$3:$AD$24, 4, 0), 0)), ".", ","))</f>
        <v>0</v>
      </c>
      <c r="E169" s="364" t="str">
        <f ca="1">IF( ISNA( VLOOKUP( APIF_Import!$M169 &amp; APIF_Import!$E$1,Podesavanja!$AA$3:$AD$24, 4, 0)), "", SUBSTITUTE( VALUE( VLOOKUP( APIF_Import!$C169, INDIRECT( "Lookup_" &amp; APIF_Import!$M169), VLOOKUP( APIF_Import!$M169 &amp; APIF_Import!$E$1,Podesavanja!$AA$3:$AD$24, 4, 0), 0)), ".", ","))</f>
        <v>0</v>
      </c>
      <c r="F169" s="364" t="str">
        <f ca="1">IF( ISNA( VLOOKUP( APIF_Import!$M169 &amp; APIF_Import!$F$1,Podesavanja!$AA$3:$AD$24, 4, 0)), "", VLOOKUP( APIF_Import!$C169, INDIRECT( "Lookup_" &amp; APIF_Import!$M169), VLOOKUP( APIF_Import!$M169 &amp; APIF_Import!$F$1,Podesavanja!$AA$3:$AD$24, 4, 0), 0))</f>
        <v/>
      </c>
      <c r="G169" s="364" t="str">
        <f ca="1">IF( ISNA( VLOOKUP( APIF_Import!$M169 &amp; APIF_Import!$G$1,Podesavanja!$AA$3:$AD$24, 4, 0)), "", VLOOKUP( APIF_Import!$C169, INDIRECT( "Lookup_" &amp; APIF_Import!$M169), VLOOKUP( APIF_Import!$M169 &amp; APIF_Import!$G$1,Podesavanja!$AA$3:$AD$24, 4, 0), 0))</f>
        <v/>
      </c>
      <c r="H169" s="364" t="str">
        <f ca="1">IF( ISNA( VLOOKUP( APIF_Import!$M169 &amp; APIF_Import!$H$1,Podesavanja!$AA$3:$AD$24, 4, 0)), "", VLOOKUP( APIF_Import!$C169, INDIRECT( "Lookup_" &amp; APIF_Import!$M169), VLOOKUP( APIF_Import!$M169 &amp; APIF_Import!$H$1,Podesavanja!$AA$3:$AD$24, 4, 0), 0))</f>
        <v/>
      </c>
      <c r="I169" s="364" t="str">
        <f ca="1">IF( ISNA( VLOOKUP( APIF_Import!$M169 &amp; APIF_Import!$I$1,Podesavanja!$AA$3:$AD$24, 4, 0)), "", VLOOKUP( APIF_Import!$C169, INDIRECT( "Lookup_" &amp; APIF_Import!$M169), VLOOKUP( APIF_Import!$M169 &amp; APIF_Import!$I$1,Podesavanja!$AA$3:$AD$24, 4, 0), 0))</f>
        <v/>
      </c>
      <c r="J169" s="364" t="str">
        <f ca="1">IF( ISNA( VLOOKUP( APIF_Import!$M169 &amp; APIF_Import!$J$1,Podesavanja!$AA$3:$AD$24, 4, 0)), "", VLOOKUP( APIF_Import!$C169, INDIRECT( "Lookup_" &amp; APIF_Import!$M169), VLOOKUP( APIF_Import!$M169 &amp; APIF_Import!$J$1,Podesavanja!$AA$3:$AD$24, 4, 0), 0))</f>
        <v/>
      </c>
      <c r="K169" s="364" t="str">
        <f ca="1">IF( ISNA( VLOOKUP( APIF_Import!$M169 &amp; APIF_Import!$K$1,Podesavanja!$AA$3:$AD$24, 4, 0)), "", VLOOKUP( APIF_Import!$C169, INDIRECT( "Lookup_" &amp; APIF_Import!$M169), VLOOKUP( APIF_Import!$M169 &amp; APIF_Import!$K$1,Podesavanja!$AA$3:$AD$24, 4, 0), 0))</f>
        <v/>
      </c>
      <c r="L169" s="8">
        <v>172</v>
      </c>
      <c r="M169" s="8" t="s">
        <v>1497</v>
      </c>
    </row>
    <row r="170" spans="2:13" x14ac:dyDescent="0.2">
      <c r="B170" s="8">
        <f>VLOOKUP( APIF_Import!$M170, Podesavanja!$N$3:$Q$9, 4, 0)</f>
        <v>3</v>
      </c>
      <c r="C170" s="363">
        <f>VLOOKUP( APIF_Import!$L170, Aop!$A$2:$N$415, 4, 0)</f>
        <v>237</v>
      </c>
      <c r="D170" s="364" t="str">
        <f ca="1">IF( ISNA( VLOOKUP( APIF_Import!$M170 &amp; APIF_Import!$D$1,Podesavanja!$AA$3:$AD$24, 4, 0)), "", SUBSTITUTE( VALUE( VLOOKUP( APIF_Import!$C170, INDIRECT( "Lookup_" &amp; APIF_Import!$M170), VLOOKUP( APIF_Import!$M170 &amp; APIF_Import!$D$1,Podesavanja!$AA$3:$AD$24, 4, 0), 0)), ".", ","))</f>
        <v>0</v>
      </c>
      <c r="E170" s="364" t="str">
        <f ca="1">IF( ISNA( VLOOKUP( APIF_Import!$M170 &amp; APIF_Import!$E$1,Podesavanja!$AA$3:$AD$24, 4, 0)), "", SUBSTITUTE( VALUE( VLOOKUP( APIF_Import!$C170, INDIRECT( "Lookup_" &amp; APIF_Import!$M170), VLOOKUP( APIF_Import!$M170 &amp; APIF_Import!$E$1,Podesavanja!$AA$3:$AD$24, 4, 0), 0)), ".", ","))</f>
        <v>0</v>
      </c>
      <c r="F170" s="364" t="str">
        <f ca="1">IF( ISNA( VLOOKUP( APIF_Import!$M170 &amp; APIF_Import!$F$1,Podesavanja!$AA$3:$AD$24, 4, 0)), "", VLOOKUP( APIF_Import!$C170, INDIRECT( "Lookup_" &amp; APIF_Import!$M170), VLOOKUP( APIF_Import!$M170 &amp; APIF_Import!$F$1,Podesavanja!$AA$3:$AD$24, 4, 0), 0))</f>
        <v/>
      </c>
      <c r="G170" s="364" t="str">
        <f ca="1">IF( ISNA( VLOOKUP( APIF_Import!$M170 &amp; APIF_Import!$G$1,Podesavanja!$AA$3:$AD$24, 4, 0)), "", VLOOKUP( APIF_Import!$C170, INDIRECT( "Lookup_" &amp; APIF_Import!$M170), VLOOKUP( APIF_Import!$M170 &amp; APIF_Import!$G$1,Podesavanja!$AA$3:$AD$24, 4, 0), 0))</f>
        <v/>
      </c>
      <c r="H170" s="364" t="str">
        <f ca="1">IF( ISNA( VLOOKUP( APIF_Import!$M170 &amp; APIF_Import!$H$1,Podesavanja!$AA$3:$AD$24, 4, 0)), "", VLOOKUP( APIF_Import!$C170, INDIRECT( "Lookup_" &amp; APIF_Import!$M170), VLOOKUP( APIF_Import!$M170 &amp; APIF_Import!$H$1,Podesavanja!$AA$3:$AD$24, 4, 0), 0))</f>
        <v/>
      </c>
      <c r="I170" s="364" t="str">
        <f ca="1">IF( ISNA( VLOOKUP( APIF_Import!$M170 &amp; APIF_Import!$I$1,Podesavanja!$AA$3:$AD$24, 4, 0)), "", VLOOKUP( APIF_Import!$C170, INDIRECT( "Lookup_" &amp; APIF_Import!$M170), VLOOKUP( APIF_Import!$M170 &amp; APIF_Import!$I$1,Podesavanja!$AA$3:$AD$24, 4, 0), 0))</f>
        <v/>
      </c>
      <c r="J170" s="364" t="str">
        <f ca="1">IF( ISNA( VLOOKUP( APIF_Import!$M170 &amp; APIF_Import!$J$1,Podesavanja!$AA$3:$AD$24, 4, 0)), "", VLOOKUP( APIF_Import!$C170, INDIRECT( "Lookup_" &amp; APIF_Import!$M170), VLOOKUP( APIF_Import!$M170 &amp; APIF_Import!$J$1,Podesavanja!$AA$3:$AD$24, 4, 0), 0))</f>
        <v/>
      </c>
      <c r="K170" s="364" t="str">
        <f ca="1">IF( ISNA( VLOOKUP( APIF_Import!$M170 &amp; APIF_Import!$K$1,Podesavanja!$AA$3:$AD$24, 4, 0)), "", VLOOKUP( APIF_Import!$C170, INDIRECT( "Lookup_" &amp; APIF_Import!$M170), VLOOKUP( APIF_Import!$M170 &amp; APIF_Import!$K$1,Podesavanja!$AA$3:$AD$24, 4, 0), 0))</f>
        <v/>
      </c>
      <c r="L170" s="8">
        <v>173</v>
      </c>
      <c r="M170" s="8" t="s">
        <v>1497</v>
      </c>
    </row>
    <row r="171" spans="2:13" x14ac:dyDescent="0.2">
      <c r="B171" s="8">
        <f>VLOOKUP( APIF_Import!$M171, Podesavanja!$N$3:$Q$9, 4, 0)</f>
        <v>3</v>
      </c>
      <c r="C171" s="363">
        <f>VLOOKUP( APIF_Import!$L171, Aop!$A$2:$N$415, 4, 0)</f>
        <v>238</v>
      </c>
      <c r="D171" s="364" t="str">
        <f ca="1">IF( ISNA( VLOOKUP( APIF_Import!$M171 &amp; APIF_Import!$D$1,Podesavanja!$AA$3:$AD$24, 4, 0)), "", SUBSTITUTE( VALUE( VLOOKUP( APIF_Import!$C171, INDIRECT( "Lookup_" &amp; APIF_Import!$M171), VLOOKUP( APIF_Import!$M171 &amp; APIF_Import!$D$1,Podesavanja!$AA$3:$AD$24, 4, 0), 0)), ".", ","))</f>
        <v>112454</v>
      </c>
      <c r="E171" s="364" t="str">
        <f ca="1">IF( ISNA( VLOOKUP( APIF_Import!$M171 &amp; APIF_Import!$E$1,Podesavanja!$AA$3:$AD$24, 4, 0)), "", SUBSTITUTE( VALUE( VLOOKUP( APIF_Import!$C171, INDIRECT( "Lookup_" &amp; APIF_Import!$M171), VLOOKUP( APIF_Import!$M171 &amp; APIF_Import!$E$1,Podesavanja!$AA$3:$AD$24, 4, 0), 0)), ".", ","))</f>
        <v>137533</v>
      </c>
      <c r="F171" s="364" t="str">
        <f ca="1">IF( ISNA( VLOOKUP( APIF_Import!$M171 &amp; APIF_Import!$F$1,Podesavanja!$AA$3:$AD$24, 4, 0)), "", VLOOKUP( APIF_Import!$C171, INDIRECT( "Lookup_" &amp; APIF_Import!$M171), VLOOKUP( APIF_Import!$M171 &amp; APIF_Import!$F$1,Podesavanja!$AA$3:$AD$24, 4, 0), 0))</f>
        <v/>
      </c>
      <c r="G171" s="364" t="str">
        <f ca="1">IF( ISNA( VLOOKUP( APIF_Import!$M171 &amp; APIF_Import!$G$1,Podesavanja!$AA$3:$AD$24, 4, 0)), "", VLOOKUP( APIF_Import!$C171, INDIRECT( "Lookup_" &amp; APIF_Import!$M171), VLOOKUP( APIF_Import!$M171 &amp; APIF_Import!$G$1,Podesavanja!$AA$3:$AD$24, 4, 0), 0))</f>
        <v/>
      </c>
      <c r="H171" s="364" t="str">
        <f ca="1">IF( ISNA( VLOOKUP( APIF_Import!$M171 &amp; APIF_Import!$H$1,Podesavanja!$AA$3:$AD$24, 4, 0)), "", VLOOKUP( APIF_Import!$C171, INDIRECT( "Lookup_" &amp; APIF_Import!$M171), VLOOKUP( APIF_Import!$M171 &amp; APIF_Import!$H$1,Podesavanja!$AA$3:$AD$24, 4, 0), 0))</f>
        <v/>
      </c>
      <c r="I171" s="364" t="str">
        <f ca="1">IF( ISNA( VLOOKUP( APIF_Import!$M171 &amp; APIF_Import!$I$1,Podesavanja!$AA$3:$AD$24, 4, 0)), "", VLOOKUP( APIF_Import!$C171, INDIRECT( "Lookup_" &amp; APIF_Import!$M171), VLOOKUP( APIF_Import!$M171 &amp; APIF_Import!$I$1,Podesavanja!$AA$3:$AD$24, 4, 0), 0))</f>
        <v/>
      </c>
      <c r="J171" s="364" t="str">
        <f ca="1">IF( ISNA( VLOOKUP( APIF_Import!$M171 &amp; APIF_Import!$J$1,Podesavanja!$AA$3:$AD$24, 4, 0)), "", VLOOKUP( APIF_Import!$C171, INDIRECT( "Lookup_" &amp; APIF_Import!$M171), VLOOKUP( APIF_Import!$M171 &amp; APIF_Import!$J$1,Podesavanja!$AA$3:$AD$24, 4, 0), 0))</f>
        <v/>
      </c>
      <c r="K171" s="364" t="str">
        <f ca="1">IF( ISNA( VLOOKUP( APIF_Import!$M171 &amp; APIF_Import!$K$1,Podesavanja!$AA$3:$AD$24, 4, 0)), "", VLOOKUP( APIF_Import!$C171, INDIRECT( "Lookup_" &amp; APIF_Import!$M171), VLOOKUP( APIF_Import!$M171 &amp; APIF_Import!$K$1,Podesavanja!$AA$3:$AD$24, 4, 0), 0))</f>
        <v/>
      </c>
      <c r="L171" s="8">
        <v>174</v>
      </c>
      <c r="M171" s="8" t="s">
        <v>1497</v>
      </c>
    </row>
    <row r="172" spans="2:13" x14ac:dyDescent="0.2">
      <c r="B172" s="8">
        <f>VLOOKUP( APIF_Import!$M172, Podesavanja!$N$3:$Q$9, 4, 0)</f>
        <v>3</v>
      </c>
      <c r="C172" s="363">
        <f>VLOOKUP( APIF_Import!$L172, Aop!$A$2:$N$415, 4, 0)</f>
        <v>239</v>
      </c>
      <c r="D172" s="364" t="str">
        <f ca="1">IF( ISNA( VLOOKUP( APIF_Import!$M172 &amp; APIF_Import!$D$1,Podesavanja!$AA$3:$AD$24, 4, 0)), "", SUBSTITUTE( VALUE( VLOOKUP( APIF_Import!$C172, INDIRECT( "Lookup_" &amp; APIF_Import!$M172), VLOOKUP( APIF_Import!$M172 &amp; APIF_Import!$D$1,Podesavanja!$AA$3:$AD$24, 4, 0), 0)), ".", ","))</f>
        <v>0</v>
      </c>
      <c r="E172" s="364" t="str">
        <f ca="1">IF( ISNA( VLOOKUP( APIF_Import!$M172 &amp; APIF_Import!$E$1,Podesavanja!$AA$3:$AD$24, 4, 0)), "", SUBSTITUTE( VALUE( VLOOKUP( APIF_Import!$C172, INDIRECT( "Lookup_" &amp; APIF_Import!$M172), VLOOKUP( APIF_Import!$M172 &amp; APIF_Import!$E$1,Podesavanja!$AA$3:$AD$24, 4, 0), 0)), ".", ","))</f>
        <v>0</v>
      </c>
      <c r="F172" s="364" t="str">
        <f ca="1">IF( ISNA( VLOOKUP( APIF_Import!$M172 &amp; APIF_Import!$F$1,Podesavanja!$AA$3:$AD$24, 4, 0)), "", VLOOKUP( APIF_Import!$C172, INDIRECT( "Lookup_" &amp; APIF_Import!$M172), VLOOKUP( APIF_Import!$M172 &amp; APIF_Import!$F$1,Podesavanja!$AA$3:$AD$24, 4, 0), 0))</f>
        <v/>
      </c>
      <c r="G172" s="364" t="str">
        <f ca="1">IF( ISNA( VLOOKUP( APIF_Import!$M172 &amp; APIF_Import!$G$1,Podesavanja!$AA$3:$AD$24, 4, 0)), "", VLOOKUP( APIF_Import!$C172, INDIRECT( "Lookup_" &amp; APIF_Import!$M172), VLOOKUP( APIF_Import!$M172 &amp; APIF_Import!$G$1,Podesavanja!$AA$3:$AD$24, 4, 0), 0))</f>
        <v/>
      </c>
      <c r="H172" s="364" t="str">
        <f ca="1">IF( ISNA( VLOOKUP( APIF_Import!$M172 &amp; APIF_Import!$H$1,Podesavanja!$AA$3:$AD$24, 4, 0)), "", VLOOKUP( APIF_Import!$C172, INDIRECT( "Lookup_" &amp; APIF_Import!$M172), VLOOKUP( APIF_Import!$M172 &amp; APIF_Import!$H$1,Podesavanja!$AA$3:$AD$24, 4, 0), 0))</f>
        <v/>
      </c>
      <c r="I172" s="364" t="str">
        <f ca="1">IF( ISNA( VLOOKUP( APIF_Import!$M172 &amp; APIF_Import!$I$1,Podesavanja!$AA$3:$AD$24, 4, 0)), "", VLOOKUP( APIF_Import!$C172, INDIRECT( "Lookup_" &amp; APIF_Import!$M172), VLOOKUP( APIF_Import!$M172 &amp; APIF_Import!$I$1,Podesavanja!$AA$3:$AD$24, 4, 0), 0))</f>
        <v/>
      </c>
      <c r="J172" s="364" t="str">
        <f ca="1">IF( ISNA( VLOOKUP( APIF_Import!$M172 &amp; APIF_Import!$J$1,Podesavanja!$AA$3:$AD$24, 4, 0)), "", VLOOKUP( APIF_Import!$C172, INDIRECT( "Lookup_" &amp; APIF_Import!$M172), VLOOKUP( APIF_Import!$M172 &amp; APIF_Import!$J$1,Podesavanja!$AA$3:$AD$24, 4, 0), 0))</f>
        <v/>
      </c>
      <c r="K172" s="364" t="str">
        <f ca="1">IF( ISNA( VLOOKUP( APIF_Import!$M172 &amp; APIF_Import!$K$1,Podesavanja!$AA$3:$AD$24, 4, 0)), "", VLOOKUP( APIF_Import!$C172, INDIRECT( "Lookup_" &amp; APIF_Import!$M172), VLOOKUP( APIF_Import!$M172 &amp; APIF_Import!$K$1,Podesavanja!$AA$3:$AD$24, 4, 0), 0))</f>
        <v/>
      </c>
      <c r="L172" s="8">
        <v>175</v>
      </c>
      <c r="M172" s="8" t="s">
        <v>1497</v>
      </c>
    </row>
    <row r="173" spans="2:13" x14ac:dyDescent="0.2">
      <c r="B173" s="8">
        <f>VLOOKUP( APIF_Import!$M173, Podesavanja!$N$3:$Q$9, 4, 0)</f>
        <v>3</v>
      </c>
      <c r="C173" s="363">
        <f>VLOOKUP( APIF_Import!$L173, Aop!$A$2:$N$415, 4, 0)</f>
        <v>240</v>
      </c>
      <c r="D173" s="364" t="str">
        <f ca="1">IF( ISNA( VLOOKUP( APIF_Import!$M173 &amp; APIF_Import!$D$1,Podesavanja!$AA$3:$AD$24, 4, 0)), "", SUBSTITUTE( VALUE( VLOOKUP( APIF_Import!$C173, INDIRECT( "Lookup_" &amp; APIF_Import!$M173), VLOOKUP( APIF_Import!$M173 &amp; APIF_Import!$D$1,Podesavanja!$AA$3:$AD$24, 4, 0), 0)), ".", ","))</f>
        <v>104262</v>
      </c>
      <c r="E173" s="364" t="str">
        <f ca="1">IF( ISNA( VLOOKUP( APIF_Import!$M173 &amp; APIF_Import!$E$1,Podesavanja!$AA$3:$AD$24, 4, 0)), "", SUBSTITUTE( VALUE( VLOOKUP( APIF_Import!$C173, INDIRECT( "Lookup_" &amp; APIF_Import!$M173), VLOOKUP( APIF_Import!$M173 &amp; APIF_Import!$E$1,Podesavanja!$AA$3:$AD$24, 4, 0), 0)), ".", ","))</f>
        <v>125291</v>
      </c>
      <c r="F173" s="364" t="str">
        <f ca="1">IF( ISNA( VLOOKUP( APIF_Import!$M173 &amp; APIF_Import!$F$1,Podesavanja!$AA$3:$AD$24, 4, 0)), "", VLOOKUP( APIF_Import!$C173, INDIRECT( "Lookup_" &amp; APIF_Import!$M173), VLOOKUP( APIF_Import!$M173 &amp; APIF_Import!$F$1,Podesavanja!$AA$3:$AD$24, 4, 0), 0))</f>
        <v/>
      </c>
      <c r="G173" s="364" t="str">
        <f ca="1">IF( ISNA( VLOOKUP( APIF_Import!$M173 &amp; APIF_Import!$G$1,Podesavanja!$AA$3:$AD$24, 4, 0)), "", VLOOKUP( APIF_Import!$C173, INDIRECT( "Lookup_" &amp; APIF_Import!$M173), VLOOKUP( APIF_Import!$M173 &amp; APIF_Import!$G$1,Podesavanja!$AA$3:$AD$24, 4, 0), 0))</f>
        <v/>
      </c>
      <c r="H173" s="364" t="str">
        <f ca="1">IF( ISNA( VLOOKUP( APIF_Import!$M173 &amp; APIF_Import!$H$1,Podesavanja!$AA$3:$AD$24, 4, 0)), "", VLOOKUP( APIF_Import!$C173, INDIRECT( "Lookup_" &amp; APIF_Import!$M173), VLOOKUP( APIF_Import!$M173 &amp; APIF_Import!$H$1,Podesavanja!$AA$3:$AD$24, 4, 0), 0))</f>
        <v/>
      </c>
      <c r="I173" s="364" t="str">
        <f ca="1">IF( ISNA( VLOOKUP( APIF_Import!$M173 &amp; APIF_Import!$I$1,Podesavanja!$AA$3:$AD$24, 4, 0)), "", VLOOKUP( APIF_Import!$C173, INDIRECT( "Lookup_" &amp; APIF_Import!$M173), VLOOKUP( APIF_Import!$M173 &amp; APIF_Import!$I$1,Podesavanja!$AA$3:$AD$24, 4, 0), 0))</f>
        <v/>
      </c>
      <c r="J173" s="364" t="str">
        <f ca="1">IF( ISNA( VLOOKUP( APIF_Import!$M173 &amp; APIF_Import!$J$1,Podesavanja!$AA$3:$AD$24, 4, 0)), "", VLOOKUP( APIF_Import!$C173, INDIRECT( "Lookup_" &amp; APIF_Import!$M173), VLOOKUP( APIF_Import!$M173 &amp; APIF_Import!$J$1,Podesavanja!$AA$3:$AD$24, 4, 0), 0))</f>
        <v/>
      </c>
      <c r="K173" s="364" t="str">
        <f ca="1">IF( ISNA( VLOOKUP( APIF_Import!$M173 &amp; APIF_Import!$K$1,Podesavanja!$AA$3:$AD$24, 4, 0)), "", VLOOKUP( APIF_Import!$C173, INDIRECT( "Lookup_" &amp; APIF_Import!$M173), VLOOKUP( APIF_Import!$M173 &amp; APIF_Import!$K$1,Podesavanja!$AA$3:$AD$24, 4, 0), 0))</f>
        <v/>
      </c>
      <c r="L173" s="8">
        <v>176</v>
      </c>
      <c r="M173" s="8" t="s">
        <v>1497</v>
      </c>
    </row>
    <row r="174" spans="2:13" x14ac:dyDescent="0.2">
      <c r="B174" s="8">
        <f>VLOOKUP( APIF_Import!$M174, Podesavanja!$N$3:$Q$9, 4, 0)</f>
        <v>3</v>
      </c>
      <c r="C174" s="363">
        <f>VLOOKUP( APIF_Import!$L174, Aop!$A$2:$N$415, 4, 0)</f>
        <v>241</v>
      </c>
      <c r="D174" s="364" t="str">
        <f ca="1">IF( ISNA( VLOOKUP( APIF_Import!$M174 &amp; APIF_Import!$D$1,Podesavanja!$AA$3:$AD$24, 4, 0)), "", SUBSTITUTE( VALUE( VLOOKUP( APIF_Import!$C174, INDIRECT( "Lookup_" &amp; APIF_Import!$M174), VLOOKUP( APIF_Import!$M174 &amp; APIF_Import!$D$1,Podesavanja!$AA$3:$AD$24, 4, 0), 0)), ".", ","))</f>
        <v>8192</v>
      </c>
      <c r="E174" s="364" t="str">
        <f ca="1">IF( ISNA( VLOOKUP( APIF_Import!$M174 &amp; APIF_Import!$E$1,Podesavanja!$AA$3:$AD$24, 4, 0)), "", SUBSTITUTE( VALUE( VLOOKUP( APIF_Import!$C174, INDIRECT( "Lookup_" &amp; APIF_Import!$M174), VLOOKUP( APIF_Import!$M174 &amp; APIF_Import!$E$1,Podesavanja!$AA$3:$AD$24, 4, 0), 0)), ".", ","))</f>
        <v>12242</v>
      </c>
      <c r="F174" s="364" t="str">
        <f ca="1">IF( ISNA( VLOOKUP( APIF_Import!$M174 &amp; APIF_Import!$F$1,Podesavanja!$AA$3:$AD$24, 4, 0)), "", VLOOKUP( APIF_Import!$C174, INDIRECT( "Lookup_" &amp; APIF_Import!$M174), VLOOKUP( APIF_Import!$M174 &amp; APIF_Import!$F$1,Podesavanja!$AA$3:$AD$24, 4, 0), 0))</f>
        <v/>
      </c>
      <c r="G174" s="364" t="str">
        <f ca="1">IF( ISNA( VLOOKUP( APIF_Import!$M174 &amp; APIF_Import!$G$1,Podesavanja!$AA$3:$AD$24, 4, 0)), "", VLOOKUP( APIF_Import!$C174, INDIRECT( "Lookup_" &amp; APIF_Import!$M174), VLOOKUP( APIF_Import!$M174 &amp; APIF_Import!$G$1,Podesavanja!$AA$3:$AD$24, 4, 0), 0))</f>
        <v/>
      </c>
      <c r="H174" s="364" t="str">
        <f ca="1">IF( ISNA( VLOOKUP( APIF_Import!$M174 &amp; APIF_Import!$H$1,Podesavanja!$AA$3:$AD$24, 4, 0)), "", VLOOKUP( APIF_Import!$C174, INDIRECT( "Lookup_" &amp; APIF_Import!$M174), VLOOKUP( APIF_Import!$M174 &amp; APIF_Import!$H$1,Podesavanja!$AA$3:$AD$24, 4, 0), 0))</f>
        <v/>
      </c>
      <c r="I174" s="364" t="str">
        <f ca="1">IF( ISNA( VLOOKUP( APIF_Import!$M174 &amp; APIF_Import!$I$1,Podesavanja!$AA$3:$AD$24, 4, 0)), "", VLOOKUP( APIF_Import!$C174, INDIRECT( "Lookup_" &amp; APIF_Import!$M174), VLOOKUP( APIF_Import!$M174 &amp; APIF_Import!$I$1,Podesavanja!$AA$3:$AD$24, 4, 0), 0))</f>
        <v/>
      </c>
      <c r="J174" s="364" t="str">
        <f ca="1">IF( ISNA( VLOOKUP( APIF_Import!$M174 &amp; APIF_Import!$J$1,Podesavanja!$AA$3:$AD$24, 4, 0)), "", VLOOKUP( APIF_Import!$C174, INDIRECT( "Lookup_" &amp; APIF_Import!$M174), VLOOKUP( APIF_Import!$M174 &amp; APIF_Import!$J$1,Podesavanja!$AA$3:$AD$24, 4, 0), 0))</f>
        <v/>
      </c>
      <c r="K174" s="364" t="str">
        <f ca="1">IF( ISNA( VLOOKUP( APIF_Import!$M174 &amp; APIF_Import!$K$1,Podesavanja!$AA$3:$AD$24, 4, 0)), "", VLOOKUP( APIF_Import!$C174, INDIRECT( "Lookup_" &amp; APIF_Import!$M174), VLOOKUP( APIF_Import!$M174 &amp; APIF_Import!$K$1,Podesavanja!$AA$3:$AD$24, 4, 0), 0))</f>
        <v/>
      </c>
      <c r="L174" s="8">
        <v>177</v>
      </c>
      <c r="M174" s="8" t="s">
        <v>1497</v>
      </c>
    </row>
    <row r="175" spans="2:13" x14ac:dyDescent="0.2">
      <c r="B175" s="8">
        <f>VLOOKUP( APIF_Import!$M175, Podesavanja!$N$3:$Q$9, 4, 0)</f>
        <v>3</v>
      </c>
      <c r="C175" s="363">
        <f>VLOOKUP( APIF_Import!$L175, Aop!$A$2:$N$415, 4, 0)</f>
        <v>242</v>
      </c>
      <c r="D175" s="364" t="str">
        <f ca="1">IF( ISNA( VLOOKUP( APIF_Import!$M175 &amp; APIF_Import!$D$1,Podesavanja!$AA$3:$AD$24, 4, 0)), "", SUBSTITUTE( VALUE( VLOOKUP( APIF_Import!$C175, INDIRECT( "Lookup_" &amp; APIF_Import!$M175), VLOOKUP( APIF_Import!$M175 &amp; APIF_Import!$D$1,Podesavanja!$AA$3:$AD$24, 4, 0), 0)), ".", ","))</f>
        <v>0</v>
      </c>
      <c r="E175" s="364" t="str">
        <f ca="1">IF( ISNA( VLOOKUP( APIF_Import!$M175 &amp; APIF_Import!$E$1,Podesavanja!$AA$3:$AD$24, 4, 0)), "", SUBSTITUTE( VALUE( VLOOKUP( APIF_Import!$C175, INDIRECT( "Lookup_" &amp; APIF_Import!$M175), VLOOKUP( APIF_Import!$M175 &amp; APIF_Import!$E$1,Podesavanja!$AA$3:$AD$24, 4, 0), 0)), ".", ","))</f>
        <v>0</v>
      </c>
      <c r="F175" s="364" t="str">
        <f ca="1">IF( ISNA( VLOOKUP( APIF_Import!$M175 &amp; APIF_Import!$F$1,Podesavanja!$AA$3:$AD$24, 4, 0)), "", VLOOKUP( APIF_Import!$C175, INDIRECT( "Lookup_" &amp; APIF_Import!$M175), VLOOKUP( APIF_Import!$M175 &amp; APIF_Import!$F$1,Podesavanja!$AA$3:$AD$24, 4, 0), 0))</f>
        <v/>
      </c>
      <c r="G175" s="364" t="str">
        <f ca="1">IF( ISNA( VLOOKUP( APIF_Import!$M175 &amp; APIF_Import!$G$1,Podesavanja!$AA$3:$AD$24, 4, 0)), "", VLOOKUP( APIF_Import!$C175, INDIRECT( "Lookup_" &amp; APIF_Import!$M175), VLOOKUP( APIF_Import!$M175 &amp; APIF_Import!$G$1,Podesavanja!$AA$3:$AD$24, 4, 0), 0))</f>
        <v/>
      </c>
      <c r="H175" s="364" t="str">
        <f ca="1">IF( ISNA( VLOOKUP( APIF_Import!$M175 &amp; APIF_Import!$H$1,Podesavanja!$AA$3:$AD$24, 4, 0)), "", VLOOKUP( APIF_Import!$C175, INDIRECT( "Lookup_" &amp; APIF_Import!$M175), VLOOKUP( APIF_Import!$M175 &amp; APIF_Import!$H$1,Podesavanja!$AA$3:$AD$24, 4, 0), 0))</f>
        <v/>
      </c>
      <c r="I175" s="364" t="str">
        <f ca="1">IF( ISNA( VLOOKUP( APIF_Import!$M175 &amp; APIF_Import!$I$1,Podesavanja!$AA$3:$AD$24, 4, 0)), "", VLOOKUP( APIF_Import!$C175, INDIRECT( "Lookup_" &amp; APIF_Import!$M175), VLOOKUP( APIF_Import!$M175 &amp; APIF_Import!$I$1,Podesavanja!$AA$3:$AD$24, 4, 0), 0))</f>
        <v/>
      </c>
      <c r="J175" s="364" t="str">
        <f ca="1">IF( ISNA( VLOOKUP( APIF_Import!$M175 &amp; APIF_Import!$J$1,Podesavanja!$AA$3:$AD$24, 4, 0)), "", VLOOKUP( APIF_Import!$C175, INDIRECT( "Lookup_" &amp; APIF_Import!$M175), VLOOKUP( APIF_Import!$M175 &amp; APIF_Import!$J$1,Podesavanja!$AA$3:$AD$24, 4, 0), 0))</f>
        <v/>
      </c>
      <c r="K175" s="364" t="str">
        <f ca="1">IF( ISNA( VLOOKUP( APIF_Import!$M175 &amp; APIF_Import!$K$1,Podesavanja!$AA$3:$AD$24, 4, 0)), "", VLOOKUP( APIF_Import!$C175, INDIRECT( "Lookup_" &amp; APIF_Import!$M175), VLOOKUP( APIF_Import!$M175 &amp; APIF_Import!$K$1,Podesavanja!$AA$3:$AD$24, 4, 0), 0))</f>
        <v/>
      </c>
      <c r="L175" s="8">
        <v>178</v>
      </c>
      <c r="M175" s="8" t="s">
        <v>1497</v>
      </c>
    </row>
    <row r="176" spans="2:13" x14ac:dyDescent="0.2">
      <c r="B176" s="8">
        <f>VLOOKUP( APIF_Import!$M176, Podesavanja!$N$3:$Q$9, 4, 0)</f>
        <v>3</v>
      </c>
      <c r="C176" s="363">
        <f>VLOOKUP( APIF_Import!$L176, Aop!$A$2:$N$415, 4, 0)</f>
        <v>243</v>
      </c>
      <c r="D176" s="364" t="str">
        <f ca="1">IF( ISNA( VLOOKUP( APIF_Import!$M176 &amp; APIF_Import!$D$1,Podesavanja!$AA$3:$AD$24, 4, 0)), "", SUBSTITUTE( VALUE( VLOOKUP( APIF_Import!$C176, INDIRECT( "Lookup_" &amp; APIF_Import!$M176), VLOOKUP( APIF_Import!$M176 &amp; APIF_Import!$D$1,Podesavanja!$AA$3:$AD$24, 4, 0), 0)), ".", ","))</f>
        <v>0</v>
      </c>
      <c r="E176" s="364" t="str">
        <f ca="1">IF( ISNA( VLOOKUP( APIF_Import!$M176 &amp; APIF_Import!$E$1,Podesavanja!$AA$3:$AD$24, 4, 0)), "", SUBSTITUTE( VALUE( VLOOKUP( APIF_Import!$C176, INDIRECT( "Lookup_" &amp; APIF_Import!$M176), VLOOKUP( APIF_Import!$M176 &amp; APIF_Import!$E$1,Podesavanja!$AA$3:$AD$24, 4, 0), 0)), ".", ","))</f>
        <v>0</v>
      </c>
      <c r="F176" s="364" t="str">
        <f ca="1">IF( ISNA( VLOOKUP( APIF_Import!$M176 &amp; APIF_Import!$F$1,Podesavanja!$AA$3:$AD$24, 4, 0)), "", VLOOKUP( APIF_Import!$C176, INDIRECT( "Lookup_" &amp; APIF_Import!$M176), VLOOKUP( APIF_Import!$M176 &amp; APIF_Import!$F$1,Podesavanja!$AA$3:$AD$24, 4, 0), 0))</f>
        <v/>
      </c>
      <c r="G176" s="364" t="str">
        <f ca="1">IF( ISNA( VLOOKUP( APIF_Import!$M176 &amp; APIF_Import!$G$1,Podesavanja!$AA$3:$AD$24, 4, 0)), "", VLOOKUP( APIF_Import!$C176, INDIRECT( "Lookup_" &amp; APIF_Import!$M176), VLOOKUP( APIF_Import!$M176 &amp; APIF_Import!$G$1,Podesavanja!$AA$3:$AD$24, 4, 0), 0))</f>
        <v/>
      </c>
      <c r="H176" s="364" t="str">
        <f ca="1">IF( ISNA( VLOOKUP( APIF_Import!$M176 &amp; APIF_Import!$H$1,Podesavanja!$AA$3:$AD$24, 4, 0)), "", VLOOKUP( APIF_Import!$C176, INDIRECT( "Lookup_" &amp; APIF_Import!$M176), VLOOKUP( APIF_Import!$M176 &amp; APIF_Import!$H$1,Podesavanja!$AA$3:$AD$24, 4, 0), 0))</f>
        <v/>
      </c>
      <c r="I176" s="364" t="str">
        <f ca="1">IF( ISNA( VLOOKUP( APIF_Import!$M176 &amp; APIF_Import!$I$1,Podesavanja!$AA$3:$AD$24, 4, 0)), "", VLOOKUP( APIF_Import!$C176, INDIRECT( "Lookup_" &amp; APIF_Import!$M176), VLOOKUP( APIF_Import!$M176 &amp; APIF_Import!$I$1,Podesavanja!$AA$3:$AD$24, 4, 0), 0))</f>
        <v/>
      </c>
      <c r="J176" s="364" t="str">
        <f ca="1">IF( ISNA( VLOOKUP( APIF_Import!$M176 &amp; APIF_Import!$J$1,Podesavanja!$AA$3:$AD$24, 4, 0)), "", VLOOKUP( APIF_Import!$C176, INDIRECT( "Lookup_" &amp; APIF_Import!$M176), VLOOKUP( APIF_Import!$M176 &amp; APIF_Import!$J$1,Podesavanja!$AA$3:$AD$24, 4, 0), 0))</f>
        <v/>
      </c>
      <c r="K176" s="364" t="str">
        <f ca="1">IF( ISNA( VLOOKUP( APIF_Import!$M176 &amp; APIF_Import!$K$1,Podesavanja!$AA$3:$AD$24, 4, 0)), "", VLOOKUP( APIF_Import!$C176, INDIRECT( "Lookup_" &amp; APIF_Import!$M176), VLOOKUP( APIF_Import!$M176 &amp; APIF_Import!$K$1,Podesavanja!$AA$3:$AD$24, 4, 0), 0))</f>
        <v/>
      </c>
      <c r="L176" s="8">
        <v>179</v>
      </c>
      <c r="M176" s="8" t="s">
        <v>1497</v>
      </c>
    </row>
    <row r="177" spans="2:13" x14ac:dyDescent="0.2">
      <c r="B177" s="8">
        <f>VLOOKUP( APIF_Import!$M177, Podesavanja!$N$3:$Q$9, 4, 0)</f>
        <v>3</v>
      </c>
      <c r="C177" s="363">
        <f>VLOOKUP( APIF_Import!$L177, Aop!$A$2:$N$415, 4, 0)</f>
        <v>244</v>
      </c>
      <c r="D177" s="364" t="str">
        <f ca="1">IF( ISNA( VLOOKUP( APIF_Import!$M177 &amp; APIF_Import!$D$1,Podesavanja!$AA$3:$AD$24, 4, 0)), "", SUBSTITUTE( VALUE( VLOOKUP( APIF_Import!$C177, INDIRECT( "Lookup_" &amp; APIF_Import!$M177), VLOOKUP( APIF_Import!$M177 &amp; APIF_Import!$D$1,Podesavanja!$AA$3:$AD$24, 4, 0), 0)), ".", ","))</f>
        <v>621088</v>
      </c>
      <c r="E177" s="364" t="str">
        <f ca="1">IF( ISNA( VLOOKUP( APIF_Import!$M177 &amp; APIF_Import!$E$1,Podesavanja!$AA$3:$AD$24, 4, 0)), "", SUBSTITUTE( VALUE( VLOOKUP( APIF_Import!$C177, INDIRECT( "Lookup_" &amp; APIF_Import!$M177), VLOOKUP( APIF_Import!$M177 &amp; APIF_Import!$E$1,Podesavanja!$AA$3:$AD$24, 4, 0), 0)), ".", ","))</f>
        <v>42681</v>
      </c>
      <c r="F177" s="364" t="str">
        <f ca="1">IF( ISNA( VLOOKUP( APIF_Import!$M177 &amp; APIF_Import!$F$1,Podesavanja!$AA$3:$AD$24, 4, 0)), "", VLOOKUP( APIF_Import!$C177, INDIRECT( "Lookup_" &amp; APIF_Import!$M177), VLOOKUP( APIF_Import!$M177 &amp; APIF_Import!$F$1,Podesavanja!$AA$3:$AD$24, 4, 0), 0))</f>
        <v/>
      </c>
      <c r="G177" s="364" t="str">
        <f ca="1">IF( ISNA( VLOOKUP( APIF_Import!$M177 &amp; APIF_Import!$G$1,Podesavanja!$AA$3:$AD$24, 4, 0)), "", VLOOKUP( APIF_Import!$C177, INDIRECT( "Lookup_" &amp; APIF_Import!$M177), VLOOKUP( APIF_Import!$M177 &amp; APIF_Import!$G$1,Podesavanja!$AA$3:$AD$24, 4, 0), 0))</f>
        <v/>
      </c>
      <c r="H177" s="364" t="str">
        <f ca="1">IF( ISNA( VLOOKUP( APIF_Import!$M177 &amp; APIF_Import!$H$1,Podesavanja!$AA$3:$AD$24, 4, 0)), "", VLOOKUP( APIF_Import!$C177, INDIRECT( "Lookup_" &amp; APIF_Import!$M177), VLOOKUP( APIF_Import!$M177 &amp; APIF_Import!$H$1,Podesavanja!$AA$3:$AD$24, 4, 0), 0))</f>
        <v/>
      </c>
      <c r="I177" s="364" t="str">
        <f ca="1">IF( ISNA( VLOOKUP( APIF_Import!$M177 &amp; APIF_Import!$I$1,Podesavanja!$AA$3:$AD$24, 4, 0)), "", VLOOKUP( APIF_Import!$C177, INDIRECT( "Lookup_" &amp; APIF_Import!$M177), VLOOKUP( APIF_Import!$M177 &amp; APIF_Import!$I$1,Podesavanja!$AA$3:$AD$24, 4, 0), 0))</f>
        <v/>
      </c>
      <c r="J177" s="364" t="str">
        <f ca="1">IF( ISNA( VLOOKUP( APIF_Import!$M177 &amp; APIF_Import!$J$1,Podesavanja!$AA$3:$AD$24, 4, 0)), "", VLOOKUP( APIF_Import!$C177, INDIRECT( "Lookup_" &amp; APIF_Import!$M177), VLOOKUP( APIF_Import!$M177 &amp; APIF_Import!$J$1,Podesavanja!$AA$3:$AD$24, 4, 0), 0))</f>
        <v/>
      </c>
      <c r="K177" s="364" t="str">
        <f ca="1">IF( ISNA( VLOOKUP( APIF_Import!$M177 &amp; APIF_Import!$K$1,Podesavanja!$AA$3:$AD$24, 4, 0)), "", VLOOKUP( APIF_Import!$C177, INDIRECT( "Lookup_" &amp; APIF_Import!$M177), VLOOKUP( APIF_Import!$M177 &amp; APIF_Import!$K$1,Podesavanja!$AA$3:$AD$24, 4, 0), 0))</f>
        <v/>
      </c>
      <c r="L177" s="8">
        <v>180</v>
      </c>
      <c r="M177" s="8" t="s">
        <v>1497</v>
      </c>
    </row>
    <row r="178" spans="2:13" x14ac:dyDescent="0.2">
      <c r="B178" s="8">
        <f>VLOOKUP( APIF_Import!$M178, Podesavanja!$N$3:$Q$9, 4, 0)</f>
        <v>3</v>
      </c>
      <c r="C178" s="363">
        <f>VLOOKUP( APIF_Import!$L178, Aop!$A$2:$N$415, 4, 0)</f>
        <v>245</v>
      </c>
      <c r="D178" s="364" t="str">
        <f ca="1">IF( ISNA( VLOOKUP( APIF_Import!$M178 &amp; APIF_Import!$D$1,Podesavanja!$AA$3:$AD$24, 4, 0)), "", SUBSTITUTE( VALUE( VLOOKUP( APIF_Import!$C178, INDIRECT( "Lookup_" &amp; APIF_Import!$M178), VLOOKUP( APIF_Import!$M178 &amp; APIF_Import!$D$1,Podesavanja!$AA$3:$AD$24, 4, 0), 0)), ".", ","))</f>
        <v>0</v>
      </c>
      <c r="E178" s="364" t="str">
        <f ca="1">IF( ISNA( VLOOKUP( APIF_Import!$M178 &amp; APIF_Import!$E$1,Podesavanja!$AA$3:$AD$24, 4, 0)), "", SUBSTITUTE( VALUE( VLOOKUP( APIF_Import!$C178, INDIRECT( "Lookup_" &amp; APIF_Import!$M178), VLOOKUP( APIF_Import!$M178 &amp; APIF_Import!$E$1,Podesavanja!$AA$3:$AD$24, 4, 0), 0)), ".", ","))</f>
        <v>0</v>
      </c>
      <c r="F178" s="364" t="str">
        <f ca="1">IF( ISNA( VLOOKUP( APIF_Import!$M178 &amp; APIF_Import!$F$1,Podesavanja!$AA$3:$AD$24, 4, 0)), "", VLOOKUP( APIF_Import!$C178, INDIRECT( "Lookup_" &amp; APIF_Import!$M178), VLOOKUP( APIF_Import!$M178 &amp; APIF_Import!$F$1,Podesavanja!$AA$3:$AD$24, 4, 0), 0))</f>
        <v/>
      </c>
      <c r="G178" s="364" t="str">
        <f ca="1">IF( ISNA( VLOOKUP( APIF_Import!$M178 &amp; APIF_Import!$G$1,Podesavanja!$AA$3:$AD$24, 4, 0)), "", VLOOKUP( APIF_Import!$C178, INDIRECT( "Lookup_" &amp; APIF_Import!$M178), VLOOKUP( APIF_Import!$M178 &amp; APIF_Import!$G$1,Podesavanja!$AA$3:$AD$24, 4, 0), 0))</f>
        <v/>
      </c>
      <c r="H178" s="364" t="str">
        <f ca="1">IF( ISNA( VLOOKUP( APIF_Import!$M178 &amp; APIF_Import!$H$1,Podesavanja!$AA$3:$AD$24, 4, 0)), "", VLOOKUP( APIF_Import!$C178, INDIRECT( "Lookup_" &amp; APIF_Import!$M178), VLOOKUP( APIF_Import!$M178 &amp; APIF_Import!$H$1,Podesavanja!$AA$3:$AD$24, 4, 0), 0))</f>
        <v/>
      </c>
      <c r="I178" s="364" t="str">
        <f ca="1">IF( ISNA( VLOOKUP( APIF_Import!$M178 &amp; APIF_Import!$I$1,Podesavanja!$AA$3:$AD$24, 4, 0)), "", VLOOKUP( APIF_Import!$C178, INDIRECT( "Lookup_" &amp; APIF_Import!$M178), VLOOKUP( APIF_Import!$M178 &amp; APIF_Import!$I$1,Podesavanja!$AA$3:$AD$24, 4, 0), 0))</f>
        <v/>
      </c>
      <c r="J178" s="364" t="str">
        <f ca="1">IF( ISNA( VLOOKUP( APIF_Import!$M178 &amp; APIF_Import!$J$1,Podesavanja!$AA$3:$AD$24, 4, 0)), "", VLOOKUP( APIF_Import!$C178, INDIRECT( "Lookup_" &amp; APIF_Import!$M178), VLOOKUP( APIF_Import!$M178 &amp; APIF_Import!$J$1,Podesavanja!$AA$3:$AD$24, 4, 0), 0))</f>
        <v/>
      </c>
      <c r="K178" s="364" t="str">
        <f ca="1">IF( ISNA( VLOOKUP( APIF_Import!$M178 &amp; APIF_Import!$K$1,Podesavanja!$AA$3:$AD$24, 4, 0)), "", VLOOKUP( APIF_Import!$C178, INDIRECT( "Lookup_" &amp; APIF_Import!$M178), VLOOKUP( APIF_Import!$M178 &amp; APIF_Import!$K$1,Podesavanja!$AA$3:$AD$24, 4, 0), 0))</f>
        <v/>
      </c>
      <c r="L178" s="8">
        <v>181</v>
      </c>
      <c r="M178" s="8" t="s">
        <v>1497</v>
      </c>
    </row>
    <row r="179" spans="2:13" x14ac:dyDescent="0.2">
      <c r="B179" s="8">
        <f>VLOOKUP( APIF_Import!$M179, Podesavanja!$N$3:$Q$9, 4, 0)</f>
        <v>3</v>
      </c>
      <c r="C179" s="363">
        <f>VLOOKUP( APIF_Import!$L179, Aop!$A$2:$N$415, 4, 0)</f>
        <v>246</v>
      </c>
      <c r="D179" s="364" t="str">
        <f ca="1">IF( ISNA( VLOOKUP( APIF_Import!$M179 &amp; APIF_Import!$D$1,Podesavanja!$AA$3:$AD$24, 4, 0)), "", SUBSTITUTE( VALUE( VLOOKUP( APIF_Import!$C179, INDIRECT( "Lookup_" &amp; APIF_Import!$M179), VLOOKUP( APIF_Import!$M179 &amp; APIF_Import!$D$1,Podesavanja!$AA$3:$AD$24, 4, 0), 0)), ".", ","))</f>
        <v>1500</v>
      </c>
      <c r="E179" s="364" t="str">
        <f ca="1">IF( ISNA( VLOOKUP( APIF_Import!$M179 &amp; APIF_Import!$E$1,Podesavanja!$AA$3:$AD$24, 4, 0)), "", SUBSTITUTE( VALUE( VLOOKUP( APIF_Import!$C179, INDIRECT( "Lookup_" &amp; APIF_Import!$M179), VLOOKUP( APIF_Import!$M179 &amp; APIF_Import!$E$1,Podesavanja!$AA$3:$AD$24, 4, 0), 0)), ".", ","))</f>
        <v>24477</v>
      </c>
      <c r="F179" s="364" t="str">
        <f ca="1">IF( ISNA( VLOOKUP( APIF_Import!$M179 &amp; APIF_Import!$F$1,Podesavanja!$AA$3:$AD$24, 4, 0)), "", VLOOKUP( APIF_Import!$C179, INDIRECT( "Lookup_" &amp; APIF_Import!$M179), VLOOKUP( APIF_Import!$M179 &amp; APIF_Import!$F$1,Podesavanja!$AA$3:$AD$24, 4, 0), 0))</f>
        <v/>
      </c>
      <c r="G179" s="364" t="str">
        <f ca="1">IF( ISNA( VLOOKUP( APIF_Import!$M179 &amp; APIF_Import!$G$1,Podesavanja!$AA$3:$AD$24, 4, 0)), "", VLOOKUP( APIF_Import!$C179, INDIRECT( "Lookup_" &amp; APIF_Import!$M179), VLOOKUP( APIF_Import!$M179 &amp; APIF_Import!$G$1,Podesavanja!$AA$3:$AD$24, 4, 0), 0))</f>
        <v/>
      </c>
      <c r="H179" s="364" t="str">
        <f ca="1">IF( ISNA( VLOOKUP( APIF_Import!$M179 &amp; APIF_Import!$H$1,Podesavanja!$AA$3:$AD$24, 4, 0)), "", VLOOKUP( APIF_Import!$C179, INDIRECT( "Lookup_" &amp; APIF_Import!$M179), VLOOKUP( APIF_Import!$M179 &amp; APIF_Import!$H$1,Podesavanja!$AA$3:$AD$24, 4, 0), 0))</f>
        <v/>
      </c>
      <c r="I179" s="364" t="str">
        <f ca="1">IF( ISNA( VLOOKUP( APIF_Import!$M179 &amp; APIF_Import!$I$1,Podesavanja!$AA$3:$AD$24, 4, 0)), "", VLOOKUP( APIF_Import!$C179, INDIRECT( "Lookup_" &amp; APIF_Import!$M179), VLOOKUP( APIF_Import!$M179 &amp; APIF_Import!$I$1,Podesavanja!$AA$3:$AD$24, 4, 0), 0))</f>
        <v/>
      </c>
      <c r="J179" s="364" t="str">
        <f ca="1">IF( ISNA( VLOOKUP( APIF_Import!$M179 &amp; APIF_Import!$J$1,Podesavanja!$AA$3:$AD$24, 4, 0)), "", VLOOKUP( APIF_Import!$C179, INDIRECT( "Lookup_" &amp; APIF_Import!$M179), VLOOKUP( APIF_Import!$M179 &amp; APIF_Import!$J$1,Podesavanja!$AA$3:$AD$24, 4, 0), 0))</f>
        <v/>
      </c>
      <c r="K179" s="364" t="str">
        <f ca="1">IF( ISNA( VLOOKUP( APIF_Import!$M179 &amp; APIF_Import!$K$1,Podesavanja!$AA$3:$AD$24, 4, 0)), "", VLOOKUP( APIF_Import!$C179, INDIRECT( "Lookup_" &amp; APIF_Import!$M179), VLOOKUP( APIF_Import!$M179 &amp; APIF_Import!$K$1,Podesavanja!$AA$3:$AD$24, 4, 0), 0))</f>
        <v/>
      </c>
      <c r="L179" s="8">
        <v>183</v>
      </c>
      <c r="M179" s="8" t="s">
        <v>1497</v>
      </c>
    </row>
    <row r="180" spans="2:13" x14ac:dyDescent="0.2">
      <c r="B180" s="8">
        <f>VLOOKUP( APIF_Import!$M180, Podesavanja!$N$3:$Q$9, 4, 0)</f>
        <v>3</v>
      </c>
      <c r="C180" s="363">
        <f>VLOOKUP( APIF_Import!$L180, Aop!$A$2:$N$415, 4, 0)</f>
        <v>247</v>
      </c>
      <c r="D180" s="364" t="str">
        <f ca="1">IF( ISNA( VLOOKUP( APIF_Import!$M180 &amp; APIF_Import!$D$1,Podesavanja!$AA$3:$AD$24, 4, 0)), "", SUBSTITUTE( VALUE( VLOOKUP( APIF_Import!$C180, INDIRECT( "Lookup_" &amp; APIF_Import!$M180), VLOOKUP( APIF_Import!$M180 &amp; APIF_Import!$D$1,Podesavanja!$AA$3:$AD$24, 4, 0), 0)), ".", ","))</f>
        <v>1500</v>
      </c>
      <c r="E180" s="364" t="str">
        <f ca="1">IF( ISNA( VLOOKUP( APIF_Import!$M180 &amp; APIF_Import!$E$1,Podesavanja!$AA$3:$AD$24, 4, 0)), "", SUBSTITUTE( VALUE( VLOOKUP( APIF_Import!$C180, INDIRECT( "Lookup_" &amp; APIF_Import!$M180), VLOOKUP( APIF_Import!$M180 &amp; APIF_Import!$E$1,Podesavanja!$AA$3:$AD$24, 4, 0), 0)), ".", ","))</f>
        <v>24477</v>
      </c>
      <c r="F180" s="364" t="str">
        <f ca="1">IF( ISNA( VLOOKUP( APIF_Import!$M180 &amp; APIF_Import!$F$1,Podesavanja!$AA$3:$AD$24, 4, 0)), "", VLOOKUP( APIF_Import!$C180, INDIRECT( "Lookup_" &amp; APIF_Import!$M180), VLOOKUP( APIF_Import!$M180 &amp; APIF_Import!$F$1,Podesavanja!$AA$3:$AD$24, 4, 0), 0))</f>
        <v/>
      </c>
      <c r="G180" s="364" t="str">
        <f ca="1">IF( ISNA( VLOOKUP( APIF_Import!$M180 &amp; APIF_Import!$G$1,Podesavanja!$AA$3:$AD$24, 4, 0)), "", VLOOKUP( APIF_Import!$C180, INDIRECT( "Lookup_" &amp; APIF_Import!$M180), VLOOKUP( APIF_Import!$M180 &amp; APIF_Import!$G$1,Podesavanja!$AA$3:$AD$24, 4, 0), 0))</f>
        <v/>
      </c>
      <c r="H180" s="364" t="str">
        <f ca="1">IF( ISNA( VLOOKUP( APIF_Import!$M180 &amp; APIF_Import!$H$1,Podesavanja!$AA$3:$AD$24, 4, 0)), "", VLOOKUP( APIF_Import!$C180, INDIRECT( "Lookup_" &amp; APIF_Import!$M180), VLOOKUP( APIF_Import!$M180 &amp; APIF_Import!$H$1,Podesavanja!$AA$3:$AD$24, 4, 0), 0))</f>
        <v/>
      </c>
      <c r="I180" s="364" t="str">
        <f ca="1">IF( ISNA( VLOOKUP( APIF_Import!$M180 &amp; APIF_Import!$I$1,Podesavanja!$AA$3:$AD$24, 4, 0)), "", VLOOKUP( APIF_Import!$C180, INDIRECT( "Lookup_" &amp; APIF_Import!$M180), VLOOKUP( APIF_Import!$M180 &amp; APIF_Import!$I$1,Podesavanja!$AA$3:$AD$24, 4, 0), 0))</f>
        <v/>
      </c>
      <c r="J180" s="364" t="str">
        <f ca="1">IF( ISNA( VLOOKUP( APIF_Import!$M180 &amp; APIF_Import!$J$1,Podesavanja!$AA$3:$AD$24, 4, 0)), "", VLOOKUP( APIF_Import!$C180, INDIRECT( "Lookup_" &amp; APIF_Import!$M180), VLOOKUP( APIF_Import!$M180 &amp; APIF_Import!$J$1,Podesavanja!$AA$3:$AD$24, 4, 0), 0))</f>
        <v/>
      </c>
      <c r="K180" s="364" t="str">
        <f ca="1">IF( ISNA( VLOOKUP( APIF_Import!$M180 &amp; APIF_Import!$K$1,Podesavanja!$AA$3:$AD$24, 4, 0)), "", VLOOKUP( APIF_Import!$C180, INDIRECT( "Lookup_" &amp; APIF_Import!$M180), VLOOKUP( APIF_Import!$M180 &amp; APIF_Import!$K$1,Podesavanja!$AA$3:$AD$24, 4, 0), 0))</f>
        <v/>
      </c>
      <c r="L180" s="8">
        <v>184</v>
      </c>
      <c r="M180" s="8" t="s">
        <v>1497</v>
      </c>
    </row>
    <row r="181" spans="2:13" x14ac:dyDescent="0.2">
      <c r="B181" s="8">
        <f>VLOOKUP( APIF_Import!$M181, Podesavanja!$N$3:$Q$9, 4, 0)</f>
        <v>3</v>
      </c>
      <c r="C181" s="363">
        <f>VLOOKUP( APIF_Import!$L181, Aop!$A$2:$N$415, 4, 0)</f>
        <v>248</v>
      </c>
      <c r="D181" s="364" t="str">
        <f ca="1">IF( ISNA( VLOOKUP( APIF_Import!$M181 &amp; APIF_Import!$D$1,Podesavanja!$AA$3:$AD$24, 4, 0)), "", SUBSTITUTE( VALUE( VLOOKUP( APIF_Import!$C181, INDIRECT( "Lookup_" &amp; APIF_Import!$M181), VLOOKUP( APIF_Import!$M181 &amp; APIF_Import!$D$1,Podesavanja!$AA$3:$AD$24, 4, 0), 0)), ".", ","))</f>
        <v>0</v>
      </c>
      <c r="E181" s="364" t="str">
        <f ca="1">IF( ISNA( VLOOKUP( APIF_Import!$M181 &amp; APIF_Import!$E$1,Podesavanja!$AA$3:$AD$24, 4, 0)), "", SUBSTITUTE( VALUE( VLOOKUP( APIF_Import!$C181, INDIRECT( "Lookup_" &amp; APIF_Import!$M181), VLOOKUP( APIF_Import!$M181 &amp; APIF_Import!$E$1,Podesavanja!$AA$3:$AD$24, 4, 0), 0)), ".", ","))</f>
        <v>0</v>
      </c>
      <c r="F181" s="364" t="str">
        <f ca="1">IF( ISNA( VLOOKUP( APIF_Import!$M181 &amp; APIF_Import!$F$1,Podesavanja!$AA$3:$AD$24, 4, 0)), "", VLOOKUP( APIF_Import!$C181, INDIRECT( "Lookup_" &amp; APIF_Import!$M181), VLOOKUP( APIF_Import!$M181 &amp; APIF_Import!$F$1,Podesavanja!$AA$3:$AD$24, 4, 0), 0))</f>
        <v/>
      </c>
      <c r="G181" s="364" t="str">
        <f ca="1">IF( ISNA( VLOOKUP( APIF_Import!$M181 &amp; APIF_Import!$G$1,Podesavanja!$AA$3:$AD$24, 4, 0)), "", VLOOKUP( APIF_Import!$C181, INDIRECT( "Lookup_" &amp; APIF_Import!$M181), VLOOKUP( APIF_Import!$M181 &amp; APIF_Import!$G$1,Podesavanja!$AA$3:$AD$24, 4, 0), 0))</f>
        <v/>
      </c>
      <c r="H181" s="364" t="str">
        <f ca="1">IF( ISNA( VLOOKUP( APIF_Import!$M181 &amp; APIF_Import!$H$1,Podesavanja!$AA$3:$AD$24, 4, 0)), "", VLOOKUP( APIF_Import!$C181, INDIRECT( "Lookup_" &amp; APIF_Import!$M181), VLOOKUP( APIF_Import!$M181 &amp; APIF_Import!$H$1,Podesavanja!$AA$3:$AD$24, 4, 0), 0))</f>
        <v/>
      </c>
      <c r="I181" s="364" t="str">
        <f ca="1">IF( ISNA( VLOOKUP( APIF_Import!$M181 &amp; APIF_Import!$I$1,Podesavanja!$AA$3:$AD$24, 4, 0)), "", VLOOKUP( APIF_Import!$C181, INDIRECT( "Lookup_" &amp; APIF_Import!$M181), VLOOKUP( APIF_Import!$M181 &amp; APIF_Import!$I$1,Podesavanja!$AA$3:$AD$24, 4, 0), 0))</f>
        <v/>
      </c>
      <c r="J181" s="364" t="str">
        <f ca="1">IF( ISNA( VLOOKUP( APIF_Import!$M181 &amp; APIF_Import!$J$1,Podesavanja!$AA$3:$AD$24, 4, 0)), "", VLOOKUP( APIF_Import!$C181, INDIRECT( "Lookup_" &amp; APIF_Import!$M181), VLOOKUP( APIF_Import!$M181 &amp; APIF_Import!$J$1,Podesavanja!$AA$3:$AD$24, 4, 0), 0))</f>
        <v/>
      </c>
      <c r="K181" s="364" t="str">
        <f ca="1">IF( ISNA( VLOOKUP( APIF_Import!$M181 &amp; APIF_Import!$K$1,Podesavanja!$AA$3:$AD$24, 4, 0)), "", VLOOKUP( APIF_Import!$C181, INDIRECT( "Lookup_" &amp; APIF_Import!$M181), VLOOKUP( APIF_Import!$M181 &amp; APIF_Import!$K$1,Podesavanja!$AA$3:$AD$24, 4, 0), 0))</f>
        <v/>
      </c>
      <c r="L181" s="8">
        <v>185</v>
      </c>
      <c r="M181" s="8" t="s">
        <v>1497</v>
      </c>
    </row>
    <row r="182" spans="2:13" x14ac:dyDescent="0.2">
      <c r="B182" s="8">
        <f>VLOOKUP( APIF_Import!$M182, Podesavanja!$N$3:$Q$9, 4, 0)</f>
        <v>3</v>
      </c>
      <c r="C182" s="363">
        <f>VLOOKUP( APIF_Import!$L182, Aop!$A$2:$N$415, 4, 0)</f>
        <v>249</v>
      </c>
      <c r="D182" s="364" t="str">
        <f ca="1">IF( ISNA( VLOOKUP( APIF_Import!$M182 &amp; APIF_Import!$D$1,Podesavanja!$AA$3:$AD$24, 4, 0)), "", SUBSTITUTE( VALUE( VLOOKUP( APIF_Import!$C182, INDIRECT( "Lookup_" &amp; APIF_Import!$M182), VLOOKUP( APIF_Import!$M182 &amp; APIF_Import!$D$1,Podesavanja!$AA$3:$AD$24, 4, 0), 0)), ".", ","))</f>
        <v>0</v>
      </c>
      <c r="E182" s="364" t="str">
        <f ca="1">IF( ISNA( VLOOKUP( APIF_Import!$M182 &amp; APIF_Import!$E$1,Podesavanja!$AA$3:$AD$24, 4, 0)), "", SUBSTITUTE( VALUE( VLOOKUP( APIF_Import!$C182, INDIRECT( "Lookup_" &amp; APIF_Import!$M182), VLOOKUP( APIF_Import!$M182 &amp; APIF_Import!$E$1,Podesavanja!$AA$3:$AD$24, 4, 0), 0)), ".", ","))</f>
        <v>0</v>
      </c>
      <c r="F182" s="364" t="str">
        <f ca="1">IF( ISNA( VLOOKUP( APIF_Import!$M182 &amp; APIF_Import!$F$1,Podesavanja!$AA$3:$AD$24, 4, 0)), "", VLOOKUP( APIF_Import!$C182, INDIRECT( "Lookup_" &amp; APIF_Import!$M182), VLOOKUP( APIF_Import!$M182 &amp; APIF_Import!$F$1,Podesavanja!$AA$3:$AD$24, 4, 0), 0))</f>
        <v/>
      </c>
      <c r="G182" s="364" t="str">
        <f ca="1">IF( ISNA( VLOOKUP( APIF_Import!$M182 &amp; APIF_Import!$G$1,Podesavanja!$AA$3:$AD$24, 4, 0)), "", VLOOKUP( APIF_Import!$C182, INDIRECT( "Lookup_" &amp; APIF_Import!$M182), VLOOKUP( APIF_Import!$M182 &amp; APIF_Import!$G$1,Podesavanja!$AA$3:$AD$24, 4, 0), 0))</f>
        <v/>
      </c>
      <c r="H182" s="364" t="str">
        <f ca="1">IF( ISNA( VLOOKUP( APIF_Import!$M182 &amp; APIF_Import!$H$1,Podesavanja!$AA$3:$AD$24, 4, 0)), "", VLOOKUP( APIF_Import!$C182, INDIRECT( "Lookup_" &amp; APIF_Import!$M182), VLOOKUP( APIF_Import!$M182 &amp; APIF_Import!$H$1,Podesavanja!$AA$3:$AD$24, 4, 0), 0))</f>
        <v/>
      </c>
      <c r="I182" s="364" t="str">
        <f ca="1">IF( ISNA( VLOOKUP( APIF_Import!$M182 &amp; APIF_Import!$I$1,Podesavanja!$AA$3:$AD$24, 4, 0)), "", VLOOKUP( APIF_Import!$C182, INDIRECT( "Lookup_" &amp; APIF_Import!$M182), VLOOKUP( APIF_Import!$M182 &amp; APIF_Import!$I$1,Podesavanja!$AA$3:$AD$24, 4, 0), 0))</f>
        <v/>
      </c>
      <c r="J182" s="364" t="str">
        <f ca="1">IF( ISNA( VLOOKUP( APIF_Import!$M182 &amp; APIF_Import!$J$1,Podesavanja!$AA$3:$AD$24, 4, 0)), "", VLOOKUP( APIF_Import!$C182, INDIRECT( "Lookup_" &amp; APIF_Import!$M182), VLOOKUP( APIF_Import!$M182 &amp; APIF_Import!$J$1,Podesavanja!$AA$3:$AD$24, 4, 0), 0))</f>
        <v/>
      </c>
      <c r="K182" s="364" t="str">
        <f ca="1">IF( ISNA( VLOOKUP( APIF_Import!$M182 &amp; APIF_Import!$K$1,Podesavanja!$AA$3:$AD$24, 4, 0)), "", VLOOKUP( APIF_Import!$C182, INDIRECT( "Lookup_" &amp; APIF_Import!$M182), VLOOKUP( APIF_Import!$M182 &amp; APIF_Import!$K$1,Podesavanja!$AA$3:$AD$24, 4, 0), 0))</f>
        <v/>
      </c>
      <c r="L182" s="8">
        <v>186</v>
      </c>
      <c r="M182" s="8" t="s">
        <v>1497</v>
      </c>
    </row>
    <row r="183" spans="2:13" x14ac:dyDescent="0.2">
      <c r="B183" s="8">
        <f>VLOOKUP( APIF_Import!$M183, Podesavanja!$N$3:$Q$9, 4, 0)</f>
        <v>3</v>
      </c>
      <c r="C183" s="363">
        <f>VLOOKUP( APIF_Import!$L183, Aop!$A$2:$N$415, 4, 0)</f>
        <v>250</v>
      </c>
      <c r="D183" s="364" t="str">
        <f ca="1">IF( ISNA( VLOOKUP( APIF_Import!$M183 &amp; APIF_Import!$D$1,Podesavanja!$AA$3:$AD$24, 4, 0)), "", SUBSTITUTE( VALUE( VLOOKUP( APIF_Import!$C183, INDIRECT( "Lookup_" &amp; APIF_Import!$M183), VLOOKUP( APIF_Import!$M183 &amp; APIF_Import!$D$1,Podesavanja!$AA$3:$AD$24, 4, 0), 0)), ".", ","))</f>
        <v>0</v>
      </c>
      <c r="E183" s="364" t="str">
        <f ca="1">IF( ISNA( VLOOKUP( APIF_Import!$M183 &amp; APIF_Import!$E$1,Podesavanja!$AA$3:$AD$24, 4, 0)), "", SUBSTITUTE( VALUE( VLOOKUP( APIF_Import!$C183, INDIRECT( "Lookup_" &amp; APIF_Import!$M183), VLOOKUP( APIF_Import!$M183 &amp; APIF_Import!$E$1,Podesavanja!$AA$3:$AD$24, 4, 0), 0)), ".", ","))</f>
        <v>0</v>
      </c>
      <c r="F183" s="364" t="str">
        <f ca="1">IF( ISNA( VLOOKUP( APIF_Import!$M183 &amp; APIF_Import!$F$1,Podesavanja!$AA$3:$AD$24, 4, 0)), "", VLOOKUP( APIF_Import!$C183, INDIRECT( "Lookup_" &amp; APIF_Import!$M183), VLOOKUP( APIF_Import!$M183 &amp; APIF_Import!$F$1,Podesavanja!$AA$3:$AD$24, 4, 0), 0))</f>
        <v/>
      </c>
      <c r="G183" s="364" t="str">
        <f ca="1">IF( ISNA( VLOOKUP( APIF_Import!$M183 &amp; APIF_Import!$G$1,Podesavanja!$AA$3:$AD$24, 4, 0)), "", VLOOKUP( APIF_Import!$C183, INDIRECT( "Lookup_" &amp; APIF_Import!$M183), VLOOKUP( APIF_Import!$M183 &amp; APIF_Import!$G$1,Podesavanja!$AA$3:$AD$24, 4, 0), 0))</f>
        <v/>
      </c>
      <c r="H183" s="364" t="str">
        <f ca="1">IF( ISNA( VLOOKUP( APIF_Import!$M183 &amp; APIF_Import!$H$1,Podesavanja!$AA$3:$AD$24, 4, 0)), "", VLOOKUP( APIF_Import!$C183, INDIRECT( "Lookup_" &amp; APIF_Import!$M183), VLOOKUP( APIF_Import!$M183 &amp; APIF_Import!$H$1,Podesavanja!$AA$3:$AD$24, 4, 0), 0))</f>
        <v/>
      </c>
      <c r="I183" s="364" t="str">
        <f ca="1">IF( ISNA( VLOOKUP( APIF_Import!$M183 &amp; APIF_Import!$I$1,Podesavanja!$AA$3:$AD$24, 4, 0)), "", VLOOKUP( APIF_Import!$C183, INDIRECT( "Lookup_" &amp; APIF_Import!$M183), VLOOKUP( APIF_Import!$M183 &amp; APIF_Import!$I$1,Podesavanja!$AA$3:$AD$24, 4, 0), 0))</f>
        <v/>
      </c>
      <c r="J183" s="364" t="str">
        <f ca="1">IF( ISNA( VLOOKUP( APIF_Import!$M183 &amp; APIF_Import!$J$1,Podesavanja!$AA$3:$AD$24, 4, 0)), "", VLOOKUP( APIF_Import!$C183, INDIRECT( "Lookup_" &amp; APIF_Import!$M183), VLOOKUP( APIF_Import!$M183 &amp; APIF_Import!$J$1,Podesavanja!$AA$3:$AD$24, 4, 0), 0))</f>
        <v/>
      </c>
      <c r="K183" s="364" t="str">
        <f ca="1">IF( ISNA( VLOOKUP( APIF_Import!$M183 &amp; APIF_Import!$K$1,Podesavanja!$AA$3:$AD$24, 4, 0)), "", VLOOKUP( APIF_Import!$C183, INDIRECT( "Lookup_" &amp; APIF_Import!$M183), VLOOKUP( APIF_Import!$M183 &amp; APIF_Import!$K$1,Podesavanja!$AA$3:$AD$24, 4, 0), 0))</f>
        <v/>
      </c>
      <c r="L183" s="8">
        <v>187</v>
      </c>
      <c r="M183" s="8" t="s">
        <v>1497</v>
      </c>
    </row>
    <row r="184" spans="2:13" x14ac:dyDescent="0.2">
      <c r="B184" s="8">
        <f>VLOOKUP( APIF_Import!$M184, Podesavanja!$N$3:$Q$9, 4, 0)</f>
        <v>3</v>
      </c>
      <c r="C184" s="363">
        <f>VLOOKUP( APIF_Import!$L184, Aop!$A$2:$N$415, 4, 0)</f>
        <v>251</v>
      </c>
      <c r="D184" s="364" t="str">
        <f ca="1">IF( ISNA( VLOOKUP( APIF_Import!$M184 &amp; APIF_Import!$D$1,Podesavanja!$AA$3:$AD$24, 4, 0)), "", SUBSTITUTE( VALUE( VLOOKUP( APIF_Import!$C184, INDIRECT( "Lookup_" &amp; APIF_Import!$M184), VLOOKUP( APIF_Import!$M184 &amp; APIF_Import!$D$1,Podesavanja!$AA$3:$AD$24, 4, 0), 0)), ".", ","))</f>
        <v>0</v>
      </c>
      <c r="E184" s="364" t="str">
        <f ca="1">IF( ISNA( VLOOKUP( APIF_Import!$M184 &amp; APIF_Import!$E$1,Podesavanja!$AA$3:$AD$24, 4, 0)), "", SUBSTITUTE( VALUE( VLOOKUP( APIF_Import!$C184, INDIRECT( "Lookup_" &amp; APIF_Import!$M184), VLOOKUP( APIF_Import!$M184 &amp; APIF_Import!$E$1,Podesavanja!$AA$3:$AD$24, 4, 0), 0)), ".", ","))</f>
        <v>0</v>
      </c>
      <c r="F184" s="364" t="str">
        <f ca="1">IF( ISNA( VLOOKUP( APIF_Import!$M184 &amp; APIF_Import!$F$1,Podesavanja!$AA$3:$AD$24, 4, 0)), "", VLOOKUP( APIF_Import!$C184, INDIRECT( "Lookup_" &amp; APIF_Import!$M184), VLOOKUP( APIF_Import!$M184 &amp; APIF_Import!$F$1,Podesavanja!$AA$3:$AD$24, 4, 0), 0))</f>
        <v/>
      </c>
      <c r="G184" s="364" t="str">
        <f ca="1">IF( ISNA( VLOOKUP( APIF_Import!$M184 &amp; APIF_Import!$G$1,Podesavanja!$AA$3:$AD$24, 4, 0)), "", VLOOKUP( APIF_Import!$C184, INDIRECT( "Lookup_" &amp; APIF_Import!$M184), VLOOKUP( APIF_Import!$M184 &amp; APIF_Import!$G$1,Podesavanja!$AA$3:$AD$24, 4, 0), 0))</f>
        <v/>
      </c>
      <c r="H184" s="364" t="str">
        <f ca="1">IF( ISNA( VLOOKUP( APIF_Import!$M184 &amp; APIF_Import!$H$1,Podesavanja!$AA$3:$AD$24, 4, 0)), "", VLOOKUP( APIF_Import!$C184, INDIRECT( "Lookup_" &amp; APIF_Import!$M184), VLOOKUP( APIF_Import!$M184 &amp; APIF_Import!$H$1,Podesavanja!$AA$3:$AD$24, 4, 0), 0))</f>
        <v/>
      </c>
      <c r="I184" s="364" t="str">
        <f ca="1">IF( ISNA( VLOOKUP( APIF_Import!$M184 &amp; APIF_Import!$I$1,Podesavanja!$AA$3:$AD$24, 4, 0)), "", VLOOKUP( APIF_Import!$C184, INDIRECT( "Lookup_" &amp; APIF_Import!$M184), VLOOKUP( APIF_Import!$M184 &amp; APIF_Import!$I$1,Podesavanja!$AA$3:$AD$24, 4, 0), 0))</f>
        <v/>
      </c>
      <c r="J184" s="364" t="str">
        <f ca="1">IF( ISNA( VLOOKUP( APIF_Import!$M184 &amp; APIF_Import!$J$1,Podesavanja!$AA$3:$AD$24, 4, 0)), "", VLOOKUP( APIF_Import!$C184, INDIRECT( "Lookup_" &amp; APIF_Import!$M184), VLOOKUP( APIF_Import!$M184 &amp; APIF_Import!$J$1,Podesavanja!$AA$3:$AD$24, 4, 0), 0))</f>
        <v/>
      </c>
      <c r="K184" s="364" t="str">
        <f ca="1">IF( ISNA( VLOOKUP( APIF_Import!$M184 &amp; APIF_Import!$K$1,Podesavanja!$AA$3:$AD$24, 4, 0)), "", VLOOKUP( APIF_Import!$C184, INDIRECT( "Lookup_" &amp; APIF_Import!$M184), VLOOKUP( APIF_Import!$M184 &amp; APIF_Import!$K$1,Podesavanja!$AA$3:$AD$24, 4, 0), 0))</f>
        <v/>
      </c>
      <c r="L184" s="8">
        <v>188</v>
      </c>
      <c r="M184" s="8" t="s">
        <v>1497</v>
      </c>
    </row>
    <row r="185" spans="2:13" x14ac:dyDescent="0.2">
      <c r="B185" s="8">
        <f>VLOOKUP( APIF_Import!$M185, Podesavanja!$N$3:$Q$9, 4, 0)</f>
        <v>3</v>
      </c>
      <c r="C185" s="363">
        <f>VLOOKUP( APIF_Import!$L185, Aop!$A$2:$N$415, 4, 0)</f>
        <v>252</v>
      </c>
      <c r="D185" s="364" t="str">
        <f ca="1">IF( ISNA( VLOOKUP( APIF_Import!$M185 &amp; APIF_Import!$D$1,Podesavanja!$AA$3:$AD$24, 4, 0)), "", SUBSTITUTE( VALUE( VLOOKUP( APIF_Import!$C185, INDIRECT( "Lookup_" &amp; APIF_Import!$M185), VLOOKUP( APIF_Import!$M185 &amp; APIF_Import!$D$1,Podesavanja!$AA$3:$AD$24, 4, 0), 0)), ".", ","))</f>
        <v>0</v>
      </c>
      <c r="E185" s="364" t="str">
        <f ca="1">IF( ISNA( VLOOKUP( APIF_Import!$M185 &amp; APIF_Import!$E$1,Podesavanja!$AA$3:$AD$24, 4, 0)), "", SUBSTITUTE( VALUE( VLOOKUP( APIF_Import!$C185, INDIRECT( "Lookup_" &amp; APIF_Import!$M185), VLOOKUP( APIF_Import!$M185 &amp; APIF_Import!$E$1,Podesavanja!$AA$3:$AD$24, 4, 0), 0)), ".", ","))</f>
        <v>0</v>
      </c>
      <c r="F185" s="364" t="str">
        <f ca="1">IF( ISNA( VLOOKUP( APIF_Import!$M185 &amp; APIF_Import!$F$1,Podesavanja!$AA$3:$AD$24, 4, 0)), "", VLOOKUP( APIF_Import!$C185, INDIRECT( "Lookup_" &amp; APIF_Import!$M185), VLOOKUP( APIF_Import!$M185 &amp; APIF_Import!$F$1,Podesavanja!$AA$3:$AD$24, 4, 0), 0))</f>
        <v/>
      </c>
      <c r="G185" s="364" t="str">
        <f ca="1">IF( ISNA( VLOOKUP( APIF_Import!$M185 &amp; APIF_Import!$G$1,Podesavanja!$AA$3:$AD$24, 4, 0)), "", VLOOKUP( APIF_Import!$C185, INDIRECT( "Lookup_" &amp; APIF_Import!$M185), VLOOKUP( APIF_Import!$M185 &amp; APIF_Import!$G$1,Podesavanja!$AA$3:$AD$24, 4, 0), 0))</f>
        <v/>
      </c>
      <c r="H185" s="364" t="str">
        <f ca="1">IF( ISNA( VLOOKUP( APIF_Import!$M185 &amp; APIF_Import!$H$1,Podesavanja!$AA$3:$AD$24, 4, 0)), "", VLOOKUP( APIF_Import!$C185, INDIRECT( "Lookup_" &amp; APIF_Import!$M185), VLOOKUP( APIF_Import!$M185 &amp; APIF_Import!$H$1,Podesavanja!$AA$3:$AD$24, 4, 0), 0))</f>
        <v/>
      </c>
      <c r="I185" s="364" t="str">
        <f ca="1">IF( ISNA( VLOOKUP( APIF_Import!$M185 &amp; APIF_Import!$I$1,Podesavanja!$AA$3:$AD$24, 4, 0)), "", VLOOKUP( APIF_Import!$C185, INDIRECT( "Lookup_" &amp; APIF_Import!$M185), VLOOKUP( APIF_Import!$M185 &amp; APIF_Import!$I$1,Podesavanja!$AA$3:$AD$24, 4, 0), 0))</f>
        <v/>
      </c>
      <c r="J185" s="364" t="str">
        <f ca="1">IF( ISNA( VLOOKUP( APIF_Import!$M185 &amp; APIF_Import!$J$1,Podesavanja!$AA$3:$AD$24, 4, 0)), "", VLOOKUP( APIF_Import!$C185, INDIRECT( "Lookup_" &amp; APIF_Import!$M185), VLOOKUP( APIF_Import!$M185 &amp; APIF_Import!$J$1,Podesavanja!$AA$3:$AD$24, 4, 0), 0))</f>
        <v/>
      </c>
      <c r="K185" s="364" t="str">
        <f ca="1">IF( ISNA( VLOOKUP( APIF_Import!$M185 &amp; APIF_Import!$K$1,Podesavanja!$AA$3:$AD$24, 4, 0)), "", VLOOKUP( APIF_Import!$C185, INDIRECT( "Lookup_" &amp; APIF_Import!$M185), VLOOKUP( APIF_Import!$M185 &amp; APIF_Import!$K$1,Podesavanja!$AA$3:$AD$24, 4, 0), 0))</f>
        <v/>
      </c>
      <c r="L185" s="8">
        <v>189</v>
      </c>
      <c r="M185" s="8" t="s">
        <v>1497</v>
      </c>
    </row>
    <row r="186" spans="2:13" x14ac:dyDescent="0.2">
      <c r="B186" s="8">
        <f>VLOOKUP( APIF_Import!$M186, Podesavanja!$N$3:$Q$9, 4, 0)</f>
        <v>3</v>
      </c>
      <c r="C186" s="363">
        <f>VLOOKUP( APIF_Import!$L186, Aop!$A$2:$N$415, 4, 0)</f>
        <v>253</v>
      </c>
      <c r="D186" s="364" t="str">
        <f ca="1">IF( ISNA( VLOOKUP( APIF_Import!$M186 &amp; APIF_Import!$D$1,Podesavanja!$AA$3:$AD$24, 4, 0)), "", SUBSTITUTE( VALUE( VLOOKUP( APIF_Import!$C186, INDIRECT( "Lookup_" &amp; APIF_Import!$M186), VLOOKUP( APIF_Import!$M186 &amp; APIF_Import!$D$1,Podesavanja!$AA$3:$AD$24, 4, 0), 0)), ".", ","))</f>
        <v>0</v>
      </c>
      <c r="E186" s="364" t="str">
        <f ca="1">IF( ISNA( VLOOKUP( APIF_Import!$M186 &amp; APIF_Import!$E$1,Podesavanja!$AA$3:$AD$24, 4, 0)), "", SUBSTITUTE( VALUE( VLOOKUP( APIF_Import!$C186, INDIRECT( "Lookup_" &amp; APIF_Import!$M186), VLOOKUP( APIF_Import!$M186 &amp; APIF_Import!$E$1,Podesavanja!$AA$3:$AD$24, 4, 0), 0)), ".", ","))</f>
        <v>0</v>
      </c>
      <c r="F186" s="364" t="str">
        <f ca="1">IF( ISNA( VLOOKUP( APIF_Import!$M186 &amp; APIF_Import!$F$1,Podesavanja!$AA$3:$AD$24, 4, 0)), "", VLOOKUP( APIF_Import!$C186, INDIRECT( "Lookup_" &amp; APIF_Import!$M186), VLOOKUP( APIF_Import!$M186 &amp; APIF_Import!$F$1,Podesavanja!$AA$3:$AD$24, 4, 0), 0))</f>
        <v/>
      </c>
      <c r="G186" s="364" t="str">
        <f ca="1">IF( ISNA( VLOOKUP( APIF_Import!$M186 &amp; APIF_Import!$G$1,Podesavanja!$AA$3:$AD$24, 4, 0)), "", VLOOKUP( APIF_Import!$C186, INDIRECT( "Lookup_" &amp; APIF_Import!$M186), VLOOKUP( APIF_Import!$M186 &amp; APIF_Import!$G$1,Podesavanja!$AA$3:$AD$24, 4, 0), 0))</f>
        <v/>
      </c>
      <c r="H186" s="364" t="str">
        <f ca="1">IF( ISNA( VLOOKUP( APIF_Import!$M186 &amp; APIF_Import!$H$1,Podesavanja!$AA$3:$AD$24, 4, 0)), "", VLOOKUP( APIF_Import!$C186, INDIRECT( "Lookup_" &amp; APIF_Import!$M186), VLOOKUP( APIF_Import!$M186 &amp; APIF_Import!$H$1,Podesavanja!$AA$3:$AD$24, 4, 0), 0))</f>
        <v/>
      </c>
      <c r="I186" s="364" t="str">
        <f ca="1">IF( ISNA( VLOOKUP( APIF_Import!$M186 &amp; APIF_Import!$I$1,Podesavanja!$AA$3:$AD$24, 4, 0)), "", VLOOKUP( APIF_Import!$C186, INDIRECT( "Lookup_" &amp; APIF_Import!$M186), VLOOKUP( APIF_Import!$M186 &amp; APIF_Import!$I$1,Podesavanja!$AA$3:$AD$24, 4, 0), 0))</f>
        <v/>
      </c>
      <c r="J186" s="364" t="str">
        <f ca="1">IF( ISNA( VLOOKUP( APIF_Import!$M186 &amp; APIF_Import!$J$1,Podesavanja!$AA$3:$AD$24, 4, 0)), "", VLOOKUP( APIF_Import!$C186, INDIRECT( "Lookup_" &amp; APIF_Import!$M186), VLOOKUP( APIF_Import!$M186 &amp; APIF_Import!$J$1,Podesavanja!$AA$3:$AD$24, 4, 0), 0))</f>
        <v/>
      </c>
      <c r="K186" s="364" t="str">
        <f ca="1">IF( ISNA( VLOOKUP( APIF_Import!$M186 &amp; APIF_Import!$K$1,Podesavanja!$AA$3:$AD$24, 4, 0)), "", VLOOKUP( APIF_Import!$C186, INDIRECT( "Lookup_" &amp; APIF_Import!$M186), VLOOKUP( APIF_Import!$M186 &amp; APIF_Import!$K$1,Podesavanja!$AA$3:$AD$24, 4, 0), 0))</f>
        <v/>
      </c>
      <c r="L186" s="8">
        <v>190</v>
      </c>
      <c r="M186" s="8" t="s">
        <v>1497</v>
      </c>
    </row>
    <row r="187" spans="2:13" x14ac:dyDescent="0.2">
      <c r="B187" s="8">
        <f>VLOOKUP( APIF_Import!$M187, Podesavanja!$N$3:$Q$9, 4, 0)</f>
        <v>3</v>
      </c>
      <c r="C187" s="363">
        <f>VLOOKUP( APIF_Import!$L187, Aop!$A$2:$N$415, 4, 0)</f>
        <v>254</v>
      </c>
      <c r="D187" s="364" t="str">
        <f ca="1">IF( ISNA( VLOOKUP( APIF_Import!$M187 &amp; APIF_Import!$D$1,Podesavanja!$AA$3:$AD$24, 4, 0)), "", SUBSTITUTE( VALUE( VLOOKUP( APIF_Import!$C187, INDIRECT( "Lookup_" &amp; APIF_Import!$M187), VLOOKUP( APIF_Import!$M187 &amp; APIF_Import!$D$1,Podesavanja!$AA$3:$AD$24, 4, 0), 0)), ".", ","))</f>
        <v>0</v>
      </c>
      <c r="E187" s="364" t="str">
        <f ca="1">IF( ISNA( VLOOKUP( APIF_Import!$M187 &amp; APIF_Import!$E$1,Podesavanja!$AA$3:$AD$24, 4, 0)), "", SUBSTITUTE( VALUE( VLOOKUP( APIF_Import!$C187, INDIRECT( "Lookup_" &amp; APIF_Import!$M187), VLOOKUP( APIF_Import!$M187 &amp; APIF_Import!$E$1,Podesavanja!$AA$3:$AD$24, 4, 0), 0)), ".", ","))</f>
        <v>0</v>
      </c>
      <c r="F187" s="364" t="str">
        <f ca="1">IF( ISNA( VLOOKUP( APIF_Import!$M187 &amp; APIF_Import!$F$1,Podesavanja!$AA$3:$AD$24, 4, 0)), "", VLOOKUP( APIF_Import!$C187, INDIRECT( "Lookup_" &amp; APIF_Import!$M187), VLOOKUP( APIF_Import!$M187 &amp; APIF_Import!$F$1,Podesavanja!$AA$3:$AD$24, 4, 0), 0))</f>
        <v/>
      </c>
      <c r="G187" s="364" t="str">
        <f ca="1">IF( ISNA( VLOOKUP( APIF_Import!$M187 &amp; APIF_Import!$G$1,Podesavanja!$AA$3:$AD$24, 4, 0)), "", VLOOKUP( APIF_Import!$C187, INDIRECT( "Lookup_" &amp; APIF_Import!$M187), VLOOKUP( APIF_Import!$M187 &amp; APIF_Import!$G$1,Podesavanja!$AA$3:$AD$24, 4, 0), 0))</f>
        <v/>
      </c>
      <c r="H187" s="364" t="str">
        <f ca="1">IF( ISNA( VLOOKUP( APIF_Import!$M187 &amp; APIF_Import!$H$1,Podesavanja!$AA$3:$AD$24, 4, 0)), "", VLOOKUP( APIF_Import!$C187, INDIRECT( "Lookup_" &amp; APIF_Import!$M187), VLOOKUP( APIF_Import!$M187 &amp; APIF_Import!$H$1,Podesavanja!$AA$3:$AD$24, 4, 0), 0))</f>
        <v/>
      </c>
      <c r="I187" s="364" t="str">
        <f ca="1">IF( ISNA( VLOOKUP( APIF_Import!$M187 &amp; APIF_Import!$I$1,Podesavanja!$AA$3:$AD$24, 4, 0)), "", VLOOKUP( APIF_Import!$C187, INDIRECT( "Lookup_" &amp; APIF_Import!$M187), VLOOKUP( APIF_Import!$M187 &amp; APIF_Import!$I$1,Podesavanja!$AA$3:$AD$24, 4, 0), 0))</f>
        <v/>
      </c>
      <c r="J187" s="364" t="str">
        <f ca="1">IF( ISNA( VLOOKUP( APIF_Import!$M187 &amp; APIF_Import!$J$1,Podesavanja!$AA$3:$AD$24, 4, 0)), "", VLOOKUP( APIF_Import!$C187, INDIRECT( "Lookup_" &amp; APIF_Import!$M187), VLOOKUP( APIF_Import!$M187 &amp; APIF_Import!$J$1,Podesavanja!$AA$3:$AD$24, 4, 0), 0))</f>
        <v/>
      </c>
      <c r="K187" s="364" t="str">
        <f ca="1">IF( ISNA( VLOOKUP( APIF_Import!$M187 &amp; APIF_Import!$K$1,Podesavanja!$AA$3:$AD$24, 4, 0)), "", VLOOKUP( APIF_Import!$C187, INDIRECT( "Lookup_" &amp; APIF_Import!$M187), VLOOKUP( APIF_Import!$M187 &amp; APIF_Import!$K$1,Podesavanja!$AA$3:$AD$24, 4, 0), 0))</f>
        <v/>
      </c>
      <c r="L187" s="8">
        <v>191</v>
      </c>
      <c r="M187" s="8" t="s">
        <v>1497</v>
      </c>
    </row>
    <row r="188" spans="2:13" x14ac:dyDescent="0.2">
      <c r="B188" s="8">
        <f>VLOOKUP( APIF_Import!$M188, Podesavanja!$N$3:$Q$9, 4, 0)</f>
        <v>3</v>
      </c>
      <c r="C188" s="363">
        <f>VLOOKUP( APIF_Import!$L188, Aop!$A$2:$N$415, 4, 0)</f>
        <v>255</v>
      </c>
      <c r="D188" s="364" t="str">
        <f ca="1">IF( ISNA( VLOOKUP( APIF_Import!$M188 &amp; APIF_Import!$D$1,Podesavanja!$AA$3:$AD$24, 4, 0)), "", SUBSTITUTE( VALUE( VLOOKUP( APIF_Import!$C188, INDIRECT( "Lookup_" &amp; APIF_Import!$M188), VLOOKUP( APIF_Import!$M188 &amp; APIF_Import!$D$1,Podesavanja!$AA$3:$AD$24, 4, 0), 0)), ".", ","))</f>
        <v>0</v>
      </c>
      <c r="E188" s="364" t="str">
        <f ca="1">IF( ISNA( VLOOKUP( APIF_Import!$M188 &amp; APIF_Import!$E$1,Podesavanja!$AA$3:$AD$24, 4, 0)), "", SUBSTITUTE( VALUE( VLOOKUP( APIF_Import!$C188, INDIRECT( "Lookup_" &amp; APIF_Import!$M188), VLOOKUP( APIF_Import!$M188 &amp; APIF_Import!$E$1,Podesavanja!$AA$3:$AD$24, 4, 0), 0)), ".", ","))</f>
        <v>0</v>
      </c>
      <c r="F188" s="364" t="str">
        <f ca="1">IF( ISNA( VLOOKUP( APIF_Import!$M188 &amp; APIF_Import!$F$1,Podesavanja!$AA$3:$AD$24, 4, 0)), "", VLOOKUP( APIF_Import!$C188, INDIRECT( "Lookup_" &amp; APIF_Import!$M188), VLOOKUP( APIF_Import!$M188 &amp; APIF_Import!$F$1,Podesavanja!$AA$3:$AD$24, 4, 0), 0))</f>
        <v/>
      </c>
      <c r="G188" s="364" t="str">
        <f ca="1">IF( ISNA( VLOOKUP( APIF_Import!$M188 &amp; APIF_Import!$G$1,Podesavanja!$AA$3:$AD$24, 4, 0)), "", VLOOKUP( APIF_Import!$C188, INDIRECT( "Lookup_" &amp; APIF_Import!$M188), VLOOKUP( APIF_Import!$M188 &amp; APIF_Import!$G$1,Podesavanja!$AA$3:$AD$24, 4, 0), 0))</f>
        <v/>
      </c>
      <c r="H188" s="364" t="str">
        <f ca="1">IF( ISNA( VLOOKUP( APIF_Import!$M188 &amp; APIF_Import!$H$1,Podesavanja!$AA$3:$AD$24, 4, 0)), "", VLOOKUP( APIF_Import!$C188, INDIRECT( "Lookup_" &amp; APIF_Import!$M188), VLOOKUP( APIF_Import!$M188 &amp; APIF_Import!$H$1,Podesavanja!$AA$3:$AD$24, 4, 0), 0))</f>
        <v/>
      </c>
      <c r="I188" s="364" t="str">
        <f ca="1">IF( ISNA( VLOOKUP( APIF_Import!$M188 &amp; APIF_Import!$I$1,Podesavanja!$AA$3:$AD$24, 4, 0)), "", VLOOKUP( APIF_Import!$C188, INDIRECT( "Lookup_" &amp; APIF_Import!$M188), VLOOKUP( APIF_Import!$M188 &amp; APIF_Import!$I$1,Podesavanja!$AA$3:$AD$24, 4, 0), 0))</f>
        <v/>
      </c>
      <c r="J188" s="364" t="str">
        <f ca="1">IF( ISNA( VLOOKUP( APIF_Import!$M188 &amp; APIF_Import!$J$1,Podesavanja!$AA$3:$AD$24, 4, 0)), "", VLOOKUP( APIF_Import!$C188, INDIRECT( "Lookup_" &amp; APIF_Import!$M188), VLOOKUP( APIF_Import!$M188 &amp; APIF_Import!$J$1,Podesavanja!$AA$3:$AD$24, 4, 0), 0))</f>
        <v/>
      </c>
      <c r="K188" s="364" t="str">
        <f ca="1">IF( ISNA( VLOOKUP( APIF_Import!$M188 &amp; APIF_Import!$K$1,Podesavanja!$AA$3:$AD$24, 4, 0)), "", VLOOKUP( APIF_Import!$C188, INDIRECT( "Lookup_" &amp; APIF_Import!$M188), VLOOKUP( APIF_Import!$M188 &amp; APIF_Import!$K$1,Podesavanja!$AA$3:$AD$24, 4, 0), 0))</f>
        <v/>
      </c>
      <c r="L188" s="8">
        <v>192</v>
      </c>
      <c r="M188" s="8" t="s">
        <v>1497</v>
      </c>
    </row>
    <row r="189" spans="2:13" x14ac:dyDescent="0.2">
      <c r="B189" s="8">
        <f>VLOOKUP( APIF_Import!$M189, Podesavanja!$N$3:$Q$9, 4, 0)</f>
        <v>3</v>
      </c>
      <c r="C189" s="363">
        <f>VLOOKUP( APIF_Import!$L189, Aop!$A$2:$N$415, 4, 0)</f>
        <v>256</v>
      </c>
      <c r="D189" s="364" t="str">
        <f ca="1">IF( ISNA( VLOOKUP( APIF_Import!$M189 &amp; APIF_Import!$D$1,Podesavanja!$AA$3:$AD$24, 4, 0)), "", SUBSTITUTE( VALUE( VLOOKUP( APIF_Import!$C189, INDIRECT( "Lookup_" &amp; APIF_Import!$M189), VLOOKUP( APIF_Import!$M189 &amp; APIF_Import!$D$1,Podesavanja!$AA$3:$AD$24, 4, 0), 0)), ".", ","))</f>
        <v>0</v>
      </c>
      <c r="E189" s="364" t="str">
        <f ca="1">IF( ISNA( VLOOKUP( APIF_Import!$M189 &amp; APIF_Import!$E$1,Podesavanja!$AA$3:$AD$24, 4, 0)), "", SUBSTITUTE( VALUE( VLOOKUP( APIF_Import!$C189, INDIRECT( "Lookup_" &amp; APIF_Import!$M189), VLOOKUP( APIF_Import!$M189 &amp; APIF_Import!$E$1,Podesavanja!$AA$3:$AD$24, 4, 0), 0)), ".", ","))</f>
        <v>0</v>
      </c>
      <c r="F189" s="364" t="str">
        <f ca="1">IF( ISNA( VLOOKUP( APIF_Import!$M189 &amp; APIF_Import!$F$1,Podesavanja!$AA$3:$AD$24, 4, 0)), "", VLOOKUP( APIF_Import!$C189, INDIRECT( "Lookup_" &amp; APIF_Import!$M189), VLOOKUP( APIF_Import!$M189 &amp; APIF_Import!$F$1,Podesavanja!$AA$3:$AD$24, 4, 0), 0))</f>
        <v/>
      </c>
      <c r="G189" s="364" t="str">
        <f ca="1">IF( ISNA( VLOOKUP( APIF_Import!$M189 &amp; APIF_Import!$G$1,Podesavanja!$AA$3:$AD$24, 4, 0)), "", VLOOKUP( APIF_Import!$C189, INDIRECT( "Lookup_" &amp; APIF_Import!$M189), VLOOKUP( APIF_Import!$M189 &amp; APIF_Import!$G$1,Podesavanja!$AA$3:$AD$24, 4, 0), 0))</f>
        <v/>
      </c>
      <c r="H189" s="364" t="str">
        <f ca="1">IF( ISNA( VLOOKUP( APIF_Import!$M189 &amp; APIF_Import!$H$1,Podesavanja!$AA$3:$AD$24, 4, 0)), "", VLOOKUP( APIF_Import!$C189, INDIRECT( "Lookup_" &amp; APIF_Import!$M189), VLOOKUP( APIF_Import!$M189 &amp; APIF_Import!$H$1,Podesavanja!$AA$3:$AD$24, 4, 0), 0))</f>
        <v/>
      </c>
      <c r="I189" s="364" t="str">
        <f ca="1">IF( ISNA( VLOOKUP( APIF_Import!$M189 &amp; APIF_Import!$I$1,Podesavanja!$AA$3:$AD$24, 4, 0)), "", VLOOKUP( APIF_Import!$C189, INDIRECT( "Lookup_" &amp; APIF_Import!$M189), VLOOKUP( APIF_Import!$M189 &amp; APIF_Import!$I$1,Podesavanja!$AA$3:$AD$24, 4, 0), 0))</f>
        <v/>
      </c>
      <c r="J189" s="364" t="str">
        <f ca="1">IF( ISNA( VLOOKUP( APIF_Import!$M189 &amp; APIF_Import!$J$1,Podesavanja!$AA$3:$AD$24, 4, 0)), "", VLOOKUP( APIF_Import!$C189, INDIRECT( "Lookup_" &amp; APIF_Import!$M189), VLOOKUP( APIF_Import!$M189 &amp; APIF_Import!$J$1,Podesavanja!$AA$3:$AD$24, 4, 0), 0))</f>
        <v/>
      </c>
      <c r="K189" s="364" t="str">
        <f ca="1">IF( ISNA( VLOOKUP( APIF_Import!$M189 &amp; APIF_Import!$K$1,Podesavanja!$AA$3:$AD$24, 4, 0)), "", VLOOKUP( APIF_Import!$C189, INDIRECT( "Lookup_" &amp; APIF_Import!$M189), VLOOKUP( APIF_Import!$M189 &amp; APIF_Import!$K$1,Podesavanja!$AA$3:$AD$24, 4, 0), 0))</f>
        <v/>
      </c>
      <c r="L189" s="8">
        <v>193</v>
      </c>
      <c r="M189" s="8" t="s">
        <v>1497</v>
      </c>
    </row>
    <row r="190" spans="2:13" x14ac:dyDescent="0.2">
      <c r="B190" s="8">
        <f>VLOOKUP( APIF_Import!$M190, Podesavanja!$N$3:$Q$9, 4, 0)</f>
        <v>3</v>
      </c>
      <c r="C190" s="363">
        <f>VLOOKUP( APIF_Import!$L190, Aop!$A$2:$N$415, 4, 0)</f>
        <v>257</v>
      </c>
      <c r="D190" s="364" t="str">
        <f ca="1">IF( ISNA( VLOOKUP( APIF_Import!$M190 &amp; APIF_Import!$D$1,Podesavanja!$AA$3:$AD$24, 4, 0)), "", SUBSTITUTE( VALUE( VLOOKUP( APIF_Import!$C190, INDIRECT( "Lookup_" &amp; APIF_Import!$M190), VLOOKUP( APIF_Import!$M190 &amp; APIF_Import!$D$1,Podesavanja!$AA$3:$AD$24, 4, 0), 0)), ".", ","))</f>
        <v>87220</v>
      </c>
      <c r="E190" s="364" t="str">
        <f ca="1">IF( ISNA( VLOOKUP( APIF_Import!$M190 &amp; APIF_Import!$E$1,Podesavanja!$AA$3:$AD$24, 4, 0)), "", SUBSTITUTE( VALUE( VLOOKUP( APIF_Import!$C190, INDIRECT( "Lookup_" &amp; APIF_Import!$M190), VLOOKUP( APIF_Import!$M190 &amp; APIF_Import!$E$1,Podesavanja!$AA$3:$AD$24, 4, 0), 0)), ".", ","))</f>
        <v>54406</v>
      </c>
      <c r="F190" s="364" t="str">
        <f ca="1">IF( ISNA( VLOOKUP( APIF_Import!$M190 &amp; APIF_Import!$F$1,Podesavanja!$AA$3:$AD$24, 4, 0)), "", VLOOKUP( APIF_Import!$C190, INDIRECT( "Lookup_" &amp; APIF_Import!$M190), VLOOKUP( APIF_Import!$M190 &amp; APIF_Import!$F$1,Podesavanja!$AA$3:$AD$24, 4, 0), 0))</f>
        <v/>
      </c>
      <c r="G190" s="364" t="str">
        <f ca="1">IF( ISNA( VLOOKUP( APIF_Import!$M190 &amp; APIF_Import!$G$1,Podesavanja!$AA$3:$AD$24, 4, 0)), "", VLOOKUP( APIF_Import!$C190, INDIRECT( "Lookup_" &amp; APIF_Import!$M190), VLOOKUP( APIF_Import!$M190 &amp; APIF_Import!$G$1,Podesavanja!$AA$3:$AD$24, 4, 0), 0))</f>
        <v/>
      </c>
      <c r="H190" s="364" t="str">
        <f ca="1">IF( ISNA( VLOOKUP( APIF_Import!$M190 &amp; APIF_Import!$H$1,Podesavanja!$AA$3:$AD$24, 4, 0)), "", VLOOKUP( APIF_Import!$C190, INDIRECT( "Lookup_" &amp; APIF_Import!$M190), VLOOKUP( APIF_Import!$M190 &amp; APIF_Import!$H$1,Podesavanja!$AA$3:$AD$24, 4, 0), 0))</f>
        <v/>
      </c>
      <c r="I190" s="364" t="str">
        <f ca="1">IF( ISNA( VLOOKUP( APIF_Import!$M190 &amp; APIF_Import!$I$1,Podesavanja!$AA$3:$AD$24, 4, 0)), "", VLOOKUP( APIF_Import!$C190, INDIRECT( "Lookup_" &amp; APIF_Import!$M190), VLOOKUP( APIF_Import!$M190 &amp; APIF_Import!$I$1,Podesavanja!$AA$3:$AD$24, 4, 0), 0))</f>
        <v/>
      </c>
      <c r="J190" s="364" t="str">
        <f ca="1">IF( ISNA( VLOOKUP( APIF_Import!$M190 &amp; APIF_Import!$J$1,Podesavanja!$AA$3:$AD$24, 4, 0)), "", VLOOKUP( APIF_Import!$C190, INDIRECT( "Lookup_" &amp; APIF_Import!$M190), VLOOKUP( APIF_Import!$M190 &amp; APIF_Import!$J$1,Podesavanja!$AA$3:$AD$24, 4, 0), 0))</f>
        <v/>
      </c>
      <c r="K190" s="364" t="str">
        <f ca="1">IF( ISNA( VLOOKUP( APIF_Import!$M190 &amp; APIF_Import!$K$1,Podesavanja!$AA$3:$AD$24, 4, 0)), "", VLOOKUP( APIF_Import!$C190, INDIRECT( "Lookup_" &amp; APIF_Import!$M190), VLOOKUP( APIF_Import!$M190 &amp; APIF_Import!$K$1,Podesavanja!$AA$3:$AD$24, 4, 0), 0))</f>
        <v/>
      </c>
      <c r="L190" s="8">
        <v>194</v>
      </c>
      <c r="M190" s="8" t="s">
        <v>1497</v>
      </c>
    </row>
    <row r="191" spans="2:13" x14ac:dyDescent="0.2">
      <c r="B191" s="8">
        <f>VLOOKUP( APIF_Import!$M191, Podesavanja!$N$3:$Q$9, 4, 0)</f>
        <v>3</v>
      </c>
      <c r="C191" s="363">
        <f>VLOOKUP( APIF_Import!$L191, Aop!$A$2:$N$415, 4, 0)</f>
        <v>258</v>
      </c>
      <c r="D191" s="364" t="str">
        <f ca="1">IF( ISNA( VLOOKUP( APIF_Import!$M191 &amp; APIF_Import!$D$1,Podesavanja!$AA$3:$AD$24, 4, 0)), "", SUBSTITUTE( VALUE( VLOOKUP( APIF_Import!$C191, INDIRECT( "Lookup_" &amp; APIF_Import!$M191), VLOOKUP( APIF_Import!$M191 &amp; APIF_Import!$D$1,Podesavanja!$AA$3:$AD$24, 4, 0), 0)), ".", ","))</f>
        <v>1413</v>
      </c>
      <c r="E191" s="364" t="str">
        <f ca="1">IF( ISNA( VLOOKUP( APIF_Import!$M191 &amp; APIF_Import!$E$1,Podesavanja!$AA$3:$AD$24, 4, 0)), "", SUBSTITUTE( VALUE( VLOOKUP( APIF_Import!$C191, INDIRECT( "Lookup_" &amp; APIF_Import!$M191), VLOOKUP( APIF_Import!$M191 &amp; APIF_Import!$E$1,Podesavanja!$AA$3:$AD$24, 4, 0), 0)), ".", ","))</f>
        <v>0</v>
      </c>
      <c r="F191" s="364" t="str">
        <f ca="1">IF( ISNA( VLOOKUP( APIF_Import!$M191 &amp; APIF_Import!$F$1,Podesavanja!$AA$3:$AD$24, 4, 0)), "", VLOOKUP( APIF_Import!$C191, INDIRECT( "Lookup_" &amp; APIF_Import!$M191), VLOOKUP( APIF_Import!$M191 &amp; APIF_Import!$F$1,Podesavanja!$AA$3:$AD$24, 4, 0), 0))</f>
        <v/>
      </c>
      <c r="G191" s="364" t="str">
        <f ca="1">IF( ISNA( VLOOKUP( APIF_Import!$M191 &amp; APIF_Import!$G$1,Podesavanja!$AA$3:$AD$24, 4, 0)), "", VLOOKUP( APIF_Import!$C191, INDIRECT( "Lookup_" &amp; APIF_Import!$M191), VLOOKUP( APIF_Import!$M191 &amp; APIF_Import!$G$1,Podesavanja!$AA$3:$AD$24, 4, 0), 0))</f>
        <v/>
      </c>
      <c r="H191" s="364" t="str">
        <f ca="1">IF( ISNA( VLOOKUP( APIF_Import!$M191 &amp; APIF_Import!$H$1,Podesavanja!$AA$3:$AD$24, 4, 0)), "", VLOOKUP( APIF_Import!$C191, INDIRECT( "Lookup_" &amp; APIF_Import!$M191), VLOOKUP( APIF_Import!$M191 &amp; APIF_Import!$H$1,Podesavanja!$AA$3:$AD$24, 4, 0), 0))</f>
        <v/>
      </c>
      <c r="I191" s="364" t="str">
        <f ca="1">IF( ISNA( VLOOKUP( APIF_Import!$M191 &amp; APIF_Import!$I$1,Podesavanja!$AA$3:$AD$24, 4, 0)), "", VLOOKUP( APIF_Import!$C191, INDIRECT( "Lookup_" &amp; APIF_Import!$M191), VLOOKUP( APIF_Import!$M191 &amp; APIF_Import!$I$1,Podesavanja!$AA$3:$AD$24, 4, 0), 0))</f>
        <v/>
      </c>
      <c r="J191" s="364" t="str">
        <f ca="1">IF( ISNA( VLOOKUP( APIF_Import!$M191 &amp; APIF_Import!$J$1,Podesavanja!$AA$3:$AD$24, 4, 0)), "", VLOOKUP( APIF_Import!$C191, INDIRECT( "Lookup_" &amp; APIF_Import!$M191), VLOOKUP( APIF_Import!$M191 &amp; APIF_Import!$J$1,Podesavanja!$AA$3:$AD$24, 4, 0), 0))</f>
        <v/>
      </c>
      <c r="K191" s="364" t="str">
        <f ca="1">IF( ISNA( VLOOKUP( APIF_Import!$M191 &amp; APIF_Import!$K$1,Podesavanja!$AA$3:$AD$24, 4, 0)), "", VLOOKUP( APIF_Import!$C191, INDIRECT( "Lookup_" &amp; APIF_Import!$M191), VLOOKUP( APIF_Import!$M191 &amp; APIF_Import!$K$1,Podesavanja!$AA$3:$AD$24, 4, 0), 0))</f>
        <v/>
      </c>
      <c r="L191" s="8">
        <v>195</v>
      </c>
      <c r="M191" s="8" t="s">
        <v>1497</v>
      </c>
    </row>
    <row r="192" spans="2:13" x14ac:dyDescent="0.2">
      <c r="B192" s="8">
        <f>VLOOKUP( APIF_Import!$M192, Podesavanja!$N$3:$Q$9, 4, 0)</f>
        <v>3</v>
      </c>
      <c r="C192" s="363">
        <f>VLOOKUP( APIF_Import!$L192, Aop!$A$2:$N$415, 4, 0)</f>
        <v>259</v>
      </c>
      <c r="D192" s="364" t="str">
        <f ca="1">IF( ISNA( VLOOKUP( APIF_Import!$M192 &amp; APIF_Import!$D$1,Podesavanja!$AA$3:$AD$24, 4, 0)), "", SUBSTITUTE( VALUE( VLOOKUP( APIF_Import!$C192, INDIRECT( "Lookup_" &amp; APIF_Import!$M192), VLOOKUP( APIF_Import!$M192 &amp; APIF_Import!$D$1,Podesavanja!$AA$3:$AD$24, 4, 0), 0)), ".", ","))</f>
        <v>0</v>
      </c>
      <c r="E192" s="364" t="str">
        <f ca="1">IF( ISNA( VLOOKUP( APIF_Import!$M192 &amp; APIF_Import!$E$1,Podesavanja!$AA$3:$AD$24, 4, 0)), "", SUBSTITUTE( VALUE( VLOOKUP( APIF_Import!$C192, INDIRECT( "Lookup_" &amp; APIF_Import!$M192), VLOOKUP( APIF_Import!$M192 &amp; APIF_Import!$E$1,Podesavanja!$AA$3:$AD$24, 4, 0), 0)), ".", ","))</f>
        <v>0</v>
      </c>
      <c r="F192" s="364" t="str">
        <f ca="1">IF( ISNA( VLOOKUP( APIF_Import!$M192 &amp; APIF_Import!$F$1,Podesavanja!$AA$3:$AD$24, 4, 0)), "", VLOOKUP( APIF_Import!$C192, INDIRECT( "Lookup_" &amp; APIF_Import!$M192), VLOOKUP( APIF_Import!$M192 &amp; APIF_Import!$F$1,Podesavanja!$AA$3:$AD$24, 4, 0), 0))</f>
        <v/>
      </c>
      <c r="G192" s="364" t="str">
        <f ca="1">IF( ISNA( VLOOKUP( APIF_Import!$M192 &amp; APIF_Import!$G$1,Podesavanja!$AA$3:$AD$24, 4, 0)), "", VLOOKUP( APIF_Import!$C192, INDIRECT( "Lookup_" &amp; APIF_Import!$M192), VLOOKUP( APIF_Import!$M192 &amp; APIF_Import!$G$1,Podesavanja!$AA$3:$AD$24, 4, 0), 0))</f>
        <v/>
      </c>
      <c r="H192" s="364" t="str">
        <f ca="1">IF( ISNA( VLOOKUP( APIF_Import!$M192 &amp; APIF_Import!$H$1,Podesavanja!$AA$3:$AD$24, 4, 0)), "", VLOOKUP( APIF_Import!$C192, INDIRECT( "Lookup_" &amp; APIF_Import!$M192), VLOOKUP( APIF_Import!$M192 &amp; APIF_Import!$H$1,Podesavanja!$AA$3:$AD$24, 4, 0), 0))</f>
        <v/>
      </c>
      <c r="I192" s="364" t="str">
        <f ca="1">IF( ISNA( VLOOKUP( APIF_Import!$M192 &amp; APIF_Import!$I$1,Podesavanja!$AA$3:$AD$24, 4, 0)), "", VLOOKUP( APIF_Import!$C192, INDIRECT( "Lookup_" &amp; APIF_Import!$M192), VLOOKUP( APIF_Import!$M192 &amp; APIF_Import!$I$1,Podesavanja!$AA$3:$AD$24, 4, 0), 0))</f>
        <v/>
      </c>
      <c r="J192" s="364" t="str">
        <f ca="1">IF( ISNA( VLOOKUP( APIF_Import!$M192 &amp; APIF_Import!$J$1,Podesavanja!$AA$3:$AD$24, 4, 0)), "", VLOOKUP( APIF_Import!$C192, INDIRECT( "Lookup_" &amp; APIF_Import!$M192), VLOOKUP( APIF_Import!$M192 &amp; APIF_Import!$J$1,Podesavanja!$AA$3:$AD$24, 4, 0), 0))</f>
        <v/>
      </c>
      <c r="K192" s="364" t="str">
        <f ca="1">IF( ISNA( VLOOKUP( APIF_Import!$M192 &amp; APIF_Import!$K$1,Podesavanja!$AA$3:$AD$24, 4, 0)), "", VLOOKUP( APIF_Import!$C192, INDIRECT( "Lookup_" &amp; APIF_Import!$M192), VLOOKUP( APIF_Import!$M192 &amp; APIF_Import!$K$1,Podesavanja!$AA$3:$AD$24, 4, 0), 0))</f>
        <v/>
      </c>
      <c r="L192" s="8">
        <v>196</v>
      </c>
      <c r="M192" s="8" t="s">
        <v>1497</v>
      </c>
    </row>
    <row r="193" spans="2:13" x14ac:dyDescent="0.2">
      <c r="B193" s="8">
        <f>VLOOKUP( APIF_Import!$M193, Podesavanja!$N$3:$Q$9, 4, 0)</f>
        <v>3</v>
      </c>
      <c r="C193" s="363">
        <f>VLOOKUP( APIF_Import!$L193, Aop!$A$2:$N$415, 4, 0)</f>
        <v>260</v>
      </c>
      <c r="D193" s="364" t="str">
        <f ca="1">IF( ISNA( VLOOKUP( APIF_Import!$M193 &amp; APIF_Import!$D$1,Podesavanja!$AA$3:$AD$24, 4, 0)), "", SUBSTITUTE( VALUE( VLOOKUP( APIF_Import!$C193, INDIRECT( "Lookup_" &amp; APIF_Import!$M193), VLOOKUP( APIF_Import!$M193 &amp; APIF_Import!$D$1,Podesavanja!$AA$3:$AD$24, 4, 0), 0)), ".", ","))</f>
        <v>0</v>
      </c>
      <c r="E193" s="364" t="str">
        <f ca="1">IF( ISNA( VLOOKUP( APIF_Import!$M193 &amp; APIF_Import!$E$1,Podesavanja!$AA$3:$AD$24, 4, 0)), "", SUBSTITUTE( VALUE( VLOOKUP( APIF_Import!$C193, INDIRECT( "Lookup_" &amp; APIF_Import!$M193), VLOOKUP( APIF_Import!$M193 &amp; APIF_Import!$E$1,Podesavanja!$AA$3:$AD$24, 4, 0), 0)), ".", ","))</f>
        <v>0</v>
      </c>
      <c r="F193" s="364" t="str">
        <f ca="1">IF( ISNA( VLOOKUP( APIF_Import!$M193 &amp; APIF_Import!$F$1,Podesavanja!$AA$3:$AD$24, 4, 0)), "", VLOOKUP( APIF_Import!$C193, INDIRECT( "Lookup_" &amp; APIF_Import!$M193), VLOOKUP( APIF_Import!$M193 &amp; APIF_Import!$F$1,Podesavanja!$AA$3:$AD$24, 4, 0), 0))</f>
        <v/>
      </c>
      <c r="G193" s="364" t="str">
        <f ca="1">IF( ISNA( VLOOKUP( APIF_Import!$M193 &amp; APIF_Import!$G$1,Podesavanja!$AA$3:$AD$24, 4, 0)), "", VLOOKUP( APIF_Import!$C193, INDIRECT( "Lookup_" &amp; APIF_Import!$M193), VLOOKUP( APIF_Import!$M193 &amp; APIF_Import!$G$1,Podesavanja!$AA$3:$AD$24, 4, 0), 0))</f>
        <v/>
      </c>
      <c r="H193" s="364" t="str">
        <f ca="1">IF( ISNA( VLOOKUP( APIF_Import!$M193 &amp; APIF_Import!$H$1,Podesavanja!$AA$3:$AD$24, 4, 0)), "", VLOOKUP( APIF_Import!$C193, INDIRECT( "Lookup_" &amp; APIF_Import!$M193), VLOOKUP( APIF_Import!$M193 &amp; APIF_Import!$H$1,Podesavanja!$AA$3:$AD$24, 4, 0), 0))</f>
        <v/>
      </c>
      <c r="I193" s="364" t="str">
        <f ca="1">IF( ISNA( VLOOKUP( APIF_Import!$M193 &amp; APIF_Import!$I$1,Podesavanja!$AA$3:$AD$24, 4, 0)), "", VLOOKUP( APIF_Import!$C193, INDIRECT( "Lookup_" &amp; APIF_Import!$M193), VLOOKUP( APIF_Import!$M193 &amp; APIF_Import!$I$1,Podesavanja!$AA$3:$AD$24, 4, 0), 0))</f>
        <v/>
      </c>
      <c r="J193" s="364" t="str">
        <f ca="1">IF( ISNA( VLOOKUP( APIF_Import!$M193 &amp; APIF_Import!$J$1,Podesavanja!$AA$3:$AD$24, 4, 0)), "", VLOOKUP( APIF_Import!$C193, INDIRECT( "Lookup_" &amp; APIF_Import!$M193), VLOOKUP( APIF_Import!$M193 &amp; APIF_Import!$J$1,Podesavanja!$AA$3:$AD$24, 4, 0), 0))</f>
        <v/>
      </c>
      <c r="K193" s="364" t="str">
        <f ca="1">IF( ISNA( VLOOKUP( APIF_Import!$M193 &amp; APIF_Import!$K$1,Podesavanja!$AA$3:$AD$24, 4, 0)), "", VLOOKUP( APIF_Import!$C193, INDIRECT( "Lookup_" &amp; APIF_Import!$M193), VLOOKUP( APIF_Import!$M193 &amp; APIF_Import!$K$1,Podesavanja!$AA$3:$AD$24, 4, 0), 0))</f>
        <v/>
      </c>
      <c r="L193" s="8">
        <v>197</v>
      </c>
      <c r="M193" s="8" t="s">
        <v>1497</v>
      </c>
    </row>
    <row r="194" spans="2:13" x14ac:dyDescent="0.2">
      <c r="B194" s="8">
        <f>VLOOKUP( APIF_Import!$M194, Podesavanja!$N$3:$Q$9, 4, 0)</f>
        <v>3</v>
      </c>
      <c r="C194" s="363">
        <f>VLOOKUP( APIF_Import!$L194, Aop!$A$2:$N$415, 4, 0)</f>
        <v>261</v>
      </c>
      <c r="D194" s="364" t="str">
        <f ca="1">IF( ISNA( VLOOKUP( APIF_Import!$M194 &amp; APIF_Import!$D$1,Podesavanja!$AA$3:$AD$24, 4, 0)), "", SUBSTITUTE( VALUE( VLOOKUP( APIF_Import!$C194, INDIRECT( "Lookup_" &amp; APIF_Import!$M194), VLOOKUP( APIF_Import!$M194 &amp; APIF_Import!$D$1,Podesavanja!$AA$3:$AD$24, 4, 0), 0)), ".", ","))</f>
        <v>0</v>
      </c>
      <c r="E194" s="364" t="str">
        <f ca="1">IF( ISNA( VLOOKUP( APIF_Import!$M194 &amp; APIF_Import!$E$1,Podesavanja!$AA$3:$AD$24, 4, 0)), "", SUBSTITUTE( VALUE( VLOOKUP( APIF_Import!$C194, INDIRECT( "Lookup_" &amp; APIF_Import!$M194), VLOOKUP( APIF_Import!$M194 &amp; APIF_Import!$E$1,Podesavanja!$AA$3:$AD$24, 4, 0), 0)), ".", ","))</f>
        <v>0</v>
      </c>
      <c r="F194" s="364" t="str">
        <f ca="1">IF( ISNA( VLOOKUP( APIF_Import!$M194 &amp; APIF_Import!$F$1,Podesavanja!$AA$3:$AD$24, 4, 0)), "", VLOOKUP( APIF_Import!$C194, INDIRECT( "Lookup_" &amp; APIF_Import!$M194), VLOOKUP( APIF_Import!$M194 &amp; APIF_Import!$F$1,Podesavanja!$AA$3:$AD$24, 4, 0), 0))</f>
        <v/>
      </c>
      <c r="G194" s="364" t="str">
        <f ca="1">IF( ISNA( VLOOKUP( APIF_Import!$M194 &amp; APIF_Import!$G$1,Podesavanja!$AA$3:$AD$24, 4, 0)), "", VLOOKUP( APIF_Import!$C194, INDIRECT( "Lookup_" &amp; APIF_Import!$M194), VLOOKUP( APIF_Import!$M194 &amp; APIF_Import!$G$1,Podesavanja!$AA$3:$AD$24, 4, 0), 0))</f>
        <v/>
      </c>
      <c r="H194" s="364" t="str">
        <f ca="1">IF( ISNA( VLOOKUP( APIF_Import!$M194 &amp; APIF_Import!$H$1,Podesavanja!$AA$3:$AD$24, 4, 0)), "", VLOOKUP( APIF_Import!$C194, INDIRECT( "Lookup_" &amp; APIF_Import!$M194), VLOOKUP( APIF_Import!$M194 &amp; APIF_Import!$H$1,Podesavanja!$AA$3:$AD$24, 4, 0), 0))</f>
        <v/>
      </c>
      <c r="I194" s="364" t="str">
        <f ca="1">IF( ISNA( VLOOKUP( APIF_Import!$M194 &amp; APIF_Import!$I$1,Podesavanja!$AA$3:$AD$24, 4, 0)), "", VLOOKUP( APIF_Import!$C194, INDIRECT( "Lookup_" &amp; APIF_Import!$M194), VLOOKUP( APIF_Import!$M194 &amp; APIF_Import!$I$1,Podesavanja!$AA$3:$AD$24, 4, 0), 0))</f>
        <v/>
      </c>
      <c r="J194" s="364" t="str">
        <f ca="1">IF( ISNA( VLOOKUP( APIF_Import!$M194 &amp; APIF_Import!$J$1,Podesavanja!$AA$3:$AD$24, 4, 0)), "", VLOOKUP( APIF_Import!$C194, INDIRECT( "Lookup_" &amp; APIF_Import!$M194), VLOOKUP( APIF_Import!$M194 &amp; APIF_Import!$J$1,Podesavanja!$AA$3:$AD$24, 4, 0), 0))</f>
        <v/>
      </c>
      <c r="K194" s="364" t="str">
        <f ca="1">IF( ISNA( VLOOKUP( APIF_Import!$M194 &amp; APIF_Import!$K$1,Podesavanja!$AA$3:$AD$24, 4, 0)), "", VLOOKUP( APIF_Import!$C194, INDIRECT( "Lookup_" &amp; APIF_Import!$M194), VLOOKUP( APIF_Import!$M194 &amp; APIF_Import!$K$1,Podesavanja!$AA$3:$AD$24, 4, 0), 0))</f>
        <v/>
      </c>
      <c r="L194" s="8">
        <v>198</v>
      </c>
      <c r="M194" s="8" t="s">
        <v>1497</v>
      </c>
    </row>
    <row r="195" spans="2:13" x14ac:dyDescent="0.2">
      <c r="B195" s="8">
        <f>VLOOKUP( APIF_Import!$M195, Podesavanja!$N$3:$Q$9, 4, 0)</f>
        <v>3</v>
      </c>
      <c r="C195" s="363">
        <f>VLOOKUP( APIF_Import!$L195, Aop!$A$2:$N$415, 4, 0)</f>
        <v>262</v>
      </c>
      <c r="D195" s="364" t="str">
        <f ca="1">IF( ISNA( VLOOKUP( APIF_Import!$M195 &amp; APIF_Import!$D$1,Podesavanja!$AA$3:$AD$24, 4, 0)), "", SUBSTITUTE( VALUE( VLOOKUP( APIF_Import!$C195, INDIRECT( "Lookup_" &amp; APIF_Import!$M195), VLOOKUP( APIF_Import!$M195 &amp; APIF_Import!$D$1,Podesavanja!$AA$3:$AD$24, 4, 0), 0)), ".", ","))</f>
        <v>0</v>
      </c>
      <c r="E195" s="364" t="str">
        <f ca="1">IF( ISNA( VLOOKUP( APIF_Import!$M195 &amp; APIF_Import!$E$1,Podesavanja!$AA$3:$AD$24, 4, 0)), "", SUBSTITUTE( VALUE( VLOOKUP( APIF_Import!$C195, INDIRECT( "Lookup_" &amp; APIF_Import!$M195), VLOOKUP( APIF_Import!$M195 &amp; APIF_Import!$E$1,Podesavanja!$AA$3:$AD$24, 4, 0), 0)), ".", ","))</f>
        <v>0</v>
      </c>
      <c r="F195" s="364" t="str">
        <f ca="1">IF( ISNA( VLOOKUP( APIF_Import!$M195 &amp; APIF_Import!$F$1,Podesavanja!$AA$3:$AD$24, 4, 0)), "", VLOOKUP( APIF_Import!$C195, INDIRECT( "Lookup_" &amp; APIF_Import!$M195), VLOOKUP( APIF_Import!$M195 &amp; APIF_Import!$F$1,Podesavanja!$AA$3:$AD$24, 4, 0), 0))</f>
        <v/>
      </c>
      <c r="G195" s="364" t="str">
        <f ca="1">IF( ISNA( VLOOKUP( APIF_Import!$M195 &amp; APIF_Import!$G$1,Podesavanja!$AA$3:$AD$24, 4, 0)), "", VLOOKUP( APIF_Import!$C195, INDIRECT( "Lookup_" &amp; APIF_Import!$M195), VLOOKUP( APIF_Import!$M195 &amp; APIF_Import!$G$1,Podesavanja!$AA$3:$AD$24, 4, 0), 0))</f>
        <v/>
      </c>
      <c r="H195" s="364" t="str">
        <f ca="1">IF( ISNA( VLOOKUP( APIF_Import!$M195 &amp; APIF_Import!$H$1,Podesavanja!$AA$3:$AD$24, 4, 0)), "", VLOOKUP( APIF_Import!$C195, INDIRECT( "Lookup_" &amp; APIF_Import!$M195), VLOOKUP( APIF_Import!$M195 &amp; APIF_Import!$H$1,Podesavanja!$AA$3:$AD$24, 4, 0), 0))</f>
        <v/>
      </c>
      <c r="I195" s="364" t="str">
        <f ca="1">IF( ISNA( VLOOKUP( APIF_Import!$M195 &amp; APIF_Import!$I$1,Podesavanja!$AA$3:$AD$24, 4, 0)), "", VLOOKUP( APIF_Import!$C195, INDIRECT( "Lookup_" &amp; APIF_Import!$M195), VLOOKUP( APIF_Import!$M195 &amp; APIF_Import!$I$1,Podesavanja!$AA$3:$AD$24, 4, 0), 0))</f>
        <v/>
      </c>
      <c r="J195" s="364" t="str">
        <f ca="1">IF( ISNA( VLOOKUP( APIF_Import!$M195 &amp; APIF_Import!$J$1,Podesavanja!$AA$3:$AD$24, 4, 0)), "", VLOOKUP( APIF_Import!$C195, INDIRECT( "Lookup_" &amp; APIF_Import!$M195), VLOOKUP( APIF_Import!$M195 &amp; APIF_Import!$J$1,Podesavanja!$AA$3:$AD$24, 4, 0), 0))</f>
        <v/>
      </c>
      <c r="K195" s="364" t="str">
        <f ca="1">IF( ISNA( VLOOKUP( APIF_Import!$M195 &amp; APIF_Import!$K$1,Podesavanja!$AA$3:$AD$24, 4, 0)), "", VLOOKUP( APIF_Import!$C195, INDIRECT( "Lookup_" &amp; APIF_Import!$M195), VLOOKUP( APIF_Import!$M195 &amp; APIF_Import!$K$1,Podesavanja!$AA$3:$AD$24, 4, 0), 0))</f>
        <v/>
      </c>
      <c r="L195" s="8">
        <v>199</v>
      </c>
      <c r="M195" s="8" t="s">
        <v>1497</v>
      </c>
    </row>
    <row r="196" spans="2:13" x14ac:dyDescent="0.2">
      <c r="B196" s="8">
        <f>VLOOKUP( APIF_Import!$M196, Podesavanja!$N$3:$Q$9, 4, 0)</f>
        <v>3</v>
      </c>
      <c r="C196" s="363">
        <f>VLOOKUP( APIF_Import!$L196, Aop!$A$2:$N$415, 4, 0)</f>
        <v>263</v>
      </c>
      <c r="D196" s="364" t="str">
        <f ca="1">IF( ISNA( VLOOKUP( APIF_Import!$M196 &amp; APIF_Import!$D$1,Podesavanja!$AA$3:$AD$24, 4, 0)), "", SUBSTITUTE( VALUE( VLOOKUP( APIF_Import!$C196, INDIRECT( "Lookup_" &amp; APIF_Import!$M196), VLOOKUP( APIF_Import!$M196 &amp; APIF_Import!$D$1,Podesavanja!$AA$3:$AD$24, 4, 0), 0)), ".", ","))</f>
        <v>0</v>
      </c>
      <c r="E196" s="364" t="str">
        <f ca="1">IF( ISNA( VLOOKUP( APIF_Import!$M196 &amp; APIF_Import!$E$1,Podesavanja!$AA$3:$AD$24, 4, 0)), "", SUBSTITUTE( VALUE( VLOOKUP( APIF_Import!$C196, INDIRECT( "Lookup_" &amp; APIF_Import!$M196), VLOOKUP( APIF_Import!$M196 &amp; APIF_Import!$E$1,Podesavanja!$AA$3:$AD$24, 4, 0), 0)), ".", ","))</f>
        <v>0</v>
      </c>
      <c r="F196" s="364" t="str">
        <f ca="1">IF( ISNA( VLOOKUP( APIF_Import!$M196 &amp; APIF_Import!$F$1,Podesavanja!$AA$3:$AD$24, 4, 0)), "", VLOOKUP( APIF_Import!$C196, INDIRECT( "Lookup_" &amp; APIF_Import!$M196), VLOOKUP( APIF_Import!$M196 &amp; APIF_Import!$F$1,Podesavanja!$AA$3:$AD$24, 4, 0), 0))</f>
        <v/>
      </c>
      <c r="G196" s="364" t="str">
        <f ca="1">IF( ISNA( VLOOKUP( APIF_Import!$M196 &amp; APIF_Import!$G$1,Podesavanja!$AA$3:$AD$24, 4, 0)), "", VLOOKUP( APIF_Import!$C196, INDIRECT( "Lookup_" &amp; APIF_Import!$M196), VLOOKUP( APIF_Import!$M196 &amp; APIF_Import!$G$1,Podesavanja!$AA$3:$AD$24, 4, 0), 0))</f>
        <v/>
      </c>
      <c r="H196" s="364" t="str">
        <f ca="1">IF( ISNA( VLOOKUP( APIF_Import!$M196 &amp; APIF_Import!$H$1,Podesavanja!$AA$3:$AD$24, 4, 0)), "", VLOOKUP( APIF_Import!$C196, INDIRECT( "Lookup_" &amp; APIF_Import!$M196), VLOOKUP( APIF_Import!$M196 &amp; APIF_Import!$H$1,Podesavanja!$AA$3:$AD$24, 4, 0), 0))</f>
        <v/>
      </c>
      <c r="I196" s="364" t="str">
        <f ca="1">IF( ISNA( VLOOKUP( APIF_Import!$M196 &amp; APIF_Import!$I$1,Podesavanja!$AA$3:$AD$24, 4, 0)), "", VLOOKUP( APIF_Import!$C196, INDIRECT( "Lookup_" &amp; APIF_Import!$M196), VLOOKUP( APIF_Import!$M196 &amp; APIF_Import!$I$1,Podesavanja!$AA$3:$AD$24, 4, 0), 0))</f>
        <v/>
      </c>
      <c r="J196" s="364" t="str">
        <f ca="1">IF( ISNA( VLOOKUP( APIF_Import!$M196 &amp; APIF_Import!$J$1,Podesavanja!$AA$3:$AD$24, 4, 0)), "", VLOOKUP( APIF_Import!$C196, INDIRECT( "Lookup_" &amp; APIF_Import!$M196), VLOOKUP( APIF_Import!$M196 &amp; APIF_Import!$J$1,Podesavanja!$AA$3:$AD$24, 4, 0), 0))</f>
        <v/>
      </c>
      <c r="K196" s="364" t="str">
        <f ca="1">IF( ISNA( VLOOKUP( APIF_Import!$M196 &amp; APIF_Import!$K$1,Podesavanja!$AA$3:$AD$24, 4, 0)), "", VLOOKUP( APIF_Import!$C196, INDIRECT( "Lookup_" &amp; APIF_Import!$M196), VLOOKUP( APIF_Import!$M196 &amp; APIF_Import!$K$1,Podesavanja!$AA$3:$AD$24, 4, 0), 0))</f>
        <v/>
      </c>
      <c r="L196" s="8">
        <v>200</v>
      </c>
      <c r="M196" s="8" t="s">
        <v>1497</v>
      </c>
    </row>
    <row r="197" spans="2:13" x14ac:dyDescent="0.2">
      <c r="B197" s="8">
        <f>VLOOKUP( APIF_Import!$M197, Podesavanja!$N$3:$Q$9, 4, 0)</f>
        <v>3</v>
      </c>
      <c r="C197" s="363">
        <f>VLOOKUP( APIF_Import!$L197, Aop!$A$2:$N$415, 4, 0)</f>
        <v>264</v>
      </c>
      <c r="D197" s="364" t="str">
        <f ca="1">IF( ISNA( VLOOKUP( APIF_Import!$M197 &amp; APIF_Import!$D$1,Podesavanja!$AA$3:$AD$24, 4, 0)), "", SUBSTITUTE( VALUE( VLOOKUP( APIF_Import!$C197, INDIRECT( "Lookup_" &amp; APIF_Import!$M197), VLOOKUP( APIF_Import!$M197 &amp; APIF_Import!$D$1,Podesavanja!$AA$3:$AD$24, 4, 0), 0)), ".", ","))</f>
        <v>0</v>
      </c>
      <c r="E197" s="364" t="str">
        <f ca="1">IF( ISNA( VLOOKUP( APIF_Import!$M197 &amp; APIF_Import!$E$1,Podesavanja!$AA$3:$AD$24, 4, 0)), "", SUBSTITUTE( VALUE( VLOOKUP( APIF_Import!$C197, INDIRECT( "Lookup_" &amp; APIF_Import!$M197), VLOOKUP( APIF_Import!$M197 &amp; APIF_Import!$E$1,Podesavanja!$AA$3:$AD$24, 4, 0), 0)), ".", ","))</f>
        <v>0</v>
      </c>
      <c r="F197" s="364" t="str">
        <f ca="1">IF( ISNA( VLOOKUP( APIF_Import!$M197 &amp; APIF_Import!$F$1,Podesavanja!$AA$3:$AD$24, 4, 0)), "", VLOOKUP( APIF_Import!$C197, INDIRECT( "Lookup_" &amp; APIF_Import!$M197), VLOOKUP( APIF_Import!$M197 &amp; APIF_Import!$F$1,Podesavanja!$AA$3:$AD$24, 4, 0), 0))</f>
        <v/>
      </c>
      <c r="G197" s="364" t="str">
        <f ca="1">IF( ISNA( VLOOKUP( APIF_Import!$M197 &amp; APIF_Import!$G$1,Podesavanja!$AA$3:$AD$24, 4, 0)), "", VLOOKUP( APIF_Import!$C197, INDIRECT( "Lookup_" &amp; APIF_Import!$M197), VLOOKUP( APIF_Import!$M197 &amp; APIF_Import!$G$1,Podesavanja!$AA$3:$AD$24, 4, 0), 0))</f>
        <v/>
      </c>
      <c r="H197" s="364" t="str">
        <f ca="1">IF( ISNA( VLOOKUP( APIF_Import!$M197 &amp; APIF_Import!$H$1,Podesavanja!$AA$3:$AD$24, 4, 0)), "", VLOOKUP( APIF_Import!$C197, INDIRECT( "Lookup_" &amp; APIF_Import!$M197), VLOOKUP( APIF_Import!$M197 &amp; APIF_Import!$H$1,Podesavanja!$AA$3:$AD$24, 4, 0), 0))</f>
        <v/>
      </c>
      <c r="I197" s="364" t="str">
        <f ca="1">IF( ISNA( VLOOKUP( APIF_Import!$M197 &amp; APIF_Import!$I$1,Podesavanja!$AA$3:$AD$24, 4, 0)), "", VLOOKUP( APIF_Import!$C197, INDIRECT( "Lookup_" &amp; APIF_Import!$M197), VLOOKUP( APIF_Import!$M197 &amp; APIF_Import!$I$1,Podesavanja!$AA$3:$AD$24, 4, 0), 0))</f>
        <v/>
      </c>
      <c r="J197" s="364" t="str">
        <f ca="1">IF( ISNA( VLOOKUP( APIF_Import!$M197 &amp; APIF_Import!$J$1,Podesavanja!$AA$3:$AD$24, 4, 0)), "", VLOOKUP( APIF_Import!$C197, INDIRECT( "Lookup_" &amp; APIF_Import!$M197), VLOOKUP( APIF_Import!$M197 &amp; APIF_Import!$J$1,Podesavanja!$AA$3:$AD$24, 4, 0), 0))</f>
        <v/>
      </c>
      <c r="K197" s="364" t="str">
        <f ca="1">IF( ISNA( VLOOKUP( APIF_Import!$M197 &amp; APIF_Import!$K$1,Podesavanja!$AA$3:$AD$24, 4, 0)), "", VLOOKUP( APIF_Import!$C197, INDIRECT( "Lookup_" &amp; APIF_Import!$M197), VLOOKUP( APIF_Import!$M197 &amp; APIF_Import!$K$1,Podesavanja!$AA$3:$AD$24, 4, 0), 0))</f>
        <v/>
      </c>
      <c r="L197" s="8">
        <v>201</v>
      </c>
      <c r="M197" s="8" t="s">
        <v>1497</v>
      </c>
    </row>
    <row r="198" spans="2:13" x14ac:dyDescent="0.2">
      <c r="B198" s="8">
        <f>VLOOKUP( APIF_Import!$M198, Podesavanja!$N$3:$Q$9, 4, 0)</f>
        <v>3</v>
      </c>
      <c r="C198" s="363">
        <f>VLOOKUP( APIF_Import!$L198, Aop!$A$2:$N$415, 4, 0)</f>
        <v>265</v>
      </c>
      <c r="D198" s="364" t="str">
        <f ca="1">IF( ISNA( VLOOKUP( APIF_Import!$M198 &amp; APIF_Import!$D$1,Podesavanja!$AA$3:$AD$24, 4, 0)), "", SUBSTITUTE( VALUE( VLOOKUP( APIF_Import!$C198, INDIRECT( "Lookup_" &amp; APIF_Import!$M198), VLOOKUP( APIF_Import!$M198 &amp; APIF_Import!$D$1,Podesavanja!$AA$3:$AD$24, 4, 0), 0)), ".", ","))</f>
        <v>0</v>
      </c>
      <c r="E198" s="364" t="str">
        <f ca="1">IF( ISNA( VLOOKUP( APIF_Import!$M198 &amp; APIF_Import!$E$1,Podesavanja!$AA$3:$AD$24, 4, 0)), "", SUBSTITUTE( VALUE( VLOOKUP( APIF_Import!$C198, INDIRECT( "Lookup_" &amp; APIF_Import!$M198), VLOOKUP( APIF_Import!$M198 &amp; APIF_Import!$E$1,Podesavanja!$AA$3:$AD$24, 4, 0), 0)), ".", ","))</f>
        <v>0</v>
      </c>
      <c r="F198" s="364" t="str">
        <f ca="1">IF( ISNA( VLOOKUP( APIF_Import!$M198 &amp; APIF_Import!$F$1,Podesavanja!$AA$3:$AD$24, 4, 0)), "", VLOOKUP( APIF_Import!$C198, INDIRECT( "Lookup_" &amp; APIF_Import!$M198), VLOOKUP( APIF_Import!$M198 &amp; APIF_Import!$F$1,Podesavanja!$AA$3:$AD$24, 4, 0), 0))</f>
        <v/>
      </c>
      <c r="G198" s="364" t="str">
        <f ca="1">IF( ISNA( VLOOKUP( APIF_Import!$M198 &amp; APIF_Import!$G$1,Podesavanja!$AA$3:$AD$24, 4, 0)), "", VLOOKUP( APIF_Import!$C198, INDIRECT( "Lookup_" &amp; APIF_Import!$M198), VLOOKUP( APIF_Import!$M198 &amp; APIF_Import!$G$1,Podesavanja!$AA$3:$AD$24, 4, 0), 0))</f>
        <v/>
      </c>
      <c r="H198" s="364" t="str">
        <f ca="1">IF( ISNA( VLOOKUP( APIF_Import!$M198 &amp; APIF_Import!$H$1,Podesavanja!$AA$3:$AD$24, 4, 0)), "", VLOOKUP( APIF_Import!$C198, INDIRECT( "Lookup_" &amp; APIF_Import!$M198), VLOOKUP( APIF_Import!$M198 &amp; APIF_Import!$H$1,Podesavanja!$AA$3:$AD$24, 4, 0), 0))</f>
        <v/>
      </c>
      <c r="I198" s="364" t="str">
        <f ca="1">IF( ISNA( VLOOKUP( APIF_Import!$M198 &amp; APIF_Import!$I$1,Podesavanja!$AA$3:$AD$24, 4, 0)), "", VLOOKUP( APIF_Import!$C198, INDIRECT( "Lookup_" &amp; APIF_Import!$M198), VLOOKUP( APIF_Import!$M198 &amp; APIF_Import!$I$1,Podesavanja!$AA$3:$AD$24, 4, 0), 0))</f>
        <v/>
      </c>
      <c r="J198" s="364" t="str">
        <f ca="1">IF( ISNA( VLOOKUP( APIF_Import!$M198 &amp; APIF_Import!$J$1,Podesavanja!$AA$3:$AD$24, 4, 0)), "", VLOOKUP( APIF_Import!$C198, INDIRECT( "Lookup_" &amp; APIF_Import!$M198), VLOOKUP( APIF_Import!$M198 &amp; APIF_Import!$J$1,Podesavanja!$AA$3:$AD$24, 4, 0), 0))</f>
        <v/>
      </c>
      <c r="K198" s="364" t="str">
        <f ca="1">IF( ISNA( VLOOKUP( APIF_Import!$M198 &amp; APIF_Import!$K$1,Podesavanja!$AA$3:$AD$24, 4, 0)), "", VLOOKUP( APIF_Import!$C198, INDIRECT( "Lookup_" &amp; APIF_Import!$M198), VLOOKUP( APIF_Import!$M198 &amp; APIF_Import!$K$1,Podesavanja!$AA$3:$AD$24, 4, 0), 0))</f>
        <v/>
      </c>
      <c r="L198" s="8">
        <v>202</v>
      </c>
      <c r="M198" s="8" t="s">
        <v>1497</v>
      </c>
    </row>
    <row r="199" spans="2:13" x14ac:dyDescent="0.2">
      <c r="B199" s="8">
        <f>VLOOKUP( APIF_Import!$M199, Podesavanja!$N$3:$Q$9, 4, 0)</f>
        <v>3</v>
      </c>
      <c r="C199" s="363">
        <f>VLOOKUP( APIF_Import!$L199, Aop!$A$2:$N$415, 4, 0)</f>
        <v>266</v>
      </c>
      <c r="D199" s="364" t="str">
        <f ca="1">IF( ISNA( VLOOKUP( APIF_Import!$M199 &amp; APIF_Import!$D$1,Podesavanja!$AA$3:$AD$24, 4, 0)), "", SUBSTITUTE( VALUE( VLOOKUP( APIF_Import!$C199, INDIRECT( "Lookup_" &amp; APIF_Import!$M199), VLOOKUP( APIF_Import!$M199 &amp; APIF_Import!$D$1,Podesavanja!$AA$3:$AD$24, 4, 0), 0)), ".", ","))</f>
        <v>7078</v>
      </c>
      <c r="E199" s="364" t="str">
        <f ca="1">IF( ISNA( VLOOKUP( APIF_Import!$M199 &amp; APIF_Import!$E$1,Podesavanja!$AA$3:$AD$24, 4, 0)), "", SUBSTITUTE( VALUE( VLOOKUP( APIF_Import!$C199, INDIRECT( "Lookup_" &amp; APIF_Import!$M199), VLOOKUP( APIF_Import!$M199 &amp; APIF_Import!$E$1,Podesavanja!$AA$3:$AD$24, 4, 0), 0)), ".", ","))</f>
        <v>0</v>
      </c>
      <c r="F199" s="364" t="str">
        <f ca="1">IF( ISNA( VLOOKUP( APIF_Import!$M199 &amp; APIF_Import!$F$1,Podesavanja!$AA$3:$AD$24, 4, 0)), "", VLOOKUP( APIF_Import!$C199, INDIRECT( "Lookup_" &amp; APIF_Import!$M199), VLOOKUP( APIF_Import!$M199 &amp; APIF_Import!$F$1,Podesavanja!$AA$3:$AD$24, 4, 0), 0))</f>
        <v/>
      </c>
      <c r="G199" s="364" t="str">
        <f ca="1">IF( ISNA( VLOOKUP( APIF_Import!$M199 &amp; APIF_Import!$G$1,Podesavanja!$AA$3:$AD$24, 4, 0)), "", VLOOKUP( APIF_Import!$C199, INDIRECT( "Lookup_" &amp; APIF_Import!$M199), VLOOKUP( APIF_Import!$M199 &amp; APIF_Import!$G$1,Podesavanja!$AA$3:$AD$24, 4, 0), 0))</f>
        <v/>
      </c>
      <c r="H199" s="364" t="str">
        <f ca="1">IF( ISNA( VLOOKUP( APIF_Import!$M199 &amp; APIF_Import!$H$1,Podesavanja!$AA$3:$AD$24, 4, 0)), "", VLOOKUP( APIF_Import!$C199, INDIRECT( "Lookup_" &amp; APIF_Import!$M199), VLOOKUP( APIF_Import!$M199 &amp; APIF_Import!$H$1,Podesavanja!$AA$3:$AD$24, 4, 0), 0))</f>
        <v/>
      </c>
      <c r="I199" s="364" t="str">
        <f ca="1">IF( ISNA( VLOOKUP( APIF_Import!$M199 &amp; APIF_Import!$I$1,Podesavanja!$AA$3:$AD$24, 4, 0)), "", VLOOKUP( APIF_Import!$C199, INDIRECT( "Lookup_" &amp; APIF_Import!$M199), VLOOKUP( APIF_Import!$M199 &amp; APIF_Import!$I$1,Podesavanja!$AA$3:$AD$24, 4, 0), 0))</f>
        <v/>
      </c>
      <c r="J199" s="364" t="str">
        <f ca="1">IF( ISNA( VLOOKUP( APIF_Import!$M199 &amp; APIF_Import!$J$1,Podesavanja!$AA$3:$AD$24, 4, 0)), "", VLOOKUP( APIF_Import!$C199, INDIRECT( "Lookup_" &amp; APIF_Import!$M199), VLOOKUP( APIF_Import!$M199 &amp; APIF_Import!$J$1,Podesavanja!$AA$3:$AD$24, 4, 0), 0))</f>
        <v/>
      </c>
      <c r="K199" s="364" t="str">
        <f ca="1">IF( ISNA( VLOOKUP( APIF_Import!$M199 &amp; APIF_Import!$K$1,Podesavanja!$AA$3:$AD$24, 4, 0)), "", VLOOKUP( APIF_Import!$C199, INDIRECT( "Lookup_" &amp; APIF_Import!$M199), VLOOKUP( APIF_Import!$M199 &amp; APIF_Import!$K$1,Podesavanja!$AA$3:$AD$24, 4, 0), 0))</f>
        <v/>
      </c>
      <c r="L199" s="8">
        <v>203</v>
      </c>
      <c r="M199" s="8" t="s">
        <v>1497</v>
      </c>
    </row>
    <row r="200" spans="2:13" x14ac:dyDescent="0.2">
      <c r="B200" s="8">
        <f>VLOOKUP( APIF_Import!$M200, Podesavanja!$N$3:$Q$9, 4, 0)</f>
        <v>3</v>
      </c>
      <c r="C200" s="363">
        <f>VLOOKUP( APIF_Import!$L200, Aop!$A$2:$N$415, 4, 0)</f>
        <v>267</v>
      </c>
      <c r="D200" s="364" t="str">
        <f ca="1">IF( ISNA( VLOOKUP( APIF_Import!$M200 &amp; APIF_Import!$D$1,Podesavanja!$AA$3:$AD$24, 4, 0)), "", SUBSTITUTE( VALUE( VLOOKUP( APIF_Import!$C200, INDIRECT( "Lookup_" &amp; APIF_Import!$M200), VLOOKUP( APIF_Import!$M200 &amp; APIF_Import!$D$1,Podesavanja!$AA$3:$AD$24, 4, 0), 0)), ".", ","))</f>
        <v>78729</v>
      </c>
      <c r="E200" s="364" t="str">
        <f ca="1">IF( ISNA( VLOOKUP( APIF_Import!$M200 &amp; APIF_Import!$E$1,Podesavanja!$AA$3:$AD$24, 4, 0)), "", SUBSTITUTE( VALUE( VLOOKUP( APIF_Import!$C200, INDIRECT( "Lookup_" &amp; APIF_Import!$M200), VLOOKUP( APIF_Import!$M200 &amp; APIF_Import!$E$1,Podesavanja!$AA$3:$AD$24, 4, 0), 0)), ".", ","))</f>
        <v>54406</v>
      </c>
      <c r="F200" s="364" t="str">
        <f ca="1">IF( ISNA( VLOOKUP( APIF_Import!$M200 &amp; APIF_Import!$F$1,Podesavanja!$AA$3:$AD$24, 4, 0)), "", VLOOKUP( APIF_Import!$C200, INDIRECT( "Lookup_" &amp; APIF_Import!$M200), VLOOKUP( APIF_Import!$M200 &amp; APIF_Import!$F$1,Podesavanja!$AA$3:$AD$24, 4, 0), 0))</f>
        <v/>
      </c>
      <c r="G200" s="364" t="str">
        <f ca="1">IF( ISNA( VLOOKUP( APIF_Import!$M200 &amp; APIF_Import!$G$1,Podesavanja!$AA$3:$AD$24, 4, 0)), "", VLOOKUP( APIF_Import!$C200, INDIRECT( "Lookup_" &amp; APIF_Import!$M200), VLOOKUP( APIF_Import!$M200 &amp; APIF_Import!$G$1,Podesavanja!$AA$3:$AD$24, 4, 0), 0))</f>
        <v/>
      </c>
      <c r="H200" s="364" t="str">
        <f ca="1">IF( ISNA( VLOOKUP( APIF_Import!$M200 &amp; APIF_Import!$H$1,Podesavanja!$AA$3:$AD$24, 4, 0)), "", VLOOKUP( APIF_Import!$C200, INDIRECT( "Lookup_" &amp; APIF_Import!$M200), VLOOKUP( APIF_Import!$M200 &amp; APIF_Import!$H$1,Podesavanja!$AA$3:$AD$24, 4, 0), 0))</f>
        <v/>
      </c>
      <c r="I200" s="364" t="str">
        <f ca="1">IF( ISNA( VLOOKUP( APIF_Import!$M200 &amp; APIF_Import!$I$1,Podesavanja!$AA$3:$AD$24, 4, 0)), "", VLOOKUP( APIF_Import!$C200, INDIRECT( "Lookup_" &amp; APIF_Import!$M200), VLOOKUP( APIF_Import!$M200 &amp; APIF_Import!$I$1,Podesavanja!$AA$3:$AD$24, 4, 0), 0))</f>
        <v/>
      </c>
      <c r="J200" s="364" t="str">
        <f ca="1">IF( ISNA( VLOOKUP( APIF_Import!$M200 &amp; APIF_Import!$J$1,Podesavanja!$AA$3:$AD$24, 4, 0)), "", VLOOKUP( APIF_Import!$C200, INDIRECT( "Lookup_" &amp; APIF_Import!$M200), VLOOKUP( APIF_Import!$M200 &amp; APIF_Import!$J$1,Podesavanja!$AA$3:$AD$24, 4, 0), 0))</f>
        <v/>
      </c>
      <c r="K200" s="364" t="str">
        <f ca="1">IF( ISNA( VLOOKUP( APIF_Import!$M200 &amp; APIF_Import!$K$1,Podesavanja!$AA$3:$AD$24, 4, 0)), "", VLOOKUP( APIF_Import!$C200, INDIRECT( "Lookup_" &amp; APIF_Import!$M200), VLOOKUP( APIF_Import!$M200 &amp; APIF_Import!$K$1,Podesavanja!$AA$3:$AD$24, 4, 0), 0))</f>
        <v/>
      </c>
      <c r="L200" s="8">
        <v>204</v>
      </c>
      <c r="M200" s="8" t="s">
        <v>1497</v>
      </c>
    </row>
    <row r="201" spans="2:13" x14ac:dyDescent="0.2">
      <c r="B201" s="8">
        <f>VLOOKUP( APIF_Import!$M201, Podesavanja!$N$3:$Q$9, 4, 0)</f>
        <v>3</v>
      </c>
      <c r="C201" s="363">
        <f>VLOOKUP( APIF_Import!$L201, Aop!$A$2:$N$415, 4, 0)</f>
        <v>268</v>
      </c>
      <c r="D201" s="364" t="str">
        <f ca="1">IF( ISNA( VLOOKUP( APIF_Import!$M201 &amp; APIF_Import!$D$1,Podesavanja!$AA$3:$AD$24, 4, 0)), "", SUBSTITUTE( VALUE( VLOOKUP( APIF_Import!$C201, INDIRECT( "Lookup_" &amp; APIF_Import!$M201), VLOOKUP( APIF_Import!$M201 &amp; APIF_Import!$D$1,Podesavanja!$AA$3:$AD$24, 4, 0), 0)), ".", ","))</f>
        <v>0</v>
      </c>
      <c r="E201" s="364" t="str">
        <f ca="1">IF( ISNA( VLOOKUP( APIF_Import!$M201 &amp; APIF_Import!$E$1,Podesavanja!$AA$3:$AD$24, 4, 0)), "", SUBSTITUTE( VALUE( VLOOKUP( APIF_Import!$C201, INDIRECT( "Lookup_" &amp; APIF_Import!$M201), VLOOKUP( APIF_Import!$M201 &amp; APIF_Import!$E$1,Podesavanja!$AA$3:$AD$24, 4, 0), 0)), ".", ","))</f>
        <v>0</v>
      </c>
      <c r="F201" s="364" t="str">
        <f ca="1">IF( ISNA( VLOOKUP( APIF_Import!$M201 &amp; APIF_Import!$F$1,Podesavanja!$AA$3:$AD$24, 4, 0)), "", VLOOKUP( APIF_Import!$C201, INDIRECT( "Lookup_" &amp; APIF_Import!$M201), VLOOKUP( APIF_Import!$M201 &amp; APIF_Import!$F$1,Podesavanja!$AA$3:$AD$24, 4, 0), 0))</f>
        <v/>
      </c>
      <c r="G201" s="364" t="str">
        <f ca="1">IF( ISNA( VLOOKUP( APIF_Import!$M201 &amp; APIF_Import!$G$1,Podesavanja!$AA$3:$AD$24, 4, 0)), "", VLOOKUP( APIF_Import!$C201, INDIRECT( "Lookup_" &amp; APIF_Import!$M201), VLOOKUP( APIF_Import!$M201 &amp; APIF_Import!$G$1,Podesavanja!$AA$3:$AD$24, 4, 0), 0))</f>
        <v/>
      </c>
      <c r="H201" s="364" t="str">
        <f ca="1">IF( ISNA( VLOOKUP( APIF_Import!$M201 &amp; APIF_Import!$H$1,Podesavanja!$AA$3:$AD$24, 4, 0)), "", VLOOKUP( APIF_Import!$C201, INDIRECT( "Lookup_" &amp; APIF_Import!$M201), VLOOKUP( APIF_Import!$M201 &amp; APIF_Import!$H$1,Podesavanja!$AA$3:$AD$24, 4, 0), 0))</f>
        <v/>
      </c>
      <c r="I201" s="364" t="str">
        <f ca="1">IF( ISNA( VLOOKUP( APIF_Import!$M201 &amp; APIF_Import!$I$1,Podesavanja!$AA$3:$AD$24, 4, 0)), "", VLOOKUP( APIF_Import!$C201, INDIRECT( "Lookup_" &amp; APIF_Import!$M201), VLOOKUP( APIF_Import!$M201 &amp; APIF_Import!$I$1,Podesavanja!$AA$3:$AD$24, 4, 0), 0))</f>
        <v/>
      </c>
      <c r="J201" s="364" t="str">
        <f ca="1">IF( ISNA( VLOOKUP( APIF_Import!$M201 &amp; APIF_Import!$J$1,Podesavanja!$AA$3:$AD$24, 4, 0)), "", VLOOKUP( APIF_Import!$C201, INDIRECT( "Lookup_" &amp; APIF_Import!$M201), VLOOKUP( APIF_Import!$M201 &amp; APIF_Import!$J$1,Podesavanja!$AA$3:$AD$24, 4, 0), 0))</f>
        <v/>
      </c>
      <c r="K201" s="364" t="str">
        <f ca="1">IF( ISNA( VLOOKUP( APIF_Import!$M201 &amp; APIF_Import!$K$1,Podesavanja!$AA$3:$AD$24, 4, 0)), "", VLOOKUP( APIF_Import!$C201, INDIRECT( "Lookup_" &amp; APIF_Import!$M201), VLOOKUP( APIF_Import!$M201 &amp; APIF_Import!$K$1,Podesavanja!$AA$3:$AD$24, 4, 0), 0))</f>
        <v/>
      </c>
      <c r="L201" s="8">
        <v>205</v>
      </c>
      <c r="M201" s="8" t="s">
        <v>1497</v>
      </c>
    </row>
    <row r="202" spans="2:13" x14ac:dyDescent="0.2">
      <c r="B202" s="8">
        <f>VLOOKUP( APIF_Import!$M202, Podesavanja!$N$3:$Q$9, 4, 0)</f>
        <v>3</v>
      </c>
      <c r="C202" s="363">
        <f>VLOOKUP( APIF_Import!$L202, Aop!$A$2:$N$415, 4, 0)</f>
        <v>269</v>
      </c>
      <c r="D202" s="364" t="str">
        <f ca="1">IF( ISNA( VLOOKUP( APIF_Import!$M202 &amp; APIF_Import!$D$1,Podesavanja!$AA$3:$AD$24, 4, 0)), "", SUBSTITUTE( VALUE( VLOOKUP( APIF_Import!$C202, INDIRECT( "Lookup_" &amp; APIF_Import!$M202), VLOOKUP( APIF_Import!$M202 &amp; APIF_Import!$D$1,Podesavanja!$AA$3:$AD$24, 4, 0), 0)), ".", ","))</f>
        <v>85720</v>
      </c>
      <c r="E202" s="364" t="str">
        <f ca="1">IF( ISNA( VLOOKUP( APIF_Import!$M202 &amp; APIF_Import!$E$1,Podesavanja!$AA$3:$AD$24, 4, 0)), "", SUBSTITUTE( VALUE( VLOOKUP( APIF_Import!$C202, INDIRECT( "Lookup_" &amp; APIF_Import!$M202), VLOOKUP( APIF_Import!$M202 &amp; APIF_Import!$E$1,Podesavanja!$AA$3:$AD$24, 4, 0), 0)), ".", ","))</f>
        <v>29929</v>
      </c>
      <c r="F202" s="364" t="str">
        <f ca="1">IF( ISNA( VLOOKUP( APIF_Import!$M202 &amp; APIF_Import!$F$1,Podesavanja!$AA$3:$AD$24, 4, 0)), "", VLOOKUP( APIF_Import!$C202, INDIRECT( "Lookup_" &amp; APIF_Import!$M202), VLOOKUP( APIF_Import!$M202 &amp; APIF_Import!$F$1,Podesavanja!$AA$3:$AD$24, 4, 0), 0))</f>
        <v/>
      </c>
      <c r="G202" s="364" t="str">
        <f ca="1">IF( ISNA( VLOOKUP( APIF_Import!$M202 &amp; APIF_Import!$G$1,Podesavanja!$AA$3:$AD$24, 4, 0)), "", VLOOKUP( APIF_Import!$C202, INDIRECT( "Lookup_" &amp; APIF_Import!$M202), VLOOKUP( APIF_Import!$M202 &amp; APIF_Import!$G$1,Podesavanja!$AA$3:$AD$24, 4, 0), 0))</f>
        <v/>
      </c>
      <c r="H202" s="364" t="str">
        <f ca="1">IF( ISNA( VLOOKUP( APIF_Import!$M202 &amp; APIF_Import!$H$1,Podesavanja!$AA$3:$AD$24, 4, 0)), "", VLOOKUP( APIF_Import!$C202, INDIRECT( "Lookup_" &amp; APIF_Import!$M202), VLOOKUP( APIF_Import!$M202 &amp; APIF_Import!$H$1,Podesavanja!$AA$3:$AD$24, 4, 0), 0))</f>
        <v/>
      </c>
      <c r="I202" s="364" t="str">
        <f ca="1">IF( ISNA( VLOOKUP( APIF_Import!$M202 &amp; APIF_Import!$I$1,Podesavanja!$AA$3:$AD$24, 4, 0)), "", VLOOKUP( APIF_Import!$C202, INDIRECT( "Lookup_" &amp; APIF_Import!$M202), VLOOKUP( APIF_Import!$M202 &amp; APIF_Import!$I$1,Podesavanja!$AA$3:$AD$24, 4, 0), 0))</f>
        <v/>
      </c>
      <c r="J202" s="364" t="str">
        <f ca="1">IF( ISNA( VLOOKUP( APIF_Import!$M202 &amp; APIF_Import!$J$1,Podesavanja!$AA$3:$AD$24, 4, 0)), "", VLOOKUP( APIF_Import!$C202, INDIRECT( "Lookup_" &amp; APIF_Import!$M202), VLOOKUP( APIF_Import!$M202 &amp; APIF_Import!$J$1,Podesavanja!$AA$3:$AD$24, 4, 0), 0))</f>
        <v/>
      </c>
      <c r="K202" s="364" t="str">
        <f ca="1">IF( ISNA( VLOOKUP( APIF_Import!$M202 &amp; APIF_Import!$K$1,Podesavanja!$AA$3:$AD$24, 4, 0)), "", VLOOKUP( APIF_Import!$C202, INDIRECT( "Lookup_" &amp; APIF_Import!$M202), VLOOKUP( APIF_Import!$M202 &amp; APIF_Import!$K$1,Podesavanja!$AA$3:$AD$24, 4, 0), 0))</f>
        <v/>
      </c>
      <c r="L202" s="8">
        <v>206</v>
      </c>
      <c r="M202" s="8" t="s">
        <v>1497</v>
      </c>
    </row>
    <row r="203" spans="2:13" x14ac:dyDescent="0.2">
      <c r="B203" s="8">
        <f>VLOOKUP( APIF_Import!$M203, Podesavanja!$N$3:$Q$9, 4, 0)</f>
        <v>3</v>
      </c>
      <c r="C203" s="363">
        <f>VLOOKUP( APIF_Import!$L203, Aop!$A$2:$N$415, 4, 0)</f>
        <v>270</v>
      </c>
      <c r="D203" s="364" t="str">
        <f ca="1">IF( ISNA( VLOOKUP( APIF_Import!$M203 &amp; APIF_Import!$D$1,Podesavanja!$AA$3:$AD$24, 4, 0)), "", SUBSTITUTE( VALUE( VLOOKUP( APIF_Import!$C203, INDIRECT( "Lookup_" &amp; APIF_Import!$M203), VLOOKUP( APIF_Import!$M203 &amp; APIF_Import!$D$1,Podesavanja!$AA$3:$AD$24, 4, 0), 0)), ".", ","))</f>
        <v>0</v>
      </c>
      <c r="E203" s="364" t="str">
        <f ca="1">IF( ISNA( VLOOKUP( APIF_Import!$M203 &amp; APIF_Import!$E$1,Podesavanja!$AA$3:$AD$24, 4, 0)), "", SUBSTITUTE( VALUE( VLOOKUP( APIF_Import!$C203, INDIRECT( "Lookup_" &amp; APIF_Import!$M203), VLOOKUP( APIF_Import!$M203 &amp; APIF_Import!$E$1,Podesavanja!$AA$3:$AD$24, 4, 0), 0)), ".", ","))</f>
        <v>0</v>
      </c>
      <c r="F203" s="364" t="str">
        <f ca="1">IF( ISNA( VLOOKUP( APIF_Import!$M203 &amp; APIF_Import!$F$1,Podesavanja!$AA$3:$AD$24, 4, 0)), "", VLOOKUP( APIF_Import!$C203, INDIRECT( "Lookup_" &amp; APIF_Import!$M203), VLOOKUP( APIF_Import!$M203 &amp; APIF_Import!$F$1,Podesavanja!$AA$3:$AD$24, 4, 0), 0))</f>
        <v/>
      </c>
      <c r="G203" s="364" t="str">
        <f ca="1">IF( ISNA( VLOOKUP( APIF_Import!$M203 &amp; APIF_Import!$G$1,Podesavanja!$AA$3:$AD$24, 4, 0)), "", VLOOKUP( APIF_Import!$C203, INDIRECT( "Lookup_" &amp; APIF_Import!$M203), VLOOKUP( APIF_Import!$M203 &amp; APIF_Import!$G$1,Podesavanja!$AA$3:$AD$24, 4, 0), 0))</f>
        <v/>
      </c>
      <c r="H203" s="364" t="str">
        <f ca="1">IF( ISNA( VLOOKUP( APIF_Import!$M203 &amp; APIF_Import!$H$1,Podesavanja!$AA$3:$AD$24, 4, 0)), "", VLOOKUP( APIF_Import!$C203, INDIRECT( "Lookup_" &amp; APIF_Import!$M203), VLOOKUP( APIF_Import!$M203 &amp; APIF_Import!$H$1,Podesavanja!$AA$3:$AD$24, 4, 0), 0))</f>
        <v/>
      </c>
      <c r="I203" s="364" t="str">
        <f ca="1">IF( ISNA( VLOOKUP( APIF_Import!$M203 &amp; APIF_Import!$I$1,Podesavanja!$AA$3:$AD$24, 4, 0)), "", VLOOKUP( APIF_Import!$C203, INDIRECT( "Lookup_" &amp; APIF_Import!$M203), VLOOKUP( APIF_Import!$M203 &amp; APIF_Import!$I$1,Podesavanja!$AA$3:$AD$24, 4, 0), 0))</f>
        <v/>
      </c>
      <c r="J203" s="364" t="str">
        <f ca="1">IF( ISNA( VLOOKUP( APIF_Import!$M203 &amp; APIF_Import!$J$1,Podesavanja!$AA$3:$AD$24, 4, 0)), "", VLOOKUP( APIF_Import!$C203, INDIRECT( "Lookup_" &amp; APIF_Import!$M203), VLOOKUP( APIF_Import!$M203 &amp; APIF_Import!$J$1,Podesavanja!$AA$3:$AD$24, 4, 0), 0))</f>
        <v/>
      </c>
      <c r="K203" s="364" t="str">
        <f ca="1">IF( ISNA( VLOOKUP( APIF_Import!$M203 &amp; APIF_Import!$K$1,Podesavanja!$AA$3:$AD$24, 4, 0)), "", VLOOKUP( APIF_Import!$C203, INDIRECT( "Lookup_" &amp; APIF_Import!$M203), VLOOKUP( APIF_Import!$M203 &amp; APIF_Import!$K$1,Podesavanja!$AA$3:$AD$24, 4, 0), 0))</f>
        <v/>
      </c>
      <c r="L203" s="8">
        <v>208</v>
      </c>
      <c r="M203" s="8" t="s">
        <v>1497</v>
      </c>
    </row>
    <row r="204" spans="2:13" x14ac:dyDescent="0.2">
      <c r="B204" s="8">
        <f>VLOOKUP( APIF_Import!$M204, Podesavanja!$N$3:$Q$9, 4, 0)</f>
        <v>3</v>
      </c>
      <c r="C204" s="363">
        <f>VLOOKUP( APIF_Import!$L204, Aop!$A$2:$N$415, 4, 0)</f>
        <v>271</v>
      </c>
      <c r="D204" s="364" t="str">
        <f ca="1">IF( ISNA( VLOOKUP( APIF_Import!$M204 &amp; APIF_Import!$D$1,Podesavanja!$AA$3:$AD$24, 4, 0)), "", SUBSTITUTE( VALUE( VLOOKUP( APIF_Import!$C204, INDIRECT( "Lookup_" &amp; APIF_Import!$M204), VLOOKUP( APIF_Import!$M204 &amp; APIF_Import!$D$1,Podesavanja!$AA$3:$AD$24, 4, 0), 0)), ".", ","))</f>
        <v>0</v>
      </c>
      <c r="E204" s="364" t="str">
        <f ca="1">IF( ISNA( VLOOKUP( APIF_Import!$M204 &amp; APIF_Import!$E$1,Podesavanja!$AA$3:$AD$24, 4, 0)), "", SUBSTITUTE( VALUE( VLOOKUP( APIF_Import!$C204, INDIRECT( "Lookup_" &amp; APIF_Import!$M204), VLOOKUP( APIF_Import!$M204 &amp; APIF_Import!$E$1,Podesavanja!$AA$3:$AD$24, 4, 0), 0)), ".", ","))</f>
        <v>0</v>
      </c>
      <c r="F204" s="364" t="str">
        <f ca="1">IF( ISNA( VLOOKUP( APIF_Import!$M204 &amp; APIF_Import!$F$1,Podesavanja!$AA$3:$AD$24, 4, 0)), "", VLOOKUP( APIF_Import!$C204, INDIRECT( "Lookup_" &amp; APIF_Import!$M204), VLOOKUP( APIF_Import!$M204 &amp; APIF_Import!$F$1,Podesavanja!$AA$3:$AD$24, 4, 0), 0))</f>
        <v/>
      </c>
      <c r="G204" s="364" t="str">
        <f ca="1">IF( ISNA( VLOOKUP( APIF_Import!$M204 &amp; APIF_Import!$G$1,Podesavanja!$AA$3:$AD$24, 4, 0)), "", VLOOKUP( APIF_Import!$C204, INDIRECT( "Lookup_" &amp; APIF_Import!$M204), VLOOKUP( APIF_Import!$M204 &amp; APIF_Import!$G$1,Podesavanja!$AA$3:$AD$24, 4, 0), 0))</f>
        <v/>
      </c>
      <c r="H204" s="364" t="str">
        <f ca="1">IF( ISNA( VLOOKUP( APIF_Import!$M204 &amp; APIF_Import!$H$1,Podesavanja!$AA$3:$AD$24, 4, 0)), "", VLOOKUP( APIF_Import!$C204, INDIRECT( "Lookup_" &amp; APIF_Import!$M204), VLOOKUP( APIF_Import!$M204 &amp; APIF_Import!$H$1,Podesavanja!$AA$3:$AD$24, 4, 0), 0))</f>
        <v/>
      </c>
      <c r="I204" s="364" t="str">
        <f ca="1">IF( ISNA( VLOOKUP( APIF_Import!$M204 &amp; APIF_Import!$I$1,Podesavanja!$AA$3:$AD$24, 4, 0)), "", VLOOKUP( APIF_Import!$C204, INDIRECT( "Lookup_" &amp; APIF_Import!$M204), VLOOKUP( APIF_Import!$M204 &amp; APIF_Import!$I$1,Podesavanja!$AA$3:$AD$24, 4, 0), 0))</f>
        <v/>
      </c>
      <c r="J204" s="364" t="str">
        <f ca="1">IF( ISNA( VLOOKUP( APIF_Import!$M204 &amp; APIF_Import!$J$1,Podesavanja!$AA$3:$AD$24, 4, 0)), "", VLOOKUP( APIF_Import!$C204, INDIRECT( "Lookup_" &amp; APIF_Import!$M204), VLOOKUP( APIF_Import!$M204 &amp; APIF_Import!$J$1,Podesavanja!$AA$3:$AD$24, 4, 0), 0))</f>
        <v/>
      </c>
      <c r="K204" s="364" t="str">
        <f ca="1">IF( ISNA( VLOOKUP( APIF_Import!$M204 &amp; APIF_Import!$K$1,Podesavanja!$AA$3:$AD$24, 4, 0)), "", VLOOKUP( APIF_Import!$C204, INDIRECT( "Lookup_" &amp; APIF_Import!$M204), VLOOKUP( APIF_Import!$M204 &amp; APIF_Import!$K$1,Podesavanja!$AA$3:$AD$24, 4, 0), 0))</f>
        <v/>
      </c>
      <c r="L204" s="8">
        <v>209</v>
      </c>
      <c r="M204" s="8" t="s">
        <v>1497</v>
      </c>
    </row>
    <row r="205" spans="2:13" x14ac:dyDescent="0.2">
      <c r="B205" s="8">
        <f>VLOOKUP( APIF_Import!$M205, Podesavanja!$N$3:$Q$9, 4, 0)</f>
        <v>3</v>
      </c>
      <c r="C205" s="363">
        <f>VLOOKUP( APIF_Import!$L205, Aop!$A$2:$N$415, 4, 0)</f>
        <v>272</v>
      </c>
      <c r="D205" s="364" t="str">
        <f ca="1">IF( ISNA( VLOOKUP( APIF_Import!$M205 &amp; APIF_Import!$D$1,Podesavanja!$AA$3:$AD$24, 4, 0)), "", SUBSTITUTE( VALUE( VLOOKUP( APIF_Import!$C205, INDIRECT( "Lookup_" &amp; APIF_Import!$M205), VLOOKUP( APIF_Import!$M205 &amp; APIF_Import!$D$1,Podesavanja!$AA$3:$AD$24, 4, 0), 0)), ".", ","))</f>
        <v>0</v>
      </c>
      <c r="E205" s="364" t="str">
        <f ca="1">IF( ISNA( VLOOKUP( APIF_Import!$M205 &amp; APIF_Import!$E$1,Podesavanja!$AA$3:$AD$24, 4, 0)), "", SUBSTITUTE( VALUE( VLOOKUP( APIF_Import!$C205, INDIRECT( "Lookup_" &amp; APIF_Import!$M205), VLOOKUP( APIF_Import!$M205 &amp; APIF_Import!$E$1,Podesavanja!$AA$3:$AD$24, 4, 0), 0)), ".", ","))</f>
        <v>0</v>
      </c>
      <c r="F205" s="364" t="str">
        <f ca="1">IF( ISNA( VLOOKUP( APIF_Import!$M205 &amp; APIF_Import!$F$1,Podesavanja!$AA$3:$AD$24, 4, 0)), "", VLOOKUP( APIF_Import!$C205, INDIRECT( "Lookup_" &amp; APIF_Import!$M205), VLOOKUP( APIF_Import!$M205 &amp; APIF_Import!$F$1,Podesavanja!$AA$3:$AD$24, 4, 0), 0))</f>
        <v/>
      </c>
      <c r="G205" s="364" t="str">
        <f ca="1">IF( ISNA( VLOOKUP( APIF_Import!$M205 &amp; APIF_Import!$G$1,Podesavanja!$AA$3:$AD$24, 4, 0)), "", VLOOKUP( APIF_Import!$C205, INDIRECT( "Lookup_" &amp; APIF_Import!$M205), VLOOKUP( APIF_Import!$M205 &amp; APIF_Import!$G$1,Podesavanja!$AA$3:$AD$24, 4, 0), 0))</f>
        <v/>
      </c>
      <c r="H205" s="364" t="str">
        <f ca="1">IF( ISNA( VLOOKUP( APIF_Import!$M205 &amp; APIF_Import!$H$1,Podesavanja!$AA$3:$AD$24, 4, 0)), "", VLOOKUP( APIF_Import!$C205, INDIRECT( "Lookup_" &amp; APIF_Import!$M205), VLOOKUP( APIF_Import!$M205 &amp; APIF_Import!$H$1,Podesavanja!$AA$3:$AD$24, 4, 0), 0))</f>
        <v/>
      </c>
      <c r="I205" s="364" t="str">
        <f ca="1">IF( ISNA( VLOOKUP( APIF_Import!$M205 &amp; APIF_Import!$I$1,Podesavanja!$AA$3:$AD$24, 4, 0)), "", VLOOKUP( APIF_Import!$C205, INDIRECT( "Lookup_" &amp; APIF_Import!$M205), VLOOKUP( APIF_Import!$M205 &amp; APIF_Import!$I$1,Podesavanja!$AA$3:$AD$24, 4, 0), 0))</f>
        <v/>
      </c>
      <c r="J205" s="364" t="str">
        <f ca="1">IF( ISNA( VLOOKUP( APIF_Import!$M205 &amp; APIF_Import!$J$1,Podesavanja!$AA$3:$AD$24, 4, 0)), "", VLOOKUP( APIF_Import!$C205, INDIRECT( "Lookup_" &amp; APIF_Import!$M205), VLOOKUP( APIF_Import!$M205 &amp; APIF_Import!$J$1,Podesavanja!$AA$3:$AD$24, 4, 0), 0))</f>
        <v/>
      </c>
      <c r="K205" s="364" t="str">
        <f ca="1">IF( ISNA( VLOOKUP( APIF_Import!$M205 &amp; APIF_Import!$K$1,Podesavanja!$AA$3:$AD$24, 4, 0)), "", VLOOKUP( APIF_Import!$C205, INDIRECT( "Lookup_" &amp; APIF_Import!$M205), VLOOKUP( APIF_Import!$M205 &amp; APIF_Import!$K$1,Podesavanja!$AA$3:$AD$24, 4, 0), 0))</f>
        <v/>
      </c>
      <c r="L205" s="8">
        <v>210</v>
      </c>
      <c r="M205" s="8" t="s">
        <v>1497</v>
      </c>
    </row>
    <row r="206" spans="2:13" x14ac:dyDescent="0.2">
      <c r="B206" s="8">
        <f>VLOOKUP( APIF_Import!$M206, Podesavanja!$N$3:$Q$9, 4, 0)</f>
        <v>3</v>
      </c>
      <c r="C206" s="363">
        <f>VLOOKUP( APIF_Import!$L206, Aop!$A$2:$N$415, 4, 0)</f>
        <v>273</v>
      </c>
      <c r="D206" s="364" t="str">
        <f ca="1">IF( ISNA( VLOOKUP( APIF_Import!$M206 &amp; APIF_Import!$D$1,Podesavanja!$AA$3:$AD$24, 4, 0)), "", SUBSTITUTE( VALUE( VLOOKUP( APIF_Import!$C206, INDIRECT( "Lookup_" &amp; APIF_Import!$M206), VLOOKUP( APIF_Import!$M206 &amp; APIF_Import!$D$1,Podesavanja!$AA$3:$AD$24, 4, 0), 0)), ".", ","))</f>
        <v>0</v>
      </c>
      <c r="E206" s="364" t="str">
        <f ca="1">IF( ISNA( VLOOKUP( APIF_Import!$M206 &amp; APIF_Import!$E$1,Podesavanja!$AA$3:$AD$24, 4, 0)), "", SUBSTITUTE( VALUE( VLOOKUP( APIF_Import!$C206, INDIRECT( "Lookup_" &amp; APIF_Import!$M206), VLOOKUP( APIF_Import!$M206 &amp; APIF_Import!$E$1,Podesavanja!$AA$3:$AD$24, 4, 0), 0)), ".", ","))</f>
        <v>0</v>
      </c>
      <c r="F206" s="364" t="str">
        <f ca="1">IF( ISNA( VLOOKUP( APIF_Import!$M206 &amp; APIF_Import!$F$1,Podesavanja!$AA$3:$AD$24, 4, 0)), "", VLOOKUP( APIF_Import!$C206, INDIRECT( "Lookup_" &amp; APIF_Import!$M206), VLOOKUP( APIF_Import!$M206 &amp; APIF_Import!$F$1,Podesavanja!$AA$3:$AD$24, 4, 0), 0))</f>
        <v/>
      </c>
      <c r="G206" s="364" t="str">
        <f ca="1">IF( ISNA( VLOOKUP( APIF_Import!$M206 &amp; APIF_Import!$G$1,Podesavanja!$AA$3:$AD$24, 4, 0)), "", VLOOKUP( APIF_Import!$C206, INDIRECT( "Lookup_" &amp; APIF_Import!$M206), VLOOKUP( APIF_Import!$M206 &amp; APIF_Import!$G$1,Podesavanja!$AA$3:$AD$24, 4, 0), 0))</f>
        <v/>
      </c>
      <c r="H206" s="364" t="str">
        <f ca="1">IF( ISNA( VLOOKUP( APIF_Import!$M206 &amp; APIF_Import!$H$1,Podesavanja!$AA$3:$AD$24, 4, 0)), "", VLOOKUP( APIF_Import!$C206, INDIRECT( "Lookup_" &amp; APIF_Import!$M206), VLOOKUP( APIF_Import!$M206 &amp; APIF_Import!$H$1,Podesavanja!$AA$3:$AD$24, 4, 0), 0))</f>
        <v/>
      </c>
      <c r="I206" s="364" t="str">
        <f ca="1">IF( ISNA( VLOOKUP( APIF_Import!$M206 &amp; APIF_Import!$I$1,Podesavanja!$AA$3:$AD$24, 4, 0)), "", VLOOKUP( APIF_Import!$C206, INDIRECT( "Lookup_" &amp; APIF_Import!$M206), VLOOKUP( APIF_Import!$M206 &amp; APIF_Import!$I$1,Podesavanja!$AA$3:$AD$24, 4, 0), 0))</f>
        <v/>
      </c>
      <c r="J206" s="364" t="str">
        <f ca="1">IF( ISNA( VLOOKUP( APIF_Import!$M206 &amp; APIF_Import!$J$1,Podesavanja!$AA$3:$AD$24, 4, 0)), "", VLOOKUP( APIF_Import!$C206, INDIRECT( "Lookup_" &amp; APIF_Import!$M206), VLOOKUP( APIF_Import!$M206 &amp; APIF_Import!$J$1,Podesavanja!$AA$3:$AD$24, 4, 0), 0))</f>
        <v/>
      </c>
      <c r="K206" s="364" t="str">
        <f ca="1">IF( ISNA( VLOOKUP( APIF_Import!$M206 &amp; APIF_Import!$K$1,Podesavanja!$AA$3:$AD$24, 4, 0)), "", VLOOKUP( APIF_Import!$C206, INDIRECT( "Lookup_" &amp; APIF_Import!$M206), VLOOKUP( APIF_Import!$M206 &amp; APIF_Import!$K$1,Podesavanja!$AA$3:$AD$24, 4, 0), 0))</f>
        <v/>
      </c>
      <c r="L206" s="8">
        <v>211</v>
      </c>
      <c r="M206" s="8" t="s">
        <v>1497</v>
      </c>
    </row>
    <row r="207" spans="2:13" x14ac:dyDescent="0.2">
      <c r="B207" s="8">
        <f>VLOOKUP( APIF_Import!$M207, Podesavanja!$N$3:$Q$9, 4, 0)</f>
        <v>3</v>
      </c>
      <c r="C207" s="363">
        <f>VLOOKUP( APIF_Import!$L207, Aop!$A$2:$N$415, 4, 0)</f>
        <v>274</v>
      </c>
      <c r="D207" s="364" t="str">
        <f ca="1">IF( ISNA( VLOOKUP( APIF_Import!$M207 &amp; APIF_Import!$D$1,Podesavanja!$AA$3:$AD$24, 4, 0)), "", SUBSTITUTE( VALUE( VLOOKUP( APIF_Import!$C207, INDIRECT( "Lookup_" &amp; APIF_Import!$M207), VLOOKUP( APIF_Import!$M207 &amp; APIF_Import!$D$1,Podesavanja!$AA$3:$AD$24, 4, 0), 0)), ".", ","))</f>
        <v>0</v>
      </c>
      <c r="E207" s="364" t="str">
        <f ca="1">IF( ISNA( VLOOKUP( APIF_Import!$M207 &amp; APIF_Import!$E$1,Podesavanja!$AA$3:$AD$24, 4, 0)), "", SUBSTITUTE( VALUE( VLOOKUP( APIF_Import!$C207, INDIRECT( "Lookup_" &amp; APIF_Import!$M207), VLOOKUP( APIF_Import!$M207 &amp; APIF_Import!$E$1,Podesavanja!$AA$3:$AD$24, 4, 0), 0)), ".", ","))</f>
        <v>0</v>
      </c>
      <c r="F207" s="364" t="str">
        <f ca="1">IF( ISNA( VLOOKUP( APIF_Import!$M207 &amp; APIF_Import!$F$1,Podesavanja!$AA$3:$AD$24, 4, 0)), "", VLOOKUP( APIF_Import!$C207, INDIRECT( "Lookup_" &amp; APIF_Import!$M207), VLOOKUP( APIF_Import!$M207 &amp; APIF_Import!$F$1,Podesavanja!$AA$3:$AD$24, 4, 0), 0))</f>
        <v/>
      </c>
      <c r="G207" s="364" t="str">
        <f ca="1">IF( ISNA( VLOOKUP( APIF_Import!$M207 &amp; APIF_Import!$G$1,Podesavanja!$AA$3:$AD$24, 4, 0)), "", VLOOKUP( APIF_Import!$C207, INDIRECT( "Lookup_" &amp; APIF_Import!$M207), VLOOKUP( APIF_Import!$M207 &amp; APIF_Import!$G$1,Podesavanja!$AA$3:$AD$24, 4, 0), 0))</f>
        <v/>
      </c>
      <c r="H207" s="364" t="str">
        <f ca="1">IF( ISNA( VLOOKUP( APIF_Import!$M207 &amp; APIF_Import!$H$1,Podesavanja!$AA$3:$AD$24, 4, 0)), "", VLOOKUP( APIF_Import!$C207, INDIRECT( "Lookup_" &amp; APIF_Import!$M207), VLOOKUP( APIF_Import!$M207 &amp; APIF_Import!$H$1,Podesavanja!$AA$3:$AD$24, 4, 0), 0))</f>
        <v/>
      </c>
      <c r="I207" s="364" t="str">
        <f ca="1">IF( ISNA( VLOOKUP( APIF_Import!$M207 &amp; APIF_Import!$I$1,Podesavanja!$AA$3:$AD$24, 4, 0)), "", VLOOKUP( APIF_Import!$C207, INDIRECT( "Lookup_" &amp; APIF_Import!$M207), VLOOKUP( APIF_Import!$M207 &amp; APIF_Import!$I$1,Podesavanja!$AA$3:$AD$24, 4, 0), 0))</f>
        <v/>
      </c>
      <c r="J207" s="364" t="str">
        <f ca="1">IF( ISNA( VLOOKUP( APIF_Import!$M207 &amp; APIF_Import!$J$1,Podesavanja!$AA$3:$AD$24, 4, 0)), "", VLOOKUP( APIF_Import!$C207, INDIRECT( "Lookup_" &amp; APIF_Import!$M207), VLOOKUP( APIF_Import!$M207 &amp; APIF_Import!$J$1,Podesavanja!$AA$3:$AD$24, 4, 0), 0))</f>
        <v/>
      </c>
      <c r="K207" s="364" t="str">
        <f ca="1">IF( ISNA( VLOOKUP( APIF_Import!$M207 &amp; APIF_Import!$K$1,Podesavanja!$AA$3:$AD$24, 4, 0)), "", VLOOKUP( APIF_Import!$C207, INDIRECT( "Lookup_" &amp; APIF_Import!$M207), VLOOKUP( APIF_Import!$M207 &amp; APIF_Import!$K$1,Podesavanja!$AA$3:$AD$24, 4, 0), 0))</f>
        <v/>
      </c>
      <c r="L207" s="8">
        <v>212</v>
      </c>
      <c r="M207" s="8" t="s">
        <v>1497</v>
      </c>
    </row>
    <row r="208" spans="2:13" x14ac:dyDescent="0.2">
      <c r="B208" s="8">
        <f>VLOOKUP( APIF_Import!$M208, Podesavanja!$N$3:$Q$9, 4, 0)</f>
        <v>3</v>
      </c>
      <c r="C208" s="363">
        <f>VLOOKUP( APIF_Import!$L208, Aop!$A$2:$N$415, 4, 0)</f>
        <v>275</v>
      </c>
      <c r="D208" s="364" t="str">
        <f ca="1">IF( ISNA( VLOOKUP( APIF_Import!$M208 &amp; APIF_Import!$D$1,Podesavanja!$AA$3:$AD$24, 4, 0)), "", SUBSTITUTE( VALUE( VLOOKUP( APIF_Import!$C208, INDIRECT( "Lookup_" &amp; APIF_Import!$M208), VLOOKUP( APIF_Import!$M208 &amp; APIF_Import!$D$1,Podesavanja!$AA$3:$AD$24, 4, 0), 0)), ".", ","))</f>
        <v>0</v>
      </c>
      <c r="E208" s="364" t="str">
        <f ca="1">IF( ISNA( VLOOKUP( APIF_Import!$M208 &amp; APIF_Import!$E$1,Podesavanja!$AA$3:$AD$24, 4, 0)), "", SUBSTITUTE( VALUE( VLOOKUP( APIF_Import!$C208, INDIRECT( "Lookup_" &amp; APIF_Import!$M208), VLOOKUP( APIF_Import!$M208 &amp; APIF_Import!$E$1,Podesavanja!$AA$3:$AD$24, 4, 0), 0)), ".", ","))</f>
        <v>0</v>
      </c>
      <c r="F208" s="364" t="str">
        <f ca="1">IF( ISNA( VLOOKUP( APIF_Import!$M208 &amp; APIF_Import!$F$1,Podesavanja!$AA$3:$AD$24, 4, 0)), "", VLOOKUP( APIF_Import!$C208, INDIRECT( "Lookup_" &amp; APIF_Import!$M208), VLOOKUP( APIF_Import!$M208 &amp; APIF_Import!$F$1,Podesavanja!$AA$3:$AD$24, 4, 0), 0))</f>
        <v/>
      </c>
      <c r="G208" s="364" t="str">
        <f ca="1">IF( ISNA( VLOOKUP( APIF_Import!$M208 &amp; APIF_Import!$G$1,Podesavanja!$AA$3:$AD$24, 4, 0)), "", VLOOKUP( APIF_Import!$C208, INDIRECT( "Lookup_" &amp; APIF_Import!$M208), VLOOKUP( APIF_Import!$M208 &amp; APIF_Import!$G$1,Podesavanja!$AA$3:$AD$24, 4, 0), 0))</f>
        <v/>
      </c>
      <c r="H208" s="364" t="str">
        <f ca="1">IF( ISNA( VLOOKUP( APIF_Import!$M208 &amp; APIF_Import!$H$1,Podesavanja!$AA$3:$AD$24, 4, 0)), "", VLOOKUP( APIF_Import!$C208, INDIRECT( "Lookup_" &amp; APIF_Import!$M208), VLOOKUP( APIF_Import!$M208 &amp; APIF_Import!$H$1,Podesavanja!$AA$3:$AD$24, 4, 0), 0))</f>
        <v/>
      </c>
      <c r="I208" s="364" t="str">
        <f ca="1">IF( ISNA( VLOOKUP( APIF_Import!$M208 &amp; APIF_Import!$I$1,Podesavanja!$AA$3:$AD$24, 4, 0)), "", VLOOKUP( APIF_Import!$C208, INDIRECT( "Lookup_" &amp; APIF_Import!$M208), VLOOKUP( APIF_Import!$M208 &amp; APIF_Import!$I$1,Podesavanja!$AA$3:$AD$24, 4, 0), 0))</f>
        <v/>
      </c>
      <c r="J208" s="364" t="str">
        <f ca="1">IF( ISNA( VLOOKUP( APIF_Import!$M208 &amp; APIF_Import!$J$1,Podesavanja!$AA$3:$AD$24, 4, 0)), "", VLOOKUP( APIF_Import!$C208, INDIRECT( "Lookup_" &amp; APIF_Import!$M208), VLOOKUP( APIF_Import!$M208 &amp; APIF_Import!$J$1,Podesavanja!$AA$3:$AD$24, 4, 0), 0))</f>
        <v/>
      </c>
      <c r="K208" s="364" t="str">
        <f ca="1">IF( ISNA( VLOOKUP( APIF_Import!$M208 &amp; APIF_Import!$K$1,Podesavanja!$AA$3:$AD$24, 4, 0)), "", VLOOKUP( APIF_Import!$C208, INDIRECT( "Lookup_" &amp; APIF_Import!$M208), VLOOKUP( APIF_Import!$M208 &amp; APIF_Import!$K$1,Podesavanja!$AA$3:$AD$24, 4, 0), 0))</f>
        <v/>
      </c>
      <c r="L208" s="8">
        <v>213</v>
      </c>
      <c r="M208" s="8" t="s">
        <v>1497</v>
      </c>
    </row>
    <row r="209" spans="2:13" x14ac:dyDescent="0.2">
      <c r="B209" s="8">
        <f>VLOOKUP( APIF_Import!$M209, Podesavanja!$N$3:$Q$9, 4, 0)</f>
        <v>3</v>
      </c>
      <c r="C209" s="363">
        <f>VLOOKUP( APIF_Import!$L209, Aop!$A$2:$N$415, 4, 0)</f>
        <v>276</v>
      </c>
      <c r="D209" s="364" t="str">
        <f ca="1">IF( ISNA( VLOOKUP( APIF_Import!$M209 &amp; APIF_Import!$D$1,Podesavanja!$AA$3:$AD$24, 4, 0)), "", SUBSTITUTE( VALUE( VLOOKUP( APIF_Import!$C209, INDIRECT( "Lookup_" &amp; APIF_Import!$M209), VLOOKUP( APIF_Import!$M209 &amp; APIF_Import!$D$1,Podesavanja!$AA$3:$AD$24, 4, 0), 0)), ".", ","))</f>
        <v>0</v>
      </c>
      <c r="E209" s="364" t="str">
        <f ca="1">IF( ISNA( VLOOKUP( APIF_Import!$M209 &amp; APIF_Import!$E$1,Podesavanja!$AA$3:$AD$24, 4, 0)), "", SUBSTITUTE( VALUE( VLOOKUP( APIF_Import!$C209, INDIRECT( "Lookup_" &amp; APIF_Import!$M209), VLOOKUP( APIF_Import!$M209 &amp; APIF_Import!$E$1,Podesavanja!$AA$3:$AD$24, 4, 0), 0)), ".", ","))</f>
        <v>0</v>
      </c>
      <c r="F209" s="364" t="str">
        <f ca="1">IF( ISNA( VLOOKUP( APIF_Import!$M209 &amp; APIF_Import!$F$1,Podesavanja!$AA$3:$AD$24, 4, 0)), "", VLOOKUP( APIF_Import!$C209, INDIRECT( "Lookup_" &amp; APIF_Import!$M209), VLOOKUP( APIF_Import!$M209 &amp; APIF_Import!$F$1,Podesavanja!$AA$3:$AD$24, 4, 0), 0))</f>
        <v/>
      </c>
      <c r="G209" s="364" t="str">
        <f ca="1">IF( ISNA( VLOOKUP( APIF_Import!$M209 &amp; APIF_Import!$G$1,Podesavanja!$AA$3:$AD$24, 4, 0)), "", VLOOKUP( APIF_Import!$C209, INDIRECT( "Lookup_" &amp; APIF_Import!$M209), VLOOKUP( APIF_Import!$M209 &amp; APIF_Import!$G$1,Podesavanja!$AA$3:$AD$24, 4, 0), 0))</f>
        <v/>
      </c>
      <c r="H209" s="364" t="str">
        <f ca="1">IF( ISNA( VLOOKUP( APIF_Import!$M209 &amp; APIF_Import!$H$1,Podesavanja!$AA$3:$AD$24, 4, 0)), "", VLOOKUP( APIF_Import!$C209, INDIRECT( "Lookup_" &amp; APIF_Import!$M209), VLOOKUP( APIF_Import!$M209 &amp; APIF_Import!$H$1,Podesavanja!$AA$3:$AD$24, 4, 0), 0))</f>
        <v/>
      </c>
      <c r="I209" s="364" t="str">
        <f ca="1">IF( ISNA( VLOOKUP( APIF_Import!$M209 &amp; APIF_Import!$I$1,Podesavanja!$AA$3:$AD$24, 4, 0)), "", VLOOKUP( APIF_Import!$C209, INDIRECT( "Lookup_" &amp; APIF_Import!$M209), VLOOKUP( APIF_Import!$M209 &amp; APIF_Import!$I$1,Podesavanja!$AA$3:$AD$24, 4, 0), 0))</f>
        <v/>
      </c>
      <c r="J209" s="364" t="str">
        <f ca="1">IF( ISNA( VLOOKUP( APIF_Import!$M209 &amp; APIF_Import!$J$1,Podesavanja!$AA$3:$AD$24, 4, 0)), "", VLOOKUP( APIF_Import!$C209, INDIRECT( "Lookup_" &amp; APIF_Import!$M209), VLOOKUP( APIF_Import!$M209 &amp; APIF_Import!$J$1,Podesavanja!$AA$3:$AD$24, 4, 0), 0))</f>
        <v/>
      </c>
      <c r="K209" s="364" t="str">
        <f ca="1">IF( ISNA( VLOOKUP( APIF_Import!$M209 &amp; APIF_Import!$K$1,Podesavanja!$AA$3:$AD$24, 4, 0)), "", VLOOKUP( APIF_Import!$C209, INDIRECT( "Lookup_" &amp; APIF_Import!$M209), VLOOKUP( APIF_Import!$M209 &amp; APIF_Import!$K$1,Podesavanja!$AA$3:$AD$24, 4, 0), 0))</f>
        <v/>
      </c>
      <c r="L209" s="8">
        <v>214</v>
      </c>
      <c r="M209" s="8" t="s">
        <v>1497</v>
      </c>
    </row>
    <row r="210" spans="2:13" x14ac:dyDescent="0.2">
      <c r="B210" s="8">
        <f>VLOOKUP( APIF_Import!$M210, Podesavanja!$N$3:$Q$9, 4, 0)</f>
        <v>3</v>
      </c>
      <c r="C210" s="363">
        <f>VLOOKUP( APIF_Import!$L210, Aop!$A$2:$N$415, 4, 0)</f>
        <v>277</v>
      </c>
      <c r="D210" s="364" t="str">
        <f ca="1">IF( ISNA( VLOOKUP( APIF_Import!$M210 &amp; APIF_Import!$D$1,Podesavanja!$AA$3:$AD$24, 4, 0)), "", SUBSTITUTE( VALUE( VLOOKUP( APIF_Import!$C210, INDIRECT( "Lookup_" &amp; APIF_Import!$M210), VLOOKUP( APIF_Import!$M210 &amp; APIF_Import!$D$1,Podesavanja!$AA$3:$AD$24, 4, 0), 0)), ".", ","))</f>
        <v>0</v>
      </c>
      <c r="E210" s="364" t="str">
        <f ca="1">IF( ISNA( VLOOKUP( APIF_Import!$M210 &amp; APIF_Import!$E$1,Podesavanja!$AA$3:$AD$24, 4, 0)), "", SUBSTITUTE( VALUE( VLOOKUP( APIF_Import!$C210, INDIRECT( "Lookup_" &amp; APIF_Import!$M210), VLOOKUP( APIF_Import!$M210 &amp; APIF_Import!$E$1,Podesavanja!$AA$3:$AD$24, 4, 0), 0)), ".", ","))</f>
        <v>0</v>
      </c>
      <c r="F210" s="364" t="str">
        <f ca="1">IF( ISNA( VLOOKUP( APIF_Import!$M210 &amp; APIF_Import!$F$1,Podesavanja!$AA$3:$AD$24, 4, 0)), "", VLOOKUP( APIF_Import!$C210, INDIRECT( "Lookup_" &amp; APIF_Import!$M210), VLOOKUP( APIF_Import!$M210 &amp; APIF_Import!$F$1,Podesavanja!$AA$3:$AD$24, 4, 0), 0))</f>
        <v/>
      </c>
      <c r="G210" s="364" t="str">
        <f ca="1">IF( ISNA( VLOOKUP( APIF_Import!$M210 &amp; APIF_Import!$G$1,Podesavanja!$AA$3:$AD$24, 4, 0)), "", VLOOKUP( APIF_Import!$C210, INDIRECT( "Lookup_" &amp; APIF_Import!$M210), VLOOKUP( APIF_Import!$M210 &amp; APIF_Import!$G$1,Podesavanja!$AA$3:$AD$24, 4, 0), 0))</f>
        <v/>
      </c>
      <c r="H210" s="364" t="str">
        <f ca="1">IF( ISNA( VLOOKUP( APIF_Import!$M210 &amp; APIF_Import!$H$1,Podesavanja!$AA$3:$AD$24, 4, 0)), "", VLOOKUP( APIF_Import!$C210, INDIRECT( "Lookup_" &amp; APIF_Import!$M210), VLOOKUP( APIF_Import!$M210 &amp; APIF_Import!$H$1,Podesavanja!$AA$3:$AD$24, 4, 0), 0))</f>
        <v/>
      </c>
      <c r="I210" s="364" t="str">
        <f ca="1">IF( ISNA( VLOOKUP( APIF_Import!$M210 &amp; APIF_Import!$I$1,Podesavanja!$AA$3:$AD$24, 4, 0)), "", VLOOKUP( APIF_Import!$C210, INDIRECT( "Lookup_" &amp; APIF_Import!$M210), VLOOKUP( APIF_Import!$M210 &amp; APIF_Import!$I$1,Podesavanja!$AA$3:$AD$24, 4, 0), 0))</f>
        <v/>
      </c>
      <c r="J210" s="364" t="str">
        <f ca="1">IF( ISNA( VLOOKUP( APIF_Import!$M210 &amp; APIF_Import!$J$1,Podesavanja!$AA$3:$AD$24, 4, 0)), "", VLOOKUP( APIF_Import!$C210, INDIRECT( "Lookup_" &amp; APIF_Import!$M210), VLOOKUP( APIF_Import!$M210 &amp; APIF_Import!$J$1,Podesavanja!$AA$3:$AD$24, 4, 0), 0))</f>
        <v/>
      </c>
      <c r="K210" s="364" t="str">
        <f ca="1">IF( ISNA( VLOOKUP( APIF_Import!$M210 &amp; APIF_Import!$K$1,Podesavanja!$AA$3:$AD$24, 4, 0)), "", VLOOKUP( APIF_Import!$C210, INDIRECT( "Lookup_" &amp; APIF_Import!$M210), VLOOKUP( APIF_Import!$M210 &amp; APIF_Import!$K$1,Podesavanja!$AA$3:$AD$24, 4, 0), 0))</f>
        <v/>
      </c>
      <c r="L210" s="8">
        <v>215</v>
      </c>
      <c r="M210" s="8" t="s">
        <v>1497</v>
      </c>
    </row>
    <row r="211" spans="2:13" x14ac:dyDescent="0.2">
      <c r="B211" s="8">
        <f>VLOOKUP( APIF_Import!$M211, Podesavanja!$N$3:$Q$9, 4, 0)</f>
        <v>3</v>
      </c>
      <c r="C211" s="363">
        <f>VLOOKUP( APIF_Import!$L211, Aop!$A$2:$N$415, 4, 0)</f>
        <v>278</v>
      </c>
      <c r="D211" s="364" t="str">
        <f ca="1">IF( ISNA( VLOOKUP( APIF_Import!$M211 &amp; APIF_Import!$D$1,Podesavanja!$AA$3:$AD$24, 4, 0)), "", SUBSTITUTE( VALUE( VLOOKUP( APIF_Import!$C211, INDIRECT( "Lookup_" &amp; APIF_Import!$M211), VLOOKUP( APIF_Import!$M211 &amp; APIF_Import!$D$1,Podesavanja!$AA$3:$AD$24, 4, 0), 0)), ".", ","))</f>
        <v>0</v>
      </c>
      <c r="E211" s="364" t="str">
        <f ca="1">IF( ISNA( VLOOKUP( APIF_Import!$M211 &amp; APIF_Import!$E$1,Podesavanja!$AA$3:$AD$24, 4, 0)), "", SUBSTITUTE( VALUE( VLOOKUP( APIF_Import!$C211, INDIRECT( "Lookup_" &amp; APIF_Import!$M211), VLOOKUP( APIF_Import!$M211 &amp; APIF_Import!$E$1,Podesavanja!$AA$3:$AD$24, 4, 0), 0)), ".", ","))</f>
        <v>0</v>
      </c>
      <c r="F211" s="364" t="str">
        <f ca="1">IF( ISNA( VLOOKUP( APIF_Import!$M211 &amp; APIF_Import!$F$1,Podesavanja!$AA$3:$AD$24, 4, 0)), "", VLOOKUP( APIF_Import!$C211, INDIRECT( "Lookup_" &amp; APIF_Import!$M211), VLOOKUP( APIF_Import!$M211 &amp; APIF_Import!$F$1,Podesavanja!$AA$3:$AD$24, 4, 0), 0))</f>
        <v/>
      </c>
      <c r="G211" s="364" t="str">
        <f ca="1">IF( ISNA( VLOOKUP( APIF_Import!$M211 &amp; APIF_Import!$G$1,Podesavanja!$AA$3:$AD$24, 4, 0)), "", VLOOKUP( APIF_Import!$C211, INDIRECT( "Lookup_" &amp; APIF_Import!$M211), VLOOKUP( APIF_Import!$M211 &amp; APIF_Import!$G$1,Podesavanja!$AA$3:$AD$24, 4, 0), 0))</f>
        <v/>
      </c>
      <c r="H211" s="364" t="str">
        <f ca="1">IF( ISNA( VLOOKUP( APIF_Import!$M211 &amp; APIF_Import!$H$1,Podesavanja!$AA$3:$AD$24, 4, 0)), "", VLOOKUP( APIF_Import!$C211, INDIRECT( "Lookup_" &amp; APIF_Import!$M211), VLOOKUP( APIF_Import!$M211 &amp; APIF_Import!$H$1,Podesavanja!$AA$3:$AD$24, 4, 0), 0))</f>
        <v/>
      </c>
      <c r="I211" s="364" t="str">
        <f ca="1">IF( ISNA( VLOOKUP( APIF_Import!$M211 &amp; APIF_Import!$I$1,Podesavanja!$AA$3:$AD$24, 4, 0)), "", VLOOKUP( APIF_Import!$C211, INDIRECT( "Lookup_" &amp; APIF_Import!$M211), VLOOKUP( APIF_Import!$M211 &amp; APIF_Import!$I$1,Podesavanja!$AA$3:$AD$24, 4, 0), 0))</f>
        <v/>
      </c>
      <c r="J211" s="364" t="str">
        <f ca="1">IF( ISNA( VLOOKUP( APIF_Import!$M211 &amp; APIF_Import!$J$1,Podesavanja!$AA$3:$AD$24, 4, 0)), "", VLOOKUP( APIF_Import!$C211, INDIRECT( "Lookup_" &amp; APIF_Import!$M211), VLOOKUP( APIF_Import!$M211 &amp; APIF_Import!$J$1,Podesavanja!$AA$3:$AD$24, 4, 0), 0))</f>
        <v/>
      </c>
      <c r="K211" s="364" t="str">
        <f ca="1">IF( ISNA( VLOOKUP( APIF_Import!$M211 &amp; APIF_Import!$K$1,Podesavanja!$AA$3:$AD$24, 4, 0)), "", VLOOKUP( APIF_Import!$C211, INDIRECT( "Lookup_" &amp; APIF_Import!$M211), VLOOKUP( APIF_Import!$M211 &amp; APIF_Import!$K$1,Podesavanja!$AA$3:$AD$24, 4, 0), 0))</f>
        <v/>
      </c>
      <c r="L211" s="8">
        <v>216</v>
      </c>
      <c r="M211" s="8" t="s">
        <v>1497</v>
      </c>
    </row>
    <row r="212" spans="2:13" x14ac:dyDescent="0.2">
      <c r="B212" s="8">
        <f>VLOOKUP( APIF_Import!$M212, Podesavanja!$N$3:$Q$9, 4, 0)</f>
        <v>3</v>
      </c>
      <c r="C212" s="363">
        <f>VLOOKUP( APIF_Import!$L212, Aop!$A$2:$N$415, 4, 0)</f>
        <v>279</v>
      </c>
      <c r="D212" s="364" t="str">
        <f ca="1">IF( ISNA( VLOOKUP( APIF_Import!$M212 &amp; APIF_Import!$D$1,Podesavanja!$AA$3:$AD$24, 4, 0)), "", SUBSTITUTE( VALUE( VLOOKUP( APIF_Import!$C212, INDIRECT( "Lookup_" &amp; APIF_Import!$M212), VLOOKUP( APIF_Import!$M212 &amp; APIF_Import!$D$1,Podesavanja!$AA$3:$AD$24, 4, 0), 0)), ".", ","))</f>
        <v>0</v>
      </c>
      <c r="E212" s="364" t="str">
        <f ca="1">IF( ISNA( VLOOKUP( APIF_Import!$M212 &amp; APIF_Import!$E$1,Podesavanja!$AA$3:$AD$24, 4, 0)), "", SUBSTITUTE( VALUE( VLOOKUP( APIF_Import!$C212, INDIRECT( "Lookup_" &amp; APIF_Import!$M212), VLOOKUP( APIF_Import!$M212 &amp; APIF_Import!$E$1,Podesavanja!$AA$3:$AD$24, 4, 0), 0)), ".", ","))</f>
        <v>0</v>
      </c>
      <c r="F212" s="364" t="str">
        <f ca="1">IF( ISNA( VLOOKUP( APIF_Import!$M212 &amp; APIF_Import!$F$1,Podesavanja!$AA$3:$AD$24, 4, 0)), "", VLOOKUP( APIF_Import!$C212, INDIRECT( "Lookup_" &amp; APIF_Import!$M212), VLOOKUP( APIF_Import!$M212 &amp; APIF_Import!$F$1,Podesavanja!$AA$3:$AD$24, 4, 0), 0))</f>
        <v/>
      </c>
      <c r="G212" s="364" t="str">
        <f ca="1">IF( ISNA( VLOOKUP( APIF_Import!$M212 &amp; APIF_Import!$G$1,Podesavanja!$AA$3:$AD$24, 4, 0)), "", VLOOKUP( APIF_Import!$C212, INDIRECT( "Lookup_" &amp; APIF_Import!$M212), VLOOKUP( APIF_Import!$M212 &amp; APIF_Import!$G$1,Podesavanja!$AA$3:$AD$24, 4, 0), 0))</f>
        <v/>
      </c>
      <c r="H212" s="364" t="str">
        <f ca="1">IF( ISNA( VLOOKUP( APIF_Import!$M212 &amp; APIF_Import!$H$1,Podesavanja!$AA$3:$AD$24, 4, 0)), "", VLOOKUP( APIF_Import!$C212, INDIRECT( "Lookup_" &amp; APIF_Import!$M212), VLOOKUP( APIF_Import!$M212 &amp; APIF_Import!$H$1,Podesavanja!$AA$3:$AD$24, 4, 0), 0))</f>
        <v/>
      </c>
      <c r="I212" s="364" t="str">
        <f ca="1">IF( ISNA( VLOOKUP( APIF_Import!$M212 &amp; APIF_Import!$I$1,Podesavanja!$AA$3:$AD$24, 4, 0)), "", VLOOKUP( APIF_Import!$C212, INDIRECT( "Lookup_" &amp; APIF_Import!$M212), VLOOKUP( APIF_Import!$M212 &amp; APIF_Import!$I$1,Podesavanja!$AA$3:$AD$24, 4, 0), 0))</f>
        <v/>
      </c>
      <c r="J212" s="364" t="str">
        <f ca="1">IF( ISNA( VLOOKUP( APIF_Import!$M212 &amp; APIF_Import!$J$1,Podesavanja!$AA$3:$AD$24, 4, 0)), "", VLOOKUP( APIF_Import!$C212, INDIRECT( "Lookup_" &amp; APIF_Import!$M212), VLOOKUP( APIF_Import!$M212 &amp; APIF_Import!$J$1,Podesavanja!$AA$3:$AD$24, 4, 0), 0))</f>
        <v/>
      </c>
      <c r="K212" s="364" t="str">
        <f ca="1">IF( ISNA( VLOOKUP( APIF_Import!$M212 &amp; APIF_Import!$K$1,Podesavanja!$AA$3:$AD$24, 4, 0)), "", VLOOKUP( APIF_Import!$C212, INDIRECT( "Lookup_" &amp; APIF_Import!$M212), VLOOKUP( APIF_Import!$M212 &amp; APIF_Import!$K$1,Podesavanja!$AA$3:$AD$24, 4, 0), 0))</f>
        <v/>
      </c>
      <c r="L212" s="8">
        <v>217</v>
      </c>
      <c r="M212" s="8" t="s">
        <v>1497</v>
      </c>
    </row>
    <row r="213" spans="2:13" x14ac:dyDescent="0.2">
      <c r="B213" s="8">
        <f>VLOOKUP( APIF_Import!$M213, Podesavanja!$N$3:$Q$9, 4, 0)</f>
        <v>3</v>
      </c>
      <c r="C213" s="363">
        <f>VLOOKUP( APIF_Import!$L213, Aop!$A$2:$N$415, 4, 0)</f>
        <v>280</v>
      </c>
      <c r="D213" s="364" t="str">
        <f ca="1">IF( ISNA( VLOOKUP( APIF_Import!$M213 &amp; APIF_Import!$D$1,Podesavanja!$AA$3:$AD$24, 4, 0)), "", SUBSTITUTE( VALUE( VLOOKUP( APIF_Import!$C213, INDIRECT( "Lookup_" &amp; APIF_Import!$M213), VLOOKUP( APIF_Import!$M213 &amp; APIF_Import!$D$1,Podesavanja!$AA$3:$AD$24, 4, 0), 0)), ".", ","))</f>
        <v>0</v>
      </c>
      <c r="E213" s="364" t="str">
        <f ca="1">IF( ISNA( VLOOKUP( APIF_Import!$M213 &amp; APIF_Import!$E$1,Podesavanja!$AA$3:$AD$24, 4, 0)), "", SUBSTITUTE( VALUE( VLOOKUP( APIF_Import!$C213, INDIRECT( "Lookup_" &amp; APIF_Import!$M213), VLOOKUP( APIF_Import!$M213 &amp; APIF_Import!$E$1,Podesavanja!$AA$3:$AD$24, 4, 0), 0)), ".", ","))</f>
        <v>0</v>
      </c>
      <c r="F213" s="364" t="str">
        <f ca="1">IF( ISNA( VLOOKUP( APIF_Import!$M213 &amp; APIF_Import!$F$1,Podesavanja!$AA$3:$AD$24, 4, 0)), "", VLOOKUP( APIF_Import!$C213, INDIRECT( "Lookup_" &amp; APIF_Import!$M213), VLOOKUP( APIF_Import!$M213 &amp; APIF_Import!$F$1,Podesavanja!$AA$3:$AD$24, 4, 0), 0))</f>
        <v/>
      </c>
      <c r="G213" s="364" t="str">
        <f ca="1">IF( ISNA( VLOOKUP( APIF_Import!$M213 &amp; APIF_Import!$G$1,Podesavanja!$AA$3:$AD$24, 4, 0)), "", VLOOKUP( APIF_Import!$C213, INDIRECT( "Lookup_" &amp; APIF_Import!$M213), VLOOKUP( APIF_Import!$M213 &amp; APIF_Import!$G$1,Podesavanja!$AA$3:$AD$24, 4, 0), 0))</f>
        <v/>
      </c>
      <c r="H213" s="364" t="str">
        <f ca="1">IF( ISNA( VLOOKUP( APIF_Import!$M213 &amp; APIF_Import!$H$1,Podesavanja!$AA$3:$AD$24, 4, 0)), "", VLOOKUP( APIF_Import!$C213, INDIRECT( "Lookup_" &amp; APIF_Import!$M213), VLOOKUP( APIF_Import!$M213 &amp; APIF_Import!$H$1,Podesavanja!$AA$3:$AD$24, 4, 0), 0))</f>
        <v/>
      </c>
      <c r="I213" s="364" t="str">
        <f ca="1">IF( ISNA( VLOOKUP( APIF_Import!$M213 &amp; APIF_Import!$I$1,Podesavanja!$AA$3:$AD$24, 4, 0)), "", VLOOKUP( APIF_Import!$C213, INDIRECT( "Lookup_" &amp; APIF_Import!$M213), VLOOKUP( APIF_Import!$M213 &amp; APIF_Import!$I$1,Podesavanja!$AA$3:$AD$24, 4, 0), 0))</f>
        <v/>
      </c>
      <c r="J213" s="364" t="str">
        <f ca="1">IF( ISNA( VLOOKUP( APIF_Import!$M213 &amp; APIF_Import!$J$1,Podesavanja!$AA$3:$AD$24, 4, 0)), "", VLOOKUP( APIF_Import!$C213, INDIRECT( "Lookup_" &amp; APIF_Import!$M213), VLOOKUP( APIF_Import!$M213 &amp; APIF_Import!$J$1,Podesavanja!$AA$3:$AD$24, 4, 0), 0))</f>
        <v/>
      </c>
      <c r="K213" s="364" t="str">
        <f ca="1">IF( ISNA( VLOOKUP( APIF_Import!$M213 &amp; APIF_Import!$K$1,Podesavanja!$AA$3:$AD$24, 4, 0)), "", VLOOKUP( APIF_Import!$C213, INDIRECT( "Lookup_" &amp; APIF_Import!$M213), VLOOKUP( APIF_Import!$M213 &amp; APIF_Import!$K$1,Podesavanja!$AA$3:$AD$24, 4, 0), 0))</f>
        <v/>
      </c>
      <c r="L213" s="8">
        <v>218</v>
      </c>
      <c r="M213" s="8" t="s">
        <v>1497</v>
      </c>
    </row>
    <row r="214" spans="2:13" x14ac:dyDescent="0.2">
      <c r="B214" s="8">
        <f>VLOOKUP( APIF_Import!$M214, Podesavanja!$N$3:$Q$9, 4, 0)</f>
        <v>3</v>
      </c>
      <c r="C214" s="363">
        <f>VLOOKUP( APIF_Import!$L214, Aop!$A$2:$N$415, 4, 0)</f>
        <v>281</v>
      </c>
      <c r="D214" s="364" t="str">
        <f ca="1">IF( ISNA( VLOOKUP( APIF_Import!$M214 &amp; APIF_Import!$D$1,Podesavanja!$AA$3:$AD$24, 4, 0)), "", SUBSTITUTE( VALUE( VLOOKUP( APIF_Import!$C214, INDIRECT( "Lookup_" &amp; APIF_Import!$M214), VLOOKUP( APIF_Import!$M214 &amp; APIF_Import!$D$1,Podesavanja!$AA$3:$AD$24, 4, 0), 0)), ".", ","))</f>
        <v>0</v>
      </c>
      <c r="E214" s="364" t="str">
        <f ca="1">IF( ISNA( VLOOKUP( APIF_Import!$M214 &amp; APIF_Import!$E$1,Podesavanja!$AA$3:$AD$24, 4, 0)), "", SUBSTITUTE( VALUE( VLOOKUP( APIF_Import!$C214, INDIRECT( "Lookup_" &amp; APIF_Import!$M214), VLOOKUP( APIF_Import!$M214 &amp; APIF_Import!$E$1,Podesavanja!$AA$3:$AD$24, 4, 0), 0)), ".", ","))</f>
        <v>0</v>
      </c>
      <c r="F214" s="364" t="str">
        <f ca="1">IF( ISNA( VLOOKUP( APIF_Import!$M214 &amp; APIF_Import!$F$1,Podesavanja!$AA$3:$AD$24, 4, 0)), "", VLOOKUP( APIF_Import!$C214, INDIRECT( "Lookup_" &amp; APIF_Import!$M214), VLOOKUP( APIF_Import!$M214 &amp; APIF_Import!$F$1,Podesavanja!$AA$3:$AD$24, 4, 0), 0))</f>
        <v/>
      </c>
      <c r="G214" s="364" t="str">
        <f ca="1">IF( ISNA( VLOOKUP( APIF_Import!$M214 &amp; APIF_Import!$G$1,Podesavanja!$AA$3:$AD$24, 4, 0)), "", VLOOKUP( APIF_Import!$C214, INDIRECT( "Lookup_" &amp; APIF_Import!$M214), VLOOKUP( APIF_Import!$M214 &amp; APIF_Import!$G$1,Podesavanja!$AA$3:$AD$24, 4, 0), 0))</f>
        <v/>
      </c>
      <c r="H214" s="364" t="str">
        <f ca="1">IF( ISNA( VLOOKUP( APIF_Import!$M214 &amp; APIF_Import!$H$1,Podesavanja!$AA$3:$AD$24, 4, 0)), "", VLOOKUP( APIF_Import!$C214, INDIRECT( "Lookup_" &amp; APIF_Import!$M214), VLOOKUP( APIF_Import!$M214 &amp; APIF_Import!$H$1,Podesavanja!$AA$3:$AD$24, 4, 0), 0))</f>
        <v/>
      </c>
      <c r="I214" s="364" t="str">
        <f ca="1">IF( ISNA( VLOOKUP( APIF_Import!$M214 &amp; APIF_Import!$I$1,Podesavanja!$AA$3:$AD$24, 4, 0)), "", VLOOKUP( APIF_Import!$C214, INDIRECT( "Lookup_" &amp; APIF_Import!$M214), VLOOKUP( APIF_Import!$M214 &amp; APIF_Import!$I$1,Podesavanja!$AA$3:$AD$24, 4, 0), 0))</f>
        <v/>
      </c>
      <c r="J214" s="364" t="str">
        <f ca="1">IF( ISNA( VLOOKUP( APIF_Import!$M214 &amp; APIF_Import!$J$1,Podesavanja!$AA$3:$AD$24, 4, 0)), "", VLOOKUP( APIF_Import!$C214, INDIRECT( "Lookup_" &amp; APIF_Import!$M214), VLOOKUP( APIF_Import!$M214 &amp; APIF_Import!$J$1,Podesavanja!$AA$3:$AD$24, 4, 0), 0))</f>
        <v/>
      </c>
      <c r="K214" s="364" t="str">
        <f ca="1">IF( ISNA( VLOOKUP( APIF_Import!$M214 &amp; APIF_Import!$K$1,Podesavanja!$AA$3:$AD$24, 4, 0)), "", VLOOKUP( APIF_Import!$C214, INDIRECT( "Lookup_" &amp; APIF_Import!$M214), VLOOKUP( APIF_Import!$M214 &amp; APIF_Import!$K$1,Podesavanja!$AA$3:$AD$24, 4, 0), 0))</f>
        <v/>
      </c>
      <c r="L214" s="8">
        <v>219</v>
      </c>
      <c r="M214" s="8" t="s">
        <v>1497</v>
      </c>
    </row>
    <row r="215" spans="2:13" x14ac:dyDescent="0.2">
      <c r="B215" s="8">
        <f>VLOOKUP( APIF_Import!$M215, Podesavanja!$N$3:$Q$9, 4, 0)</f>
        <v>3</v>
      </c>
      <c r="C215" s="363">
        <f>VLOOKUP( APIF_Import!$L215, Aop!$A$2:$N$415, 4, 0)</f>
        <v>282</v>
      </c>
      <c r="D215" s="364" t="str">
        <f ca="1">IF( ISNA( VLOOKUP( APIF_Import!$M215 &amp; APIF_Import!$D$1,Podesavanja!$AA$3:$AD$24, 4, 0)), "", SUBSTITUTE( VALUE( VLOOKUP( APIF_Import!$C215, INDIRECT( "Lookup_" &amp; APIF_Import!$M215), VLOOKUP( APIF_Import!$M215 &amp; APIF_Import!$D$1,Podesavanja!$AA$3:$AD$24, 4, 0), 0)), ".", ","))</f>
        <v>0</v>
      </c>
      <c r="E215" s="364" t="str">
        <f ca="1">IF( ISNA( VLOOKUP( APIF_Import!$M215 &amp; APIF_Import!$E$1,Podesavanja!$AA$3:$AD$24, 4, 0)), "", SUBSTITUTE( VALUE( VLOOKUP( APIF_Import!$C215, INDIRECT( "Lookup_" &amp; APIF_Import!$M215), VLOOKUP( APIF_Import!$M215 &amp; APIF_Import!$E$1,Podesavanja!$AA$3:$AD$24, 4, 0), 0)), ".", ","))</f>
        <v>0</v>
      </c>
      <c r="F215" s="364" t="str">
        <f ca="1">IF( ISNA( VLOOKUP( APIF_Import!$M215 &amp; APIF_Import!$F$1,Podesavanja!$AA$3:$AD$24, 4, 0)), "", VLOOKUP( APIF_Import!$C215, INDIRECT( "Lookup_" &amp; APIF_Import!$M215), VLOOKUP( APIF_Import!$M215 &amp; APIF_Import!$F$1,Podesavanja!$AA$3:$AD$24, 4, 0), 0))</f>
        <v/>
      </c>
      <c r="G215" s="364" t="str">
        <f ca="1">IF( ISNA( VLOOKUP( APIF_Import!$M215 &amp; APIF_Import!$G$1,Podesavanja!$AA$3:$AD$24, 4, 0)), "", VLOOKUP( APIF_Import!$C215, INDIRECT( "Lookup_" &amp; APIF_Import!$M215), VLOOKUP( APIF_Import!$M215 &amp; APIF_Import!$G$1,Podesavanja!$AA$3:$AD$24, 4, 0), 0))</f>
        <v/>
      </c>
      <c r="H215" s="364" t="str">
        <f ca="1">IF( ISNA( VLOOKUP( APIF_Import!$M215 &amp; APIF_Import!$H$1,Podesavanja!$AA$3:$AD$24, 4, 0)), "", VLOOKUP( APIF_Import!$C215, INDIRECT( "Lookup_" &amp; APIF_Import!$M215), VLOOKUP( APIF_Import!$M215 &amp; APIF_Import!$H$1,Podesavanja!$AA$3:$AD$24, 4, 0), 0))</f>
        <v/>
      </c>
      <c r="I215" s="364" t="str">
        <f ca="1">IF( ISNA( VLOOKUP( APIF_Import!$M215 &amp; APIF_Import!$I$1,Podesavanja!$AA$3:$AD$24, 4, 0)), "", VLOOKUP( APIF_Import!$C215, INDIRECT( "Lookup_" &amp; APIF_Import!$M215), VLOOKUP( APIF_Import!$M215 &amp; APIF_Import!$I$1,Podesavanja!$AA$3:$AD$24, 4, 0), 0))</f>
        <v/>
      </c>
      <c r="J215" s="364" t="str">
        <f ca="1">IF( ISNA( VLOOKUP( APIF_Import!$M215 &amp; APIF_Import!$J$1,Podesavanja!$AA$3:$AD$24, 4, 0)), "", VLOOKUP( APIF_Import!$C215, INDIRECT( "Lookup_" &amp; APIF_Import!$M215), VLOOKUP( APIF_Import!$M215 &amp; APIF_Import!$J$1,Podesavanja!$AA$3:$AD$24, 4, 0), 0))</f>
        <v/>
      </c>
      <c r="K215" s="364" t="str">
        <f ca="1">IF( ISNA( VLOOKUP( APIF_Import!$M215 &amp; APIF_Import!$K$1,Podesavanja!$AA$3:$AD$24, 4, 0)), "", VLOOKUP( APIF_Import!$C215, INDIRECT( "Lookup_" &amp; APIF_Import!$M215), VLOOKUP( APIF_Import!$M215 &amp; APIF_Import!$K$1,Podesavanja!$AA$3:$AD$24, 4, 0), 0))</f>
        <v/>
      </c>
      <c r="L215" s="8">
        <v>220</v>
      </c>
      <c r="M215" s="8" t="s">
        <v>1497</v>
      </c>
    </row>
    <row r="216" spans="2:13" x14ac:dyDescent="0.2">
      <c r="B216" s="8">
        <f>VLOOKUP( APIF_Import!$M216, Podesavanja!$N$3:$Q$9, 4, 0)</f>
        <v>3</v>
      </c>
      <c r="C216" s="363">
        <f>VLOOKUP( APIF_Import!$L216, Aop!$A$2:$N$415, 4, 0)</f>
        <v>283</v>
      </c>
      <c r="D216" s="364" t="str">
        <f ca="1">IF( ISNA( VLOOKUP( APIF_Import!$M216 &amp; APIF_Import!$D$1,Podesavanja!$AA$3:$AD$24, 4, 0)), "", SUBSTITUTE( VALUE( VLOOKUP( APIF_Import!$C216, INDIRECT( "Lookup_" &amp; APIF_Import!$M216), VLOOKUP( APIF_Import!$M216 &amp; APIF_Import!$D$1,Podesavanja!$AA$3:$AD$24, 4, 0), 0)), ".", ","))</f>
        <v>0</v>
      </c>
      <c r="E216" s="364" t="str">
        <f ca="1">IF( ISNA( VLOOKUP( APIF_Import!$M216 &amp; APIF_Import!$E$1,Podesavanja!$AA$3:$AD$24, 4, 0)), "", SUBSTITUTE( VALUE( VLOOKUP( APIF_Import!$C216, INDIRECT( "Lookup_" &amp; APIF_Import!$M216), VLOOKUP( APIF_Import!$M216 &amp; APIF_Import!$E$1,Podesavanja!$AA$3:$AD$24, 4, 0), 0)), ".", ","))</f>
        <v>0</v>
      </c>
      <c r="F216" s="364" t="str">
        <f ca="1">IF( ISNA( VLOOKUP( APIF_Import!$M216 &amp; APIF_Import!$F$1,Podesavanja!$AA$3:$AD$24, 4, 0)), "", VLOOKUP( APIF_Import!$C216, INDIRECT( "Lookup_" &amp; APIF_Import!$M216), VLOOKUP( APIF_Import!$M216 &amp; APIF_Import!$F$1,Podesavanja!$AA$3:$AD$24, 4, 0), 0))</f>
        <v/>
      </c>
      <c r="G216" s="364" t="str">
        <f ca="1">IF( ISNA( VLOOKUP( APIF_Import!$M216 &amp; APIF_Import!$G$1,Podesavanja!$AA$3:$AD$24, 4, 0)), "", VLOOKUP( APIF_Import!$C216, INDIRECT( "Lookup_" &amp; APIF_Import!$M216), VLOOKUP( APIF_Import!$M216 &amp; APIF_Import!$G$1,Podesavanja!$AA$3:$AD$24, 4, 0), 0))</f>
        <v/>
      </c>
      <c r="H216" s="364" t="str">
        <f ca="1">IF( ISNA( VLOOKUP( APIF_Import!$M216 &amp; APIF_Import!$H$1,Podesavanja!$AA$3:$AD$24, 4, 0)), "", VLOOKUP( APIF_Import!$C216, INDIRECT( "Lookup_" &amp; APIF_Import!$M216), VLOOKUP( APIF_Import!$M216 &amp; APIF_Import!$H$1,Podesavanja!$AA$3:$AD$24, 4, 0), 0))</f>
        <v/>
      </c>
      <c r="I216" s="364" t="str">
        <f ca="1">IF( ISNA( VLOOKUP( APIF_Import!$M216 &amp; APIF_Import!$I$1,Podesavanja!$AA$3:$AD$24, 4, 0)), "", VLOOKUP( APIF_Import!$C216, INDIRECT( "Lookup_" &amp; APIF_Import!$M216), VLOOKUP( APIF_Import!$M216 &amp; APIF_Import!$I$1,Podesavanja!$AA$3:$AD$24, 4, 0), 0))</f>
        <v/>
      </c>
      <c r="J216" s="364" t="str">
        <f ca="1">IF( ISNA( VLOOKUP( APIF_Import!$M216 &amp; APIF_Import!$J$1,Podesavanja!$AA$3:$AD$24, 4, 0)), "", VLOOKUP( APIF_Import!$C216, INDIRECT( "Lookup_" &amp; APIF_Import!$M216), VLOOKUP( APIF_Import!$M216 &amp; APIF_Import!$J$1,Podesavanja!$AA$3:$AD$24, 4, 0), 0))</f>
        <v/>
      </c>
      <c r="K216" s="364" t="str">
        <f ca="1">IF( ISNA( VLOOKUP( APIF_Import!$M216 &amp; APIF_Import!$K$1,Podesavanja!$AA$3:$AD$24, 4, 0)), "", VLOOKUP( APIF_Import!$C216, INDIRECT( "Lookup_" &amp; APIF_Import!$M216), VLOOKUP( APIF_Import!$M216 &amp; APIF_Import!$K$1,Podesavanja!$AA$3:$AD$24, 4, 0), 0))</f>
        <v/>
      </c>
      <c r="L216" s="8">
        <v>221</v>
      </c>
      <c r="M216" s="8" t="s">
        <v>1497</v>
      </c>
    </row>
    <row r="217" spans="2:13" x14ac:dyDescent="0.2">
      <c r="B217" s="8">
        <f>VLOOKUP( APIF_Import!$M217, Podesavanja!$N$3:$Q$9, 4, 0)</f>
        <v>3</v>
      </c>
      <c r="C217" s="363">
        <f>VLOOKUP( APIF_Import!$L217, Aop!$A$2:$N$415, 4, 0)</f>
        <v>284</v>
      </c>
      <c r="D217" s="364" t="str">
        <f ca="1">IF( ISNA( VLOOKUP( APIF_Import!$M217 &amp; APIF_Import!$D$1,Podesavanja!$AA$3:$AD$24, 4, 0)), "", SUBSTITUTE( VALUE( VLOOKUP( APIF_Import!$C217, INDIRECT( "Lookup_" &amp; APIF_Import!$M217), VLOOKUP( APIF_Import!$M217 &amp; APIF_Import!$D$1,Podesavanja!$AA$3:$AD$24, 4, 0), 0)), ".", ","))</f>
        <v>0</v>
      </c>
      <c r="E217" s="364" t="str">
        <f ca="1">IF( ISNA( VLOOKUP( APIF_Import!$M217 &amp; APIF_Import!$E$1,Podesavanja!$AA$3:$AD$24, 4, 0)), "", SUBSTITUTE( VALUE( VLOOKUP( APIF_Import!$C217, INDIRECT( "Lookup_" &amp; APIF_Import!$M217), VLOOKUP( APIF_Import!$M217 &amp; APIF_Import!$E$1,Podesavanja!$AA$3:$AD$24, 4, 0), 0)), ".", ","))</f>
        <v>0</v>
      </c>
      <c r="F217" s="364" t="str">
        <f ca="1">IF( ISNA( VLOOKUP( APIF_Import!$M217 &amp; APIF_Import!$F$1,Podesavanja!$AA$3:$AD$24, 4, 0)), "", VLOOKUP( APIF_Import!$C217, INDIRECT( "Lookup_" &amp; APIF_Import!$M217), VLOOKUP( APIF_Import!$M217 &amp; APIF_Import!$F$1,Podesavanja!$AA$3:$AD$24, 4, 0), 0))</f>
        <v/>
      </c>
      <c r="G217" s="364" t="str">
        <f ca="1">IF( ISNA( VLOOKUP( APIF_Import!$M217 &amp; APIF_Import!$G$1,Podesavanja!$AA$3:$AD$24, 4, 0)), "", VLOOKUP( APIF_Import!$C217, INDIRECT( "Lookup_" &amp; APIF_Import!$M217), VLOOKUP( APIF_Import!$M217 &amp; APIF_Import!$G$1,Podesavanja!$AA$3:$AD$24, 4, 0), 0))</f>
        <v/>
      </c>
      <c r="H217" s="364" t="str">
        <f ca="1">IF( ISNA( VLOOKUP( APIF_Import!$M217 &amp; APIF_Import!$H$1,Podesavanja!$AA$3:$AD$24, 4, 0)), "", VLOOKUP( APIF_Import!$C217, INDIRECT( "Lookup_" &amp; APIF_Import!$M217), VLOOKUP( APIF_Import!$M217 &amp; APIF_Import!$H$1,Podesavanja!$AA$3:$AD$24, 4, 0), 0))</f>
        <v/>
      </c>
      <c r="I217" s="364" t="str">
        <f ca="1">IF( ISNA( VLOOKUP( APIF_Import!$M217 &amp; APIF_Import!$I$1,Podesavanja!$AA$3:$AD$24, 4, 0)), "", VLOOKUP( APIF_Import!$C217, INDIRECT( "Lookup_" &amp; APIF_Import!$M217), VLOOKUP( APIF_Import!$M217 &amp; APIF_Import!$I$1,Podesavanja!$AA$3:$AD$24, 4, 0), 0))</f>
        <v/>
      </c>
      <c r="J217" s="364" t="str">
        <f ca="1">IF( ISNA( VLOOKUP( APIF_Import!$M217 &amp; APIF_Import!$J$1,Podesavanja!$AA$3:$AD$24, 4, 0)), "", VLOOKUP( APIF_Import!$C217, INDIRECT( "Lookup_" &amp; APIF_Import!$M217), VLOOKUP( APIF_Import!$M217 &amp; APIF_Import!$J$1,Podesavanja!$AA$3:$AD$24, 4, 0), 0))</f>
        <v/>
      </c>
      <c r="K217" s="364" t="str">
        <f ca="1">IF( ISNA( VLOOKUP( APIF_Import!$M217 &amp; APIF_Import!$K$1,Podesavanja!$AA$3:$AD$24, 4, 0)), "", VLOOKUP( APIF_Import!$C217, INDIRECT( "Lookup_" &amp; APIF_Import!$M217), VLOOKUP( APIF_Import!$M217 &amp; APIF_Import!$K$1,Podesavanja!$AA$3:$AD$24, 4, 0), 0))</f>
        <v/>
      </c>
      <c r="L217" s="8">
        <v>222</v>
      </c>
      <c r="M217" s="8" t="s">
        <v>1497</v>
      </c>
    </row>
    <row r="218" spans="2:13" x14ac:dyDescent="0.2">
      <c r="B218" s="8">
        <f>VLOOKUP( APIF_Import!$M218, Podesavanja!$N$3:$Q$9, 4, 0)</f>
        <v>3</v>
      </c>
      <c r="C218" s="363">
        <f>VLOOKUP( APIF_Import!$L218, Aop!$A$2:$N$415, 4, 0)</f>
        <v>285</v>
      </c>
      <c r="D218" s="364" t="str">
        <f ca="1">IF( ISNA( VLOOKUP( APIF_Import!$M218 &amp; APIF_Import!$D$1,Podesavanja!$AA$3:$AD$24, 4, 0)), "", SUBSTITUTE( VALUE( VLOOKUP( APIF_Import!$C218, INDIRECT( "Lookup_" &amp; APIF_Import!$M218), VLOOKUP( APIF_Import!$M218 &amp; APIF_Import!$D$1,Podesavanja!$AA$3:$AD$24, 4, 0), 0)), ".", ","))</f>
        <v>0</v>
      </c>
      <c r="E218" s="364" t="str">
        <f ca="1">IF( ISNA( VLOOKUP( APIF_Import!$M218 &amp; APIF_Import!$E$1,Podesavanja!$AA$3:$AD$24, 4, 0)), "", SUBSTITUTE( VALUE( VLOOKUP( APIF_Import!$C218, INDIRECT( "Lookup_" &amp; APIF_Import!$M218), VLOOKUP( APIF_Import!$M218 &amp; APIF_Import!$E$1,Podesavanja!$AA$3:$AD$24, 4, 0), 0)), ".", ","))</f>
        <v>0</v>
      </c>
      <c r="F218" s="364" t="str">
        <f ca="1">IF( ISNA( VLOOKUP( APIF_Import!$M218 &amp; APIF_Import!$F$1,Podesavanja!$AA$3:$AD$24, 4, 0)), "", VLOOKUP( APIF_Import!$C218, INDIRECT( "Lookup_" &amp; APIF_Import!$M218), VLOOKUP( APIF_Import!$M218 &amp; APIF_Import!$F$1,Podesavanja!$AA$3:$AD$24, 4, 0), 0))</f>
        <v/>
      </c>
      <c r="G218" s="364" t="str">
        <f ca="1">IF( ISNA( VLOOKUP( APIF_Import!$M218 &amp; APIF_Import!$G$1,Podesavanja!$AA$3:$AD$24, 4, 0)), "", VLOOKUP( APIF_Import!$C218, INDIRECT( "Lookup_" &amp; APIF_Import!$M218), VLOOKUP( APIF_Import!$M218 &amp; APIF_Import!$G$1,Podesavanja!$AA$3:$AD$24, 4, 0), 0))</f>
        <v/>
      </c>
      <c r="H218" s="364" t="str">
        <f ca="1">IF( ISNA( VLOOKUP( APIF_Import!$M218 &amp; APIF_Import!$H$1,Podesavanja!$AA$3:$AD$24, 4, 0)), "", VLOOKUP( APIF_Import!$C218, INDIRECT( "Lookup_" &amp; APIF_Import!$M218), VLOOKUP( APIF_Import!$M218 &amp; APIF_Import!$H$1,Podesavanja!$AA$3:$AD$24, 4, 0), 0))</f>
        <v/>
      </c>
      <c r="I218" s="364" t="str">
        <f ca="1">IF( ISNA( VLOOKUP( APIF_Import!$M218 &amp; APIF_Import!$I$1,Podesavanja!$AA$3:$AD$24, 4, 0)), "", VLOOKUP( APIF_Import!$C218, INDIRECT( "Lookup_" &amp; APIF_Import!$M218), VLOOKUP( APIF_Import!$M218 &amp; APIF_Import!$I$1,Podesavanja!$AA$3:$AD$24, 4, 0), 0))</f>
        <v/>
      </c>
      <c r="J218" s="364" t="str">
        <f ca="1">IF( ISNA( VLOOKUP( APIF_Import!$M218 &amp; APIF_Import!$J$1,Podesavanja!$AA$3:$AD$24, 4, 0)), "", VLOOKUP( APIF_Import!$C218, INDIRECT( "Lookup_" &amp; APIF_Import!$M218), VLOOKUP( APIF_Import!$M218 &amp; APIF_Import!$J$1,Podesavanja!$AA$3:$AD$24, 4, 0), 0))</f>
        <v/>
      </c>
      <c r="K218" s="364" t="str">
        <f ca="1">IF( ISNA( VLOOKUP( APIF_Import!$M218 &amp; APIF_Import!$K$1,Podesavanja!$AA$3:$AD$24, 4, 0)), "", VLOOKUP( APIF_Import!$C218, INDIRECT( "Lookup_" &amp; APIF_Import!$M218), VLOOKUP( APIF_Import!$M218 &amp; APIF_Import!$K$1,Podesavanja!$AA$3:$AD$24, 4, 0), 0))</f>
        <v/>
      </c>
      <c r="L218" s="8">
        <v>223</v>
      </c>
      <c r="M218" s="8" t="s">
        <v>1497</v>
      </c>
    </row>
    <row r="219" spans="2:13" x14ac:dyDescent="0.2">
      <c r="B219" s="8">
        <f>VLOOKUP( APIF_Import!$M219, Podesavanja!$N$3:$Q$9, 4, 0)</f>
        <v>3</v>
      </c>
      <c r="C219" s="363">
        <f>VLOOKUP( APIF_Import!$L219, Aop!$A$2:$N$415, 4, 0)</f>
        <v>286</v>
      </c>
      <c r="D219" s="364" t="str">
        <f ca="1">IF( ISNA( VLOOKUP( APIF_Import!$M219 &amp; APIF_Import!$D$1,Podesavanja!$AA$3:$AD$24, 4, 0)), "", SUBSTITUTE( VALUE( VLOOKUP( APIF_Import!$C219, INDIRECT( "Lookup_" &amp; APIF_Import!$M219), VLOOKUP( APIF_Import!$M219 &amp; APIF_Import!$D$1,Podesavanja!$AA$3:$AD$24, 4, 0), 0)), ".", ","))</f>
        <v>0</v>
      </c>
      <c r="E219" s="364" t="str">
        <f ca="1">IF( ISNA( VLOOKUP( APIF_Import!$M219 &amp; APIF_Import!$E$1,Podesavanja!$AA$3:$AD$24, 4, 0)), "", SUBSTITUTE( VALUE( VLOOKUP( APIF_Import!$C219, INDIRECT( "Lookup_" &amp; APIF_Import!$M219), VLOOKUP( APIF_Import!$M219 &amp; APIF_Import!$E$1,Podesavanja!$AA$3:$AD$24, 4, 0), 0)), ".", ","))</f>
        <v>0</v>
      </c>
      <c r="F219" s="364" t="str">
        <f ca="1">IF( ISNA( VLOOKUP( APIF_Import!$M219 &amp; APIF_Import!$F$1,Podesavanja!$AA$3:$AD$24, 4, 0)), "", VLOOKUP( APIF_Import!$C219, INDIRECT( "Lookup_" &amp; APIF_Import!$M219), VLOOKUP( APIF_Import!$M219 &amp; APIF_Import!$F$1,Podesavanja!$AA$3:$AD$24, 4, 0), 0))</f>
        <v/>
      </c>
      <c r="G219" s="364" t="str">
        <f ca="1">IF( ISNA( VLOOKUP( APIF_Import!$M219 &amp; APIF_Import!$G$1,Podesavanja!$AA$3:$AD$24, 4, 0)), "", VLOOKUP( APIF_Import!$C219, INDIRECT( "Lookup_" &amp; APIF_Import!$M219), VLOOKUP( APIF_Import!$M219 &amp; APIF_Import!$G$1,Podesavanja!$AA$3:$AD$24, 4, 0), 0))</f>
        <v/>
      </c>
      <c r="H219" s="364" t="str">
        <f ca="1">IF( ISNA( VLOOKUP( APIF_Import!$M219 &amp; APIF_Import!$H$1,Podesavanja!$AA$3:$AD$24, 4, 0)), "", VLOOKUP( APIF_Import!$C219, INDIRECT( "Lookup_" &amp; APIF_Import!$M219), VLOOKUP( APIF_Import!$M219 &amp; APIF_Import!$H$1,Podesavanja!$AA$3:$AD$24, 4, 0), 0))</f>
        <v/>
      </c>
      <c r="I219" s="364" t="str">
        <f ca="1">IF( ISNA( VLOOKUP( APIF_Import!$M219 &amp; APIF_Import!$I$1,Podesavanja!$AA$3:$AD$24, 4, 0)), "", VLOOKUP( APIF_Import!$C219, INDIRECT( "Lookup_" &amp; APIF_Import!$M219), VLOOKUP( APIF_Import!$M219 &amp; APIF_Import!$I$1,Podesavanja!$AA$3:$AD$24, 4, 0), 0))</f>
        <v/>
      </c>
      <c r="J219" s="364" t="str">
        <f ca="1">IF( ISNA( VLOOKUP( APIF_Import!$M219 &amp; APIF_Import!$J$1,Podesavanja!$AA$3:$AD$24, 4, 0)), "", VLOOKUP( APIF_Import!$C219, INDIRECT( "Lookup_" &amp; APIF_Import!$M219), VLOOKUP( APIF_Import!$M219 &amp; APIF_Import!$J$1,Podesavanja!$AA$3:$AD$24, 4, 0), 0))</f>
        <v/>
      </c>
      <c r="K219" s="364" t="str">
        <f ca="1">IF( ISNA( VLOOKUP( APIF_Import!$M219 &amp; APIF_Import!$K$1,Podesavanja!$AA$3:$AD$24, 4, 0)), "", VLOOKUP( APIF_Import!$C219, INDIRECT( "Lookup_" &amp; APIF_Import!$M219), VLOOKUP( APIF_Import!$M219 &amp; APIF_Import!$K$1,Podesavanja!$AA$3:$AD$24, 4, 0), 0))</f>
        <v/>
      </c>
      <c r="L219" s="8">
        <v>224</v>
      </c>
      <c r="M219" s="8" t="s">
        <v>1497</v>
      </c>
    </row>
    <row r="220" spans="2:13" x14ac:dyDescent="0.2">
      <c r="B220" s="8">
        <f>VLOOKUP( APIF_Import!$M220, Podesavanja!$N$3:$Q$9, 4, 0)</f>
        <v>3</v>
      </c>
      <c r="C220" s="363">
        <f>VLOOKUP( APIF_Import!$L220, Aop!$A$2:$N$415, 4, 0)</f>
        <v>287</v>
      </c>
      <c r="D220" s="364" t="str">
        <f ca="1">IF( ISNA( VLOOKUP( APIF_Import!$M220 &amp; APIF_Import!$D$1,Podesavanja!$AA$3:$AD$24, 4, 0)), "", SUBSTITUTE( VALUE( VLOOKUP( APIF_Import!$C220, INDIRECT( "Lookup_" &amp; APIF_Import!$M220), VLOOKUP( APIF_Import!$M220 &amp; APIF_Import!$D$1,Podesavanja!$AA$3:$AD$24, 4, 0), 0)), ".", ","))</f>
        <v>0</v>
      </c>
      <c r="E220" s="364" t="str">
        <f ca="1">IF( ISNA( VLOOKUP( APIF_Import!$M220 &amp; APIF_Import!$E$1,Podesavanja!$AA$3:$AD$24, 4, 0)), "", SUBSTITUTE( VALUE( VLOOKUP( APIF_Import!$C220, INDIRECT( "Lookup_" &amp; APIF_Import!$M220), VLOOKUP( APIF_Import!$M220 &amp; APIF_Import!$E$1,Podesavanja!$AA$3:$AD$24, 4, 0), 0)), ".", ","))</f>
        <v>0</v>
      </c>
      <c r="F220" s="364" t="str">
        <f ca="1">IF( ISNA( VLOOKUP( APIF_Import!$M220 &amp; APIF_Import!$F$1,Podesavanja!$AA$3:$AD$24, 4, 0)), "", VLOOKUP( APIF_Import!$C220, INDIRECT( "Lookup_" &amp; APIF_Import!$M220), VLOOKUP( APIF_Import!$M220 &amp; APIF_Import!$F$1,Podesavanja!$AA$3:$AD$24, 4, 0), 0))</f>
        <v/>
      </c>
      <c r="G220" s="364" t="str">
        <f ca="1">IF( ISNA( VLOOKUP( APIF_Import!$M220 &amp; APIF_Import!$G$1,Podesavanja!$AA$3:$AD$24, 4, 0)), "", VLOOKUP( APIF_Import!$C220, INDIRECT( "Lookup_" &amp; APIF_Import!$M220), VLOOKUP( APIF_Import!$M220 &amp; APIF_Import!$G$1,Podesavanja!$AA$3:$AD$24, 4, 0), 0))</f>
        <v/>
      </c>
      <c r="H220" s="364" t="str">
        <f ca="1">IF( ISNA( VLOOKUP( APIF_Import!$M220 &amp; APIF_Import!$H$1,Podesavanja!$AA$3:$AD$24, 4, 0)), "", VLOOKUP( APIF_Import!$C220, INDIRECT( "Lookup_" &amp; APIF_Import!$M220), VLOOKUP( APIF_Import!$M220 &amp; APIF_Import!$H$1,Podesavanja!$AA$3:$AD$24, 4, 0), 0))</f>
        <v/>
      </c>
      <c r="I220" s="364" t="str">
        <f ca="1">IF( ISNA( VLOOKUP( APIF_Import!$M220 &amp; APIF_Import!$I$1,Podesavanja!$AA$3:$AD$24, 4, 0)), "", VLOOKUP( APIF_Import!$C220, INDIRECT( "Lookup_" &amp; APIF_Import!$M220), VLOOKUP( APIF_Import!$M220 &amp; APIF_Import!$I$1,Podesavanja!$AA$3:$AD$24, 4, 0), 0))</f>
        <v/>
      </c>
      <c r="J220" s="364" t="str">
        <f ca="1">IF( ISNA( VLOOKUP( APIF_Import!$M220 &amp; APIF_Import!$J$1,Podesavanja!$AA$3:$AD$24, 4, 0)), "", VLOOKUP( APIF_Import!$C220, INDIRECT( "Lookup_" &amp; APIF_Import!$M220), VLOOKUP( APIF_Import!$M220 &amp; APIF_Import!$J$1,Podesavanja!$AA$3:$AD$24, 4, 0), 0))</f>
        <v/>
      </c>
      <c r="K220" s="364" t="str">
        <f ca="1">IF( ISNA( VLOOKUP( APIF_Import!$M220 &amp; APIF_Import!$K$1,Podesavanja!$AA$3:$AD$24, 4, 0)), "", VLOOKUP( APIF_Import!$C220, INDIRECT( "Lookup_" &amp; APIF_Import!$M220), VLOOKUP( APIF_Import!$M220 &amp; APIF_Import!$K$1,Podesavanja!$AA$3:$AD$24, 4, 0), 0))</f>
        <v/>
      </c>
      <c r="L220" s="8">
        <v>225</v>
      </c>
      <c r="M220" s="8" t="s">
        <v>1497</v>
      </c>
    </row>
    <row r="221" spans="2:13" x14ac:dyDescent="0.2">
      <c r="B221" s="8">
        <f>VLOOKUP( APIF_Import!$M221, Podesavanja!$N$3:$Q$9, 4, 0)</f>
        <v>3</v>
      </c>
      <c r="C221" s="363">
        <f>VLOOKUP( APIF_Import!$L221, Aop!$A$2:$N$415, 4, 0)</f>
        <v>288</v>
      </c>
      <c r="D221" s="364" t="str">
        <f ca="1">IF( ISNA( VLOOKUP( APIF_Import!$M221 &amp; APIF_Import!$D$1,Podesavanja!$AA$3:$AD$24, 4, 0)), "", SUBSTITUTE( VALUE( VLOOKUP( APIF_Import!$C221, INDIRECT( "Lookup_" &amp; APIF_Import!$M221), VLOOKUP( APIF_Import!$M221 &amp; APIF_Import!$D$1,Podesavanja!$AA$3:$AD$24, 4, 0), 0)), ".", ","))</f>
        <v>0</v>
      </c>
      <c r="E221" s="364" t="str">
        <f ca="1">IF( ISNA( VLOOKUP( APIF_Import!$M221 &amp; APIF_Import!$E$1,Podesavanja!$AA$3:$AD$24, 4, 0)), "", SUBSTITUTE( VALUE( VLOOKUP( APIF_Import!$C221, INDIRECT( "Lookup_" &amp; APIF_Import!$M221), VLOOKUP( APIF_Import!$M221 &amp; APIF_Import!$E$1,Podesavanja!$AA$3:$AD$24, 4, 0), 0)), ".", ","))</f>
        <v>0</v>
      </c>
      <c r="F221" s="364" t="str">
        <f ca="1">IF( ISNA( VLOOKUP( APIF_Import!$M221 &amp; APIF_Import!$F$1,Podesavanja!$AA$3:$AD$24, 4, 0)), "", VLOOKUP( APIF_Import!$C221, INDIRECT( "Lookup_" &amp; APIF_Import!$M221), VLOOKUP( APIF_Import!$M221 &amp; APIF_Import!$F$1,Podesavanja!$AA$3:$AD$24, 4, 0), 0))</f>
        <v/>
      </c>
      <c r="G221" s="364" t="str">
        <f ca="1">IF( ISNA( VLOOKUP( APIF_Import!$M221 &amp; APIF_Import!$G$1,Podesavanja!$AA$3:$AD$24, 4, 0)), "", VLOOKUP( APIF_Import!$C221, INDIRECT( "Lookup_" &amp; APIF_Import!$M221), VLOOKUP( APIF_Import!$M221 &amp; APIF_Import!$G$1,Podesavanja!$AA$3:$AD$24, 4, 0), 0))</f>
        <v/>
      </c>
      <c r="H221" s="364" t="str">
        <f ca="1">IF( ISNA( VLOOKUP( APIF_Import!$M221 &amp; APIF_Import!$H$1,Podesavanja!$AA$3:$AD$24, 4, 0)), "", VLOOKUP( APIF_Import!$C221, INDIRECT( "Lookup_" &amp; APIF_Import!$M221), VLOOKUP( APIF_Import!$M221 &amp; APIF_Import!$H$1,Podesavanja!$AA$3:$AD$24, 4, 0), 0))</f>
        <v/>
      </c>
      <c r="I221" s="364" t="str">
        <f ca="1">IF( ISNA( VLOOKUP( APIF_Import!$M221 &amp; APIF_Import!$I$1,Podesavanja!$AA$3:$AD$24, 4, 0)), "", VLOOKUP( APIF_Import!$C221, INDIRECT( "Lookup_" &amp; APIF_Import!$M221), VLOOKUP( APIF_Import!$M221 &amp; APIF_Import!$I$1,Podesavanja!$AA$3:$AD$24, 4, 0), 0))</f>
        <v/>
      </c>
      <c r="J221" s="364" t="str">
        <f ca="1">IF( ISNA( VLOOKUP( APIF_Import!$M221 &amp; APIF_Import!$J$1,Podesavanja!$AA$3:$AD$24, 4, 0)), "", VLOOKUP( APIF_Import!$C221, INDIRECT( "Lookup_" &amp; APIF_Import!$M221), VLOOKUP( APIF_Import!$M221 &amp; APIF_Import!$J$1,Podesavanja!$AA$3:$AD$24, 4, 0), 0))</f>
        <v/>
      </c>
      <c r="K221" s="364" t="str">
        <f ca="1">IF( ISNA( VLOOKUP( APIF_Import!$M221 &amp; APIF_Import!$K$1,Podesavanja!$AA$3:$AD$24, 4, 0)), "", VLOOKUP( APIF_Import!$C221, INDIRECT( "Lookup_" &amp; APIF_Import!$M221), VLOOKUP( APIF_Import!$M221 &amp; APIF_Import!$K$1,Podesavanja!$AA$3:$AD$24, 4, 0), 0))</f>
        <v/>
      </c>
      <c r="L221" s="8">
        <v>226</v>
      </c>
      <c r="M221" s="8" t="s">
        <v>1497</v>
      </c>
    </row>
    <row r="222" spans="2:13" x14ac:dyDescent="0.2">
      <c r="B222" s="8">
        <f>VLOOKUP( APIF_Import!$M222, Podesavanja!$N$3:$Q$9, 4, 0)</f>
        <v>3</v>
      </c>
      <c r="C222" s="363">
        <f>VLOOKUP( APIF_Import!$L222, Aop!$A$2:$N$415, 4, 0)</f>
        <v>289</v>
      </c>
      <c r="D222" s="364" t="str">
        <f ca="1">IF( ISNA( VLOOKUP( APIF_Import!$M222 &amp; APIF_Import!$D$1,Podesavanja!$AA$3:$AD$24, 4, 0)), "", SUBSTITUTE( VALUE( VLOOKUP( APIF_Import!$C222, INDIRECT( "Lookup_" &amp; APIF_Import!$M222), VLOOKUP( APIF_Import!$M222 &amp; APIF_Import!$D$1,Podesavanja!$AA$3:$AD$24, 4, 0), 0)), ".", ","))</f>
        <v>0</v>
      </c>
      <c r="E222" s="364" t="str">
        <f ca="1">IF( ISNA( VLOOKUP( APIF_Import!$M222 &amp; APIF_Import!$E$1,Podesavanja!$AA$3:$AD$24, 4, 0)), "", SUBSTITUTE( VALUE( VLOOKUP( APIF_Import!$C222, INDIRECT( "Lookup_" &amp; APIF_Import!$M222), VLOOKUP( APIF_Import!$M222 &amp; APIF_Import!$E$1,Podesavanja!$AA$3:$AD$24, 4, 0), 0)), ".", ","))</f>
        <v>0</v>
      </c>
      <c r="F222" s="364" t="str">
        <f ca="1">IF( ISNA( VLOOKUP( APIF_Import!$M222 &amp; APIF_Import!$F$1,Podesavanja!$AA$3:$AD$24, 4, 0)), "", VLOOKUP( APIF_Import!$C222, INDIRECT( "Lookup_" &amp; APIF_Import!$M222), VLOOKUP( APIF_Import!$M222 &amp; APIF_Import!$F$1,Podesavanja!$AA$3:$AD$24, 4, 0), 0))</f>
        <v/>
      </c>
      <c r="G222" s="364" t="str">
        <f ca="1">IF( ISNA( VLOOKUP( APIF_Import!$M222 &amp; APIF_Import!$G$1,Podesavanja!$AA$3:$AD$24, 4, 0)), "", VLOOKUP( APIF_Import!$C222, INDIRECT( "Lookup_" &amp; APIF_Import!$M222), VLOOKUP( APIF_Import!$M222 &amp; APIF_Import!$G$1,Podesavanja!$AA$3:$AD$24, 4, 0), 0))</f>
        <v/>
      </c>
      <c r="H222" s="364" t="str">
        <f ca="1">IF( ISNA( VLOOKUP( APIF_Import!$M222 &amp; APIF_Import!$H$1,Podesavanja!$AA$3:$AD$24, 4, 0)), "", VLOOKUP( APIF_Import!$C222, INDIRECT( "Lookup_" &amp; APIF_Import!$M222), VLOOKUP( APIF_Import!$M222 &amp; APIF_Import!$H$1,Podesavanja!$AA$3:$AD$24, 4, 0), 0))</f>
        <v/>
      </c>
      <c r="I222" s="364" t="str">
        <f ca="1">IF( ISNA( VLOOKUP( APIF_Import!$M222 &amp; APIF_Import!$I$1,Podesavanja!$AA$3:$AD$24, 4, 0)), "", VLOOKUP( APIF_Import!$C222, INDIRECT( "Lookup_" &amp; APIF_Import!$M222), VLOOKUP( APIF_Import!$M222 &amp; APIF_Import!$I$1,Podesavanja!$AA$3:$AD$24, 4, 0), 0))</f>
        <v/>
      </c>
      <c r="J222" s="364" t="str">
        <f ca="1">IF( ISNA( VLOOKUP( APIF_Import!$M222 &amp; APIF_Import!$J$1,Podesavanja!$AA$3:$AD$24, 4, 0)), "", VLOOKUP( APIF_Import!$C222, INDIRECT( "Lookup_" &amp; APIF_Import!$M222), VLOOKUP( APIF_Import!$M222 &amp; APIF_Import!$J$1,Podesavanja!$AA$3:$AD$24, 4, 0), 0))</f>
        <v/>
      </c>
      <c r="K222" s="364" t="str">
        <f ca="1">IF( ISNA( VLOOKUP( APIF_Import!$M222 &amp; APIF_Import!$K$1,Podesavanja!$AA$3:$AD$24, 4, 0)), "", VLOOKUP( APIF_Import!$C222, INDIRECT( "Lookup_" &amp; APIF_Import!$M222), VLOOKUP( APIF_Import!$M222 &amp; APIF_Import!$K$1,Podesavanja!$AA$3:$AD$24, 4, 0), 0))</f>
        <v/>
      </c>
      <c r="L222" s="8">
        <v>227</v>
      </c>
      <c r="M222" s="8" t="s">
        <v>1497</v>
      </c>
    </row>
    <row r="223" spans="2:13" x14ac:dyDescent="0.2">
      <c r="B223" s="8">
        <f>VLOOKUP( APIF_Import!$M223, Podesavanja!$N$3:$Q$9, 4, 0)</f>
        <v>3</v>
      </c>
      <c r="C223" s="363">
        <f>VLOOKUP( APIF_Import!$L223, Aop!$A$2:$N$415, 4, 0)</f>
        <v>290</v>
      </c>
      <c r="D223" s="364" t="str">
        <f ca="1">IF( ISNA( VLOOKUP( APIF_Import!$M223 &amp; APIF_Import!$D$1,Podesavanja!$AA$3:$AD$24, 4, 0)), "", SUBSTITUTE( VALUE( VLOOKUP( APIF_Import!$C223, INDIRECT( "Lookup_" &amp; APIF_Import!$M223), VLOOKUP( APIF_Import!$M223 &amp; APIF_Import!$D$1,Podesavanja!$AA$3:$AD$24, 4, 0), 0)), ".", ","))</f>
        <v>0</v>
      </c>
      <c r="E223" s="364" t="str">
        <f ca="1">IF( ISNA( VLOOKUP( APIF_Import!$M223 &amp; APIF_Import!$E$1,Podesavanja!$AA$3:$AD$24, 4, 0)), "", SUBSTITUTE( VALUE( VLOOKUP( APIF_Import!$C223, INDIRECT( "Lookup_" &amp; APIF_Import!$M223), VLOOKUP( APIF_Import!$M223 &amp; APIF_Import!$E$1,Podesavanja!$AA$3:$AD$24, 4, 0), 0)), ".", ","))</f>
        <v>0</v>
      </c>
      <c r="F223" s="364" t="str">
        <f ca="1">IF( ISNA( VLOOKUP( APIF_Import!$M223 &amp; APIF_Import!$F$1,Podesavanja!$AA$3:$AD$24, 4, 0)), "", VLOOKUP( APIF_Import!$C223, INDIRECT( "Lookup_" &amp; APIF_Import!$M223), VLOOKUP( APIF_Import!$M223 &amp; APIF_Import!$F$1,Podesavanja!$AA$3:$AD$24, 4, 0), 0))</f>
        <v/>
      </c>
      <c r="G223" s="364" t="str">
        <f ca="1">IF( ISNA( VLOOKUP( APIF_Import!$M223 &amp; APIF_Import!$G$1,Podesavanja!$AA$3:$AD$24, 4, 0)), "", VLOOKUP( APIF_Import!$C223, INDIRECT( "Lookup_" &amp; APIF_Import!$M223), VLOOKUP( APIF_Import!$M223 &amp; APIF_Import!$G$1,Podesavanja!$AA$3:$AD$24, 4, 0), 0))</f>
        <v/>
      </c>
      <c r="H223" s="364" t="str">
        <f ca="1">IF( ISNA( VLOOKUP( APIF_Import!$M223 &amp; APIF_Import!$H$1,Podesavanja!$AA$3:$AD$24, 4, 0)), "", VLOOKUP( APIF_Import!$C223, INDIRECT( "Lookup_" &amp; APIF_Import!$M223), VLOOKUP( APIF_Import!$M223 &amp; APIF_Import!$H$1,Podesavanja!$AA$3:$AD$24, 4, 0), 0))</f>
        <v/>
      </c>
      <c r="I223" s="364" t="str">
        <f ca="1">IF( ISNA( VLOOKUP( APIF_Import!$M223 &amp; APIF_Import!$I$1,Podesavanja!$AA$3:$AD$24, 4, 0)), "", VLOOKUP( APIF_Import!$C223, INDIRECT( "Lookup_" &amp; APIF_Import!$M223), VLOOKUP( APIF_Import!$M223 &amp; APIF_Import!$I$1,Podesavanja!$AA$3:$AD$24, 4, 0), 0))</f>
        <v/>
      </c>
      <c r="J223" s="364" t="str">
        <f ca="1">IF( ISNA( VLOOKUP( APIF_Import!$M223 &amp; APIF_Import!$J$1,Podesavanja!$AA$3:$AD$24, 4, 0)), "", VLOOKUP( APIF_Import!$C223, INDIRECT( "Lookup_" &amp; APIF_Import!$M223), VLOOKUP( APIF_Import!$M223 &amp; APIF_Import!$J$1,Podesavanja!$AA$3:$AD$24, 4, 0), 0))</f>
        <v/>
      </c>
      <c r="K223" s="364" t="str">
        <f ca="1">IF( ISNA( VLOOKUP( APIF_Import!$M223 &amp; APIF_Import!$K$1,Podesavanja!$AA$3:$AD$24, 4, 0)), "", VLOOKUP( APIF_Import!$C223, INDIRECT( "Lookup_" &amp; APIF_Import!$M223), VLOOKUP( APIF_Import!$M223 &amp; APIF_Import!$K$1,Podesavanja!$AA$3:$AD$24, 4, 0), 0))</f>
        <v/>
      </c>
      <c r="L223" s="8">
        <v>228</v>
      </c>
      <c r="M223" s="8" t="s">
        <v>1497</v>
      </c>
    </row>
    <row r="224" spans="2:13" x14ac:dyDescent="0.2">
      <c r="B224" s="8">
        <f>VLOOKUP( APIF_Import!$M224, Podesavanja!$N$3:$Q$9, 4, 0)</f>
        <v>3</v>
      </c>
      <c r="C224" s="363">
        <f>VLOOKUP( APIF_Import!$L224, Aop!$A$2:$N$415, 4, 0)</f>
        <v>291</v>
      </c>
      <c r="D224" s="364" t="str">
        <f ca="1">IF( ISNA( VLOOKUP( APIF_Import!$M224 &amp; APIF_Import!$D$1,Podesavanja!$AA$3:$AD$24, 4, 0)), "", SUBSTITUTE( VALUE( VLOOKUP( APIF_Import!$C224, INDIRECT( "Lookup_" &amp; APIF_Import!$M224), VLOOKUP( APIF_Import!$M224 &amp; APIF_Import!$D$1,Podesavanja!$AA$3:$AD$24, 4, 0), 0)), ".", ","))</f>
        <v>0</v>
      </c>
      <c r="E224" s="364" t="str">
        <f ca="1">IF( ISNA( VLOOKUP( APIF_Import!$M224 &amp; APIF_Import!$E$1,Podesavanja!$AA$3:$AD$24, 4, 0)), "", SUBSTITUTE( VALUE( VLOOKUP( APIF_Import!$C224, INDIRECT( "Lookup_" &amp; APIF_Import!$M224), VLOOKUP( APIF_Import!$M224 &amp; APIF_Import!$E$1,Podesavanja!$AA$3:$AD$24, 4, 0), 0)), ".", ","))</f>
        <v>0</v>
      </c>
      <c r="F224" s="364" t="str">
        <f ca="1">IF( ISNA( VLOOKUP( APIF_Import!$M224 &amp; APIF_Import!$F$1,Podesavanja!$AA$3:$AD$24, 4, 0)), "", VLOOKUP( APIF_Import!$C224, INDIRECT( "Lookup_" &amp; APIF_Import!$M224), VLOOKUP( APIF_Import!$M224 &amp; APIF_Import!$F$1,Podesavanja!$AA$3:$AD$24, 4, 0), 0))</f>
        <v/>
      </c>
      <c r="G224" s="364" t="str">
        <f ca="1">IF( ISNA( VLOOKUP( APIF_Import!$M224 &amp; APIF_Import!$G$1,Podesavanja!$AA$3:$AD$24, 4, 0)), "", VLOOKUP( APIF_Import!$C224, INDIRECT( "Lookup_" &amp; APIF_Import!$M224), VLOOKUP( APIF_Import!$M224 &amp; APIF_Import!$G$1,Podesavanja!$AA$3:$AD$24, 4, 0), 0))</f>
        <v/>
      </c>
      <c r="H224" s="364" t="str">
        <f ca="1">IF( ISNA( VLOOKUP( APIF_Import!$M224 &amp; APIF_Import!$H$1,Podesavanja!$AA$3:$AD$24, 4, 0)), "", VLOOKUP( APIF_Import!$C224, INDIRECT( "Lookup_" &amp; APIF_Import!$M224), VLOOKUP( APIF_Import!$M224 &amp; APIF_Import!$H$1,Podesavanja!$AA$3:$AD$24, 4, 0), 0))</f>
        <v/>
      </c>
      <c r="I224" s="364" t="str">
        <f ca="1">IF( ISNA( VLOOKUP( APIF_Import!$M224 &amp; APIF_Import!$I$1,Podesavanja!$AA$3:$AD$24, 4, 0)), "", VLOOKUP( APIF_Import!$C224, INDIRECT( "Lookup_" &amp; APIF_Import!$M224), VLOOKUP( APIF_Import!$M224 &amp; APIF_Import!$I$1,Podesavanja!$AA$3:$AD$24, 4, 0), 0))</f>
        <v/>
      </c>
      <c r="J224" s="364" t="str">
        <f ca="1">IF( ISNA( VLOOKUP( APIF_Import!$M224 &amp; APIF_Import!$J$1,Podesavanja!$AA$3:$AD$24, 4, 0)), "", VLOOKUP( APIF_Import!$C224, INDIRECT( "Lookup_" &amp; APIF_Import!$M224), VLOOKUP( APIF_Import!$M224 &amp; APIF_Import!$J$1,Podesavanja!$AA$3:$AD$24, 4, 0), 0))</f>
        <v/>
      </c>
      <c r="K224" s="364" t="str">
        <f ca="1">IF( ISNA( VLOOKUP( APIF_Import!$M224 &amp; APIF_Import!$K$1,Podesavanja!$AA$3:$AD$24, 4, 0)), "", VLOOKUP( APIF_Import!$C224, INDIRECT( "Lookup_" &amp; APIF_Import!$M224), VLOOKUP( APIF_Import!$M224 &amp; APIF_Import!$K$1,Podesavanja!$AA$3:$AD$24, 4, 0), 0))</f>
        <v/>
      </c>
      <c r="L224" s="8">
        <v>229</v>
      </c>
      <c r="M224" s="8" t="s">
        <v>1497</v>
      </c>
    </row>
    <row r="225" spans="2:13" x14ac:dyDescent="0.2">
      <c r="B225" s="8">
        <f>VLOOKUP( APIF_Import!$M225, Podesavanja!$N$3:$Q$9, 4, 0)</f>
        <v>3</v>
      </c>
      <c r="C225" s="363">
        <f>VLOOKUP( APIF_Import!$L225, Aop!$A$2:$N$415, 4, 0)</f>
        <v>292</v>
      </c>
      <c r="D225" s="364" t="str">
        <f ca="1">IF( ISNA( VLOOKUP( APIF_Import!$M225 &amp; APIF_Import!$D$1,Podesavanja!$AA$3:$AD$24, 4, 0)), "", SUBSTITUTE( VALUE( VLOOKUP( APIF_Import!$C225, INDIRECT( "Lookup_" &amp; APIF_Import!$M225), VLOOKUP( APIF_Import!$M225 &amp; APIF_Import!$D$1,Podesavanja!$AA$3:$AD$24, 4, 0), 0)), ".", ","))</f>
        <v>0</v>
      </c>
      <c r="E225" s="364" t="str">
        <f ca="1">IF( ISNA( VLOOKUP( APIF_Import!$M225 &amp; APIF_Import!$E$1,Podesavanja!$AA$3:$AD$24, 4, 0)), "", SUBSTITUTE( VALUE( VLOOKUP( APIF_Import!$C225, INDIRECT( "Lookup_" &amp; APIF_Import!$M225), VLOOKUP( APIF_Import!$M225 &amp; APIF_Import!$E$1,Podesavanja!$AA$3:$AD$24, 4, 0), 0)), ".", ","))</f>
        <v>0</v>
      </c>
      <c r="F225" s="364" t="str">
        <f ca="1">IF( ISNA( VLOOKUP( APIF_Import!$M225 &amp; APIF_Import!$F$1,Podesavanja!$AA$3:$AD$24, 4, 0)), "", VLOOKUP( APIF_Import!$C225, INDIRECT( "Lookup_" &amp; APIF_Import!$M225), VLOOKUP( APIF_Import!$M225 &amp; APIF_Import!$F$1,Podesavanja!$AA$3:$AD$24, 4, 0), 0))</f>
        <v/>
      </c>
      <c r="G225" s="364" t="str">
        <f ca="1">IF( ISNA( VLOOKUP( APIF_Import!$M225 &amp; APIF_Import!$G$1,Podesavanja!$AA$3:$AD$24, 4, 0)), "", VLOOKUP( APIF_Import!$C225, INDIRECT( "Lookup_" &amp; APIF_Import!$M225), VLOOKUP( APIF_Import!$M225 &amp; APIF_Import!$G$1,Podesavanja!$AA$3:$AD$24, 4, 0), 0))</f>
        <v/>
      </c>
      <c r="H225" s="364" t="str">
        <f ca="1">IF( ISNA( VLOOKUP( APIF_Import!$M225 &amp; APIF_Import!$H$1,Podesavanja!$AA$3:$AD$24, 4, 0)), "", VLOOKUP( APIF_Import!$C225, INDIRECT( "Lookup_" &amp; APIF_Import!$M225), VLOOKUP( APIF_Import!$M225 &amp; APIF_Import!$H$1,Podesavanja!$AA$3:$AD$24, 4, 0), 0))</f>
        <v/>
      </c>
      <c r="I225" s="364" t="str">
        <f ca="1">IF( ISNA( VLOOKUP( APIF_Import!$M225 &amp; APIF_Import!$I$1,Podesavanja!$AA$3:$AD$24, 4, 0)), "", VLOOKUP( APIF_Import!$C225, INDIRECT( "Lookup_" &amp; APIF_Import!$M225), VLOOKUP( APIF_Import!$M225 &amp; APIF_Import!$I$1,Podesavanja!$AA$3:$AD$24, 4, 0), 0))</f>
        <v/>
      </c>
      <c r="J225" s="364" t="str">
        <f ca="1">IF( ISNA( VLOOKUP( APIF_Import!$M225 &amp; APIF_Import!$J$1,Podesavanja!$AA$3:$AD$24, 4, 0)), "", VLOOKUP( APIF_Import!$C225, INDIRECT( "Lookup_" &amp; APIF_Import!$M225), VLOOKUP( APIF_Import!$M225 &amp; APIF_Import!$J$1,Podesavanja!$AA$3:$AD$24, 4, 0), 0))</f>
        <v/>
      </c>
      <c r="K225" s="364" t="str">
        <f ca="1">IF( ISNA( VLOOKUP( APIF_Import!$M225 &amp; APIF_Import!$K$1,Podesavanja!$AA$3:$AD$24, 4, 0)), "", VLOOKUP( APIF_Import!$C225, INDIRECT( "Lookup_" &amp; APIF_Import!$M225), VLOOKUP( APIF_Import!$M225 &amp; APIF_Import!$K$1,Podesavanja!$AA$3:$AD$24, 4, 0), 0))</f>
        <v/>
      </c>
      <c r="L225" s="8">
        <v>230</v>
      </c>
      <c r="M225" s="8" t="s">
        <v>1497</v>
      </c>
    </row>
    <row r="226" spans="2:13" x14ac:dyDescent="0.2">
      <c r="B226" s="8">
        <f>VLOOKUP( APIF_Import!$M226, Podesavanja!$N$3:$Q$9, 4, 0)</f>
        <v>3</v>
      </c>
      <c r="C226" s="363">
        <f>VLOOKUP( APIF_Import!$L226, Aop!$A$2:$N$415, 4, 0)</f>
        <v>293</v>
      </c>
      <c r="D226" s="364" t="str">
        <f ca="1">IF( ISNA( VLOOKUP( APIF_Import!$M226 &amp; APIF_Import!$D$1,Podesavanja!$AA$3:$AD$24, 4, 0)), "", SUBSTITUTE( VALUE( VLOOKUP( APIF_Import!$C226, INDIRECT( "Lookup_" &amp; APIF_Import!$M226), VLOOKUP( APIF_Import!$M226 &amp; APIF_Import!$D$1,Podesavanja!$AA$3:$AD$24, 4, 0), 0)), ".", ","))</f>
        <v>0</v>
      </c>
      <c r="E226" s="364" t="str">
        <f ca="1">IF( ISNA( VLOOKUP( APIF_Import!$M226 &amp; APIF_Import!$E$1,Podesavanja!$AA$3:$AD$24, 4, 0)), "", SUBSTITUTE( VALUE( VLOOKUP( APIF_Import!$C226, INDIRECT( "Lookup_" &amp; APIF_Import!$M226), VLOOKUP( APIF_Import!$M226 &amp; APIF_Import!$E$1,Podesavanja!$AA$3:$AD$24, 4, 0), 0)), ".", ","))</f>
        <v>0</v>
      </c>
      <c r="F226" s="364" t="str">
        <f ca="1">IF( ISNA( VLOOKUP( APIF_Import!$M226 &amp; APIF_Import!$F$1,Podesavanja!$AA$3:$AD$24, 4, 0)), "", VLOOKUP( APIF_Import!$C226, INDIRECT( "Lookup_" &amp; APIF_Import!$M226), VLOOKUP( APIF_Import!$M226 &amp; APIF_Import!$F$1,Podesavanja!$AA$3:$AD$24, 4, 0), 0))</f>
        <v/>
      </c>
      <c r="G226" s="364" t="str">
        <f ca="1">IF( ISNA( VLOOKUP( APIF_Import!$M226 &amp; APIF_Import!$G$1,Podesavanja!$AA$3:$AD$24, 4, 0)), "", VLOOKUP( APIF_Import!$C226, INDIRECT( "Lookup_" &amp; APIF_Import!$M226), VLOOKUP( APIF_Import!$M226 &amp; APIF_Import!$G$1,Podesavanja!$AA$3:$AD$24, 4, 0), 0))</f>
        <v/>
      </c>
      <c r="H226" s="364" t="str">
        <f ca="1">IF( ISNA( VLOOKUP( APIF_Import!$M226 &amp; APIF_Import!$H$1,Podesavanja!$AA$3:$AD$24, 4, 0)), "", VLOOKUP( APIF_Import!$C226, INDIRECT( "Lookup_" &amp; APIF_Import!$M226), VLOOKUP( APIF_Import!$M226 &amp; APIF_Import!$H$1,Podesavanja!$AA$3:$AD$24, 4, 0), 0))</f>
        <v/>
      </c>
      <c r="I226" s="364" t="str">
        <f ca="1">IF( ISNA( VLOOKUP( APIF_Import!$M226 &amp; APIF_Import!$I$1,Podesavanja!$AA$3:$AD$24, 4, 0)), "", VLOOKUP( APIF_Import!$C226, INDIRECT( "Lookup_" &amp; APIF_Import!$M226), VLOOKUP( APIF_Import!$M226 &amp; APIF_Import!$I$1,Podesavanja!$AA$3:$AD$24, 4, 0), 0))</f>
        <v/>
      </c>
      <c r="J226" s="364" t="str">
        <f ca="1">IF( ISNA( VLOOKUP( APIF_Import!$M226 &amp; APIF_Import!$J$1,Podesavanja!$AA$3:$AD$24, 4, 0)), "", VLOOKUP( APIF_Import!$C226, INDIRECT( "Lookup_" &amp; APIF_Import!$M226), VLOOKUP( APIF_Import!$M226 &amp; APIF_Import!$J$1,Podesavanja!$AA$3:$AD$24, 4, 0), 0))</f>
        <v/>
      </c>
      <c r="K226" s="364" t="str">
        <f ca="1">IF( ISNA( VLOOKUP( APIF_Import!$M226 &amp; APIF_Import!$K$1,Podesavanja!$AA$3:$AD$24, 4, 0)), "", VLOOKUP( APIF_Import!$C226, INDIRECT( "Lookup_" &amp; APIF_Import!$M226), VLOOKUP( APIF_Import!$M226 &amp; APIF_Import!$K$1,Podesavanja!$AA$3:$AD$24, 4, 0), 0))</f>
        <v/>
      </c>
      <c r="L226" s="8">
        <v>231</v>
      </c>
      <c r="M226" s="8" t="s">
        <v>1497</v>
      </c>
    </row>
    <row r="227" spans="2:13" x14ac:dyDescent="0.2">
      <c r="B227" s="8">
        <f>VLOOKUP( APIF_Import!$M227, Podesavanja!$N$3:$Q$9, 4, 0)</f>
        <v>3</v>
      </c>
      <c r="C227" s="363">
        <f>VLOOKUP( APIF_Import!$L227, Aop!$A$2:$N$415, 4, 0)</f>
        <v>294</v>
      </c>
      <c r="D227" s="364" t="str">
        <f ca="1">IF( ISNA( VLOOKUP( APIF_Import!$M227 &amp; APIF_Import!$D$1,Podesavanja!$AA$3:$AD$24, 4, 0)), "", SUBSTITUTE( VALUE( VLOOKUP( APIF_Import!$C227, INDIRECT( "Lookup_" &amp; APIF_Import!$M227), VLOOKUP( APIF_Import!$M227 &amp; APIF_Import!$D$1,Podesavanja!$AA$3:$AD$24, 4, 0), 0)), ".", ","))</f>
        <v>535368</v>
      </c>
      <c r="E227" s="364" t="str">
        <f ca="1">IF( ISNA( VLOOKUP( APIF_Import!$M227 &amp; APIF_Import!$E$1,Podesavanja!$AA$3:$AD$24, 4, 0)), "", SUBSTITUTE( VALUE( VLOOKUP( APIF_Import!$C227, INDIRECT( "Lookup_" &amp; APIF_Import!$M227), VLOOKUP( APIF_Import!$M227 &amp; APIF_Import!$E$1,Podesavanja!$AA$3:$AD$24, 4, 0), 0)), ".", ","))</f>
        <v>12752</v>
      </c>
      <c r="F227" s="364" t="str">
        <f ca="1">IF( ISNA( VLOOKUP( APIF_Import!$M227 &amp; APIF_Import!$F$1,Podesavanja!$AA$3:$AD$24, 4, 0)), "", VLOOKUP( APIF_Import!$C227, INDIRECT( "Lookup_" &amp; APIF_Import!$M227), VLOOKUP( APIF_Import!$M227 &amp; APIF_Import!$F$1,Podesavanja!$AA$3:$AD$24, 4, 0), 0))</f>
        <v/>
      </c>
      <c r="G227" s="364" t="str">
        <f ca="1">IF( ISNA( VLOOKUP( APIF_Import!$M227 &amp; APIF_Import!$G$1,Podesavanja!$AA$3:$AD$24, 4, 0)), "", VLOOKUP( APIF_Import!$C227, INDIRECT( "Lookup_" &amp; APIF_Import!$M227), VLOOKUP( APIF_Import!$M227 &amp; APIF_Import!$G$1,Podesavanja!$AA$3:$AD$24, 4, 0), 0))</f>
        <v/>
      </c>
      <c r="H227" s="364" t="str">
        <f ca="1">IF( ISNA( VLOOKUP( APIF_Import!$M227 &amp; APIF_Import!$H$1,Podesavanja!$AA$3:$AD$24, 4, 0)), "", VLOOKUP( APIF_Import!$C227, INDIRECT( "Lookup_" &amp; APIF_Import!$M227), VLOOKUP( APIF_Import!$M227 &amp; APIF_Import!$H$1,Podesavanja!$AA$3:$AD$24, 4, 0), 0))</f>
        <v/>
      </c>
      <c r="I227" s="364" t="str">
        <f ca="1">IF( ISNA( VLOOKUP( APIF_Import!$M227 &amp; APIF_Import!$I$1,Podesavanja!$AA$3:$AD$24, 4, 0)), "", VLOOKUP( APIF_Import!$C227, INDIRECT( "Lookup_" &amp; APIF_Import!$M227), VLOOKUP( APIF_Import!$M227 &amp; APIF_Import!$I$1,Podesavanja!$AA$3:$AD$24, 4, 0), 0))</f>
        <v/>
      </c>
      <c r="J227" s="364" t="str">
        <f ca="1">IF( ISNA( VLOOKUP( APIF_Import!$M227 &amp; APIF_Import!$J$1,Podesavanja!$AA$3:$AD$24, 4, 0)), "", VLOOKUP( APIF_Import!$C227, INDIRECT( "Lookup_" &amp; APIF_Import!$M227), VLOOKUP( APIF_Import!$M227 &amp; APIF_Import!$J$1,Podesavanja!$AA$3:$AD$24, 4, 0), 0))</f>
        <v/>
      </c>
      <c r="K227" s="364" t="str">
        <f ca="1">IF( ISNA( VLOOKUP( APIF_Import!$M227 &amp; APIF_Import!$K$1,Podesavanja!$AA$3:$AD$24, 4, 0)), "", VLOOKUP( APIF_Import!$C227, INDIRECT( "Lookup_" &amp; APIF_Import!$M227), VLOOKUP( APIF_Import!$M227 &amp; APIF_Import!$K$1,Podesavanja!$AA$3:$AD$24, 4, 0), 0))</f>
        <v/>
      </c>
      <c r="L227" s="8">
        <v>233</v>
      </c>
      <c r="M227" s="8" t="s">
        <v>1497</v>
      </c>
    </row>
    <row r="228" spans="2:13" x14ac:dyDescent="0.2">
      <c r="B228" s="8">
        <f>VLOOKUP( APIF_Import!$M228, Podesavanja!$N$3:$Q$9, 4, 0)</f>
        <v>3</v>
      </c>
      <c r="C228" s="363">
        <f>VLOOKUP( APIF_Import!$L228, Aop!$A$2:$N$415, 4, 0)</f>
        <v>295</v>
      </c>
      <c r="D228" s="364" t="str">
        <f ca="1">IF( ISNA( VLOOKUP( APIF_Import!$M228 &amp; APIF_Import!$D$1,Podesavanja!$AA$3:$AD$24, 4, 0)), "", SUBSTITUTE( VALUE( VLOOKUP( APIF_Import!$C228, INDIRECT( "Lookup_" &amp; APIF_Import!$M228), VLOOKUP( APIF_Import!$M228 &amp; APIF_Import!$D$1,Podesavanja!$AA$3:$AD$24, 4, 0), 0)), ".", ","))</f>
        <v>0</v>
      </c>
      <c r="E228" s="364" t="str">
        <f ca="1">IF( ISNA( VLOOKUP( APIF_Import!$M228 &amp; APIF_Import!$E$1,Podesavanja!$AA$3:$AD$24, 4, 0)), "", SUBSTITUTE( VALUE( VLOOKUP( APIF_Import!$C228, INDIRECT( "Lookup_" &amp; APIF_Import!$M228), VLOOKUP( APIF_Import!$M228 &amp; APIF_Import!$E$1,Podesavanja!$AA$3:$AD$24, 4, 0), 0)), ".", ","))</f>
        <v>0</v>
      </c>
      <c r="F228" s="364" t="str">
        <f ca="1">IF( ISNA( VLOOKUP( APIF_Import!$M228 &amp; APIF_Import!$F$1,Podesavanja!$AA$3:$AD$24, 4, 0)), "", VLOOKUP( APIF_Import!$C228, INDIRECT( "Lookup_" &amp; APIF_Import!$M228), VLOOKUP( APIF_Import!$M228 &amp; APIF_Import!$F$1,Podesavanja!$AA$3:$AD$24, 4, 0), 0))</f>
        <v/>
      </c>
      <c r="G228" s="364" t="str">
        <f ca="1">IF( ISNA( VLOOKUP( APIF_Import!$M228 &amp; APIF_Import!$G$1,Podesavanja!$AA$3:$AD$24, 4, 0)), "", VLOOKUP( APIF_Import!$C228, INDIRECT( "Lookup_" &amp; APIF_Import!$M228), VLOOKUP( APIF_Import!$M228 &amp; APIF_Import!$G$1,Podesavanja!$AA$3:$AD$24, 4, 0), 0))</f>
        <v/>
      </c>
      <c r="H228" s="364" t="str">
        <f ca="1">IF( ISNA( VLOOKUP( APIF_Import!$M228 &amp; APIF_Import!$H$1,Podesavanja!$AA$3:$AD$24, 4, 0)), "", VLOOKUP( APIF_Import!$C228, INDIRECT( "Lookup_" &amp; APIF_Import!$M228), VLOOKUP( APIF_Import!$M228 &amp; APIF_Import!$H$1,Podesavanja!$AA$3:$AD$24, 4, 0), 0))</f>
        <v/>
      </c>
      <c r="I228" s="364" t="str">
        <f ca="1">IF( ISNA( VLOOKUP( APIF_Import!$M228 &amp; APIF_Import!$I$1,Podesavanja!$AA$3:$AD$24, 4, 0)), "", VLOOKUP( APIF_Import!$C228, INDIRECT( "Lookup_" &amp; APIF_Import!$M228), VLOOKUP( APIF_Import!$M228 &amp; APIF_Import!$I$1,Podesavanja!$AA$3:$AD$24, 4, 0), 0))</f>
        <v/>
      </c>
      <c r="J228" s="364" t="str">
        <f ca="1">IF( ISNA( VLOOKUP( APIF_Import!$M228 &amp; APIF_Import!$J$1,Podesavanja!$AA$3:$AD$24, 4, 0)), "", VLOOKUP( APIF_Import!$C228, INDIRECT( "Lookup_" &amp; APIF_Import!$M228), VLOOKUP( APIF_Import!$M228 &amp; APIF_Import!$J$1,Podesavanja!$AA$3:$AD$24, 4, 0), 0))</f>
        <v/>
      </c>
      <c r="K228" s="364" t="str">
        <f ca="1">IF( ISNA( VLOOKUP( APIF_Import!$M228 &amp; APIF_Import!$K$1,Podesavanja!$AA$3:$AD$24, 4, 0)), "", VLOOKUP( APIF_Import!$C228, INDIRECT( "Lookup_" &amp; APIF_Import!$M228), VLOOKUP( APIF_Import!$M228 &amp; APIF_Import!$K$1,Podesavanja!$AA$3:$AD$24, 4, 0), 0))</f>
        <v/>
      </c>
      <c r="L228" s="8">
        <v>234</v>
      </c>
      <c r="M228" s="8" t="s">
        <v>1497</v>
      </c>
    </row>
    <row r="229" spans="2:13" x14ac:dyDescent="0.2">
      <c r="B229" s="8">
        <f>VLOOKUP( APIF_Import!$M229, Podesavanja!$N$3:$Q$9, 4, 0)</f>
        <v>3</v>
      </c>
      <c r="C229" s="363">
        <f>VLOOKUP( APIF_Import!$L229, Aop!$A$2:$N$415, 4, 0)</f>
        <v>296</v>
      </c>
      <c r="D229" s="364" t="str">
        <f ca="1">IF( ISNA( VLOOKUP( APIF_Import!$M229 &amp; APIF_Import!$D$1,Podesavanja!$AA$3:$AD$24, 4, 0)), "", SUBSTITUTE( VALUE( VLOOKUP( APIF_Import!$C229, INDIRECT( "Lookup_" &amp; APIF_Import!$M229), VLOOKUP( APIF_Import!$M229 &amp; APIF_Import!$D$1,Podesavanja!$AA$3:$AD$24, 4, 0), 0)), ".", ","))</f>
        <v>53903</v>
      </c>
      <c r="E229" s="364" t="str">
        <f ca="1">IF( ISNA( VLOOKUP( APIF_Import!$M229 &amp; APIF_Import!$E$1,Podesavanja!$AA$3:$AD$24, 4, 0)), "", SUBSTITUTE( VALUE( VLOOKUP( APIF_Import!$C229, INDIRECT( "Lookup_" &amp; APIF_Import!$M229), VLOOKUP( APIF_Import!$M229 &amp; APIF_Import!$E$1,Podesavanja!$AA$3:$AD$24, 4, 0), 0)), ".", ","))</f>
        <v>5462</v>
      </c>
      <c r="F229" s="364" t="str">
        <f ca="1">IF( ISNA( VLOOKUP( APIF_Import!$M229 &amp; APIF_Import!$F$1,Podesavanja!$AA$3:$AD$24, 4, 0)), "", VLOOKUP( APIF_Import!$C229, INDIRECT( "Lookup_" &amp; APIF_Import!$M229), VLOOKUP( APIF_Import!$M229 &amp; APIF_Import!$F$1,Podesavanja!$AA$3:$AD$24, 4, 0), 0))</f>
        <v/>
      </c>
      <c r="G229" s="364" t="str">
        <f ca="1">IF( ISNA( VLOOKUP( APIF_Import!$M229 &amp; APIF_Import!$G$1,Podesavanja!$AA$3:$AD$24, 4, 0)), "", VLOOKUP( APIF_Import!$C229, INDIRECT( "Lookup_" &amp; APIF_Import!$M229), VLOOKUP( APIF_Import!$M229 &amp; APIF_Import!$G$1,Podesavanja!$AA$3:$AD$24, 4, 0), 0))</f>
        <v/>
      </c>
      <c r="H229" s="364" t="str">
        <f ca="1">IF( ISNA( VLOOKUP( APIF_Import!$M229 &amp; APIF_Import!$H$1,Podesavanja!$AA$3:$AD$24, 4, 0)), "", VLOOKUP( APIF_Import!$C229, INDIRECT( "Lookup_" &amp; APIF_Import!$M229), VLOOKUP( APIF_Import!$M229 &amp; APIF_Import!$H$1,Podesavanja!$AA$3:$AD$24, 4, 0), 0))</f>
        <v/>
      </c>
      <c r="I229" s="364" t="str">
        <f ca="1">IF( ISNA( VLOOKUP( APIF_Import!$M229 &amp; APIF_Import!$I$1,Podesavanja!$AA$3:$AD$24, 4, 0)), "", VLOOKUP( APIF_Import!$C229, INDIRECT( "Lookup_" &amp; APIF_Import!$M229), VLOOKUP( APIF_Import!$M229 &amp; APIF_Import!$I$1,Podesavanja!$AA$3:$AD$24, 4, 0), 0))</f>
        <v/>
      </c>
      <c r="J229" s="364" t="str">
        <f ca="1">IF( ISNA( VLOOKUP( APIF_Import!$M229 &amp; APIF_Import!$J$1,Podesavanja!$AA$3:$AD$24, 4, 0)), "", VLOOKUP( APIF_Import!$C229, INDIRECT( "Lookup_" &amp; APIF_Import!$M229), VLOOKUP( APIF_Import!$M229 &amp; APIF_Import!$J$1,Podesavanja!$AA$3:$AD$24, 4, 0), 0))</f>
        <v/>
      </c>
      <c r="K229" s="364" t="str">
        <f ca="1">IF( ISNA( VLOOKUP( APIF_Import!$M229 &amp; APIF_Import!$K$1,Podesavanja!$AA$3:$AD$24, 4, 0)), "", VLOOKUP( APIF_Import!$C229, INDIRECT( "Lookup_" &amp; APIF_Import!$M229), VLOOKUP( APIF_Import!$M229 &amp; APIF_Import!$K$1,Podesavanja!$AA$3:$AD$24, 4, 0), 0))</f>
        <v/>
      </c>
      <c r="L229" s="8">
        <v>236</v>
      </c>
      <c r="M229" s="8" t="s">
        <v>1497</v>
      </c>
    </row>
    <row r="230" spans="2:13" x14ac:dyDescent="0.2">
      <c r="B230" s="8">
        <f>VLOOKUP( APIF_Import!$M230, Podesavanja!$N$3:$Q$9, 4, 0)</f>
        <v>3</v>
      </c>
      <c r="C230" s="363">
        <f>VLOOKUP( APIF_Import!$L230, Aop!$A$2:$N$415, 4, 0)</f>
        <v>297</v>
      </c>
      <c r="D230" s="364" t="str">
        <f ca="1">IF( ISNA( VLOOKUP( APIF_Import!$M230 &amp; APIF_Import!$D$1,Podesavanja!$AA$3:$AD$24, 4, 0)), "", SUBSTITUTE( VALUE( VLOOKUP( APIF_Import!$C230, INDIRECT( "Lookup_" &amp; APIF_Import!$M230), VLOOKUP( APIF_Import!$M230 &amp; APIF_Import!$D$1,Podesavanja!$AA$3:$AD$24, 4, 0), 0)), ".", ","))</f>
        <v>0</v>
      </c>
      <c r="E230" s="364" t="str">
        <f ca="1">IF( ISNA( VLOOKUP( APIF_Import!$M230 &amp; APIF_Import!$E$1,Podesavanja!$AA$3:$AD$24, 4, 0)), "", SUBSTITUTE( VALUE( VLOOKUP( APIF_Import!$C230, INDIRECT( "Lookup_" &amp; APIF_Import!$M230), VLOOKUP( APIF_Import!$M230 &amp; APIF_Import!$E$1,Podesavanja!$AA$3:$AD$24, 4, 0), 0)), ".", ","))</f>
        <v>0</v>
      </c>
      <c r="F230" s="364" t="str">
        <f ca="1">IF( ISNA( VLOOKUP( APIF_Import!$M230 &amp; APIF_Import!$F$1,Podesavanja!$AA$3:$AD$24, 4, 0)), "", VLOOKUP( APIF_Import!$C230, INDIRECT( "Lookup_" &amp; APIF_Import!$M230), VLOOKUP( APIF_Import!$M230 &amp; APIF_Import!$F$1,Podesavanja!$AA$3:$AD$24, 4, 0), 0))</f>
        <v/>
      </c>
      <c r="G230" s="364" t="str">
        <f ca="1">IF( ISNA( VLOOKUP( APIF_Import!$M230 &amp; APIF_Import!$G$1,Podesavanja!$AA$3:$AD$24, 4, 0)), "", VLOOKUP( APIF_Import!$C230, INDIRECT( "Lookup_" &amp; APIF_Import!$M230), VLOOKUP( APIF_Import!$M230 &amp; APIF_Import!$G$1,Podesavanja!$AA$3:$AD$24, 4, 0), 0))</f>
        <v/>
      </c>
      <c r="H230" s="364" t="str">
        <f ca="1">IF( ISNA( VLOOKUP( APIF_Import!$M230 &amp; APIF_Import!$H$1,Podesavanja!$AA$3:$AD$24, 4, 0)), "", VLOOKUP( APIF_Import!$C230, INDIRECT( "Lookup_" &amp; APIF_Import!$M230), VLOOKUP( APIF_Import!$M230 &amp; APIF_Import!$H$1,Podesavanja!$AA$3:$AD$24, 4, 0), 0))</f>
        <v/>
      </c>
      <c r="I230" s="364" t="str">
        <f ca="1">IF( ISNA( VLOOKUP( APIF_Import!$M230 &amp; APIF_Import!$I$1,Podesavanja!$AA$3:$AD$24, 4, 0)), "", VLOOKUP( APIF_Import!$C230, INDIRECT( "Lookup_" &amp; APIF_Import!$M230), VLOOKUP( APIF_Import!$M230 &amp; APIF_Import!$I$1,Podesavanja!$AA$3:$AD$24, 4, 0), 0))</f>
        <v/>
      </c>
      <c r="J230" s="364" t="str">
        <f ca="1">IF( ISNA( VLOOKUP( APIF_Import!$M230 &amp; APIF_Import!$J$1,Podesavanja!$AA$3:$AD$24, 4, 0)), "", VLOOKUP( APIF_Import!$C230, INDIRECT( "Lookup_" &amp; APIF_Import!$M230), VLOOKUP( APIF_Import!$M230 &amp; APIF_Import!$J$1,Podesavanja!$AA$3:$AD$24, 4, 0), 0))</f>
        <v/>
      </c>
      <c r="K230" s="364" t="str">
        <f ca="1">IF( ISNA( VLOOKUP( APIF_Import!$M230 &amp; APIF_Import!$K$1,Podesavanja!$AA$3:$AD$24, 4, 0)), "", VLOOKUP( APIF_Import!$C230, INDIRECT( "Lookup_" &amp; APIF_Import!$M230), VLOOKUP( APIF_Import!$M230 &amp; APIF_Import!$K$1,Podesavanja!$AA$3:$AD$24, 4, 0), 0))</f>
        <v/>
      </c>
      <c r="L230" s="8">
        <v>237</v>
      </c>
      <c r="M230" s="8" t="s">
        <v>1497</v>
      </c>
    </row>
    <row r="231" spans="2:13" x14ac:dyDescent="0.2">
      <c r="B231" s="8">
        <f>VLOOKUP( APIF_Import!$M231, Podesavanja!$N$3:$Q$9, 4, 0)</f>
        <v>3</v>
      </c>
      <c r="C231" s="363">
        <f>VLOOKUP( APIF_Import!$L231, Aop!$A$2:$N$415, 4, 0)</f>
        <v>298</v>
      </c>
      <c r="D231" s="364" t="str">
        <f ca="1">IF( ISNA( VLOOKUP( APIF_Import!$M231 &amp; APIF_Import!$D$1,Podesavanja!$AA$3:$AD$24, 4, 0)), "", SUBSTITUTE( VALUE( VLOOKUP( APIF_Import!$C231, INDIRECT( "Lookup_" &amp; APIF_Import!$M231), VLOOKUP( APIF_Import!$M231 &amp; APIF_Import!$D$1,Podesavanja!$AA$3:$AD$24, 4, 0), 0)), ".", ","))</f>
        <v>0</v>
      </c>
      <c r="E231" s="364" t="str">
        <f ca="1">IF( ISNA( VLOOKUP( APIF_Import!$M231 &amp; APIF_Import!$E$1,Podesavanja!$AA$3:$AD$24, 4, 0)), "", SUBSTITUTE( VALUE( VLOOKUP( APIF_Import!$C231, INDIRECT( "Lookup_" &amp; APIF_Import!$M231), VLOOKUP( APIF_Import!$M231 &amp; APIF_Import!$E$1,Podesavanja!$AA$3:$AD$24, 4, 0), 0)), ".", ","))</f>
        <v>0</v>
      </c>
      <c r="F231" s="364" t="str">
        <f ca="1">IF( ISNA( VLOOKUP( APIF_Import!$M231 &amp; APIF_Import!$F$1,Podesavanja!$AA$3:$AD$24, 4, 0)), "", VLOOKUP( APIF_Import!$C231, INDIRECT( "Lookup_" &amp; APIF_Import!$M231), VLOOKUP( APIF_Import!$M231 &amp; APIF_Import!$F$1,Podesavanja!$AA$3:$AD$24, 4, 0), 0))</f>
        <v/>
      </c>
      <c r="G231" s="364" t="str">
        <f ca="1">IF( ISNA( VLOOKUP( APIF_Import!$M231 &amp; APIF_Import!$G$1,Podesavanja!$AA$3:$AD$24, 4, 0)), "", VLOOKUP( APIF_Import!$C231, INDIRECT( "Lookup_" &amp; APIF_Import!$M231), VLOOKUP( APIF_Import!$M231 &amp; APIF_Import!$G$1,Podesavanja!$AA$3:$AD$24, 4, 0), 0))</f>
        <v/>
      </c>
      <c r="H231" s="364" t="str">
        <f ca="1">IF( ISNA( VLOOKUP( APIF_Import!$M231 &amp; APIF_Import!$H$1,Podesavanja!$AA$3:$AD$24, 4, 0)), "", VLOOKUP( APIF_Import!$C231, INDIRECT( "Lookup_" &amp; APIF_Import!$M231), VLOOKUP( APIF_Import!$M231 &amp; APIF_Import!$H$1,Podesavanja!$AA$3:$AD$24, 4, 0), 0))</f>
        <v/>
      </c>
      <c r="I231" s="364" t="str">
        <f ca="1">IF( ISNA( VLOOKUP( APIF_Import!$M231 &amp; APIF_Import!$I$1,Podesavanja!$AA$3:$AD$24, 4, 0)), "", VLOOKUP( APIF_Import!$C231, INDIRECT( "Lookup_" &amp; APIF_Import!$M231), VLOOKUP( APIF_Import!$M231 &amp; APIF_Import!$I$1,Podesavanja!$AA$3:$AD$24, 4, 0), 0))</f>
        <v/>
      </c>
      <c r="J231" s="364" t="str">
        <f ca="1">IF( ISNA( VLOOKUP( APIF_Import!$M231 &amp; APIF_Import!$J$1,Podesavanja!$AA$3:$AD$24, 4, 0)), "", VLOOKUP( APIF_Import!$C231, INDIRECT( "Lookup_" &amp; APIF_Import!$M231), VLOOKUP( APIF_Import!$M231 &amp; APIF_Import!$J$1,Podesavanja!$AA$3:$AD$24, 4, 0), 0))</f>
        <v/>
      </c>
      <c r="K231" s="364" t="str">
        <f ca="1">IF( ISNA( VLOOKUP( APIF_Import!$M231 &amp; APIF_Import!$K$1,Podesavanja!$AA$3:$AD$24, 4, 0)), "", VLOOKUP( APIF_Import!$C231, INDIRECT( "Lookup_" &amp; APIF_Import!$M231), VLOOKUP( APIF_Import!$M231 &amp; APIF_Import!$K$1,Podesavanja!$AA$3:$AD$24, 4, 0), 0))</f>
        <v/>
      </c>
      <c r="L231" s="8">
        <v>238</v>
      </c>
      <c r="M231" s="8" t="s">
        <v>1497</v>
      </c>
    </row>
    <row r="232" spans="2:13" x14ac:dyDescent="0.2">
      <c r="B232" s="8">
        <f>VLOOKUP( APIF_Import!$M232, Podesavanja!$N$3:$Q$9, 4, 0)</f>
        <v>3</v>
      </c>
      <c r="C232" s="363">
        <f>VLOOKUP( APIF_Import!$L232, Aop!$A$2:$N$415, 4, 0)</f>
        <v>299</v>
      </c>
      <c r="D232" s="364" t="str">
        <f ca="1">IF( ISNA( VLOOKUP( APIF_Import!$M232 &amp; APIF_Import!$D$1,Podesavanja!$AA$3:$AD$24, 4, 0)), "", SUBSTITUTE( VALUE( VLOOKUP( APIF_Import!$C232, INDIRECT( "Lookup_" &amp; APIF_Import!$M232), VLOOKUP( APIF_Import!$M232 &amp; APIF_Import!$D$1,Podesavanja!$AA$3:$AD$24, 4, 0), 0)), ".", ","))</f>
        <v>481465</v>
      </c>
      <c r="E232" s="364" t="str">
        <f ca="1">IF( ISNA( VLOOKUP( APIF_Import!$M232 &amp; APIF_Import!$E$1,Podesavanja!$AA$3:$AD$24, 4, 0)), "", SUBSTITUTE( VALUE( VLOOKUP( APIF_Import!$C232, INDIRECT( "Lookup_" &amp; APIF_Import!$M232), VLOOKUP( APIF_Import!$M232 &amp; APIF_Import!$E$1,Podesavanja!$AA$3:$AD$24, 4, 0), 0)), ".", ","))</f>
        <v>7290</v>
      </c>
      <c r="F232" s="364" t="str">
        <f ca="1">IF( ISNA( VLOOKUP( APIF_Import!$M232 &amp; APIF_Import!$F$1,Podesavanja!$AA$3:$AD$24, 4, 0)), "", VLOOKUP( APIF_Import!$C232, INDIRECT( "Lookup_" &amp; APIF_Import!$M232), VLOOKUP( APIF_Import!$M232 &amp; APIF_Import!$F$1,Podesavanja!$AA$3:$AD$24, 4, 0), 0))</f>
        <v/>
      </c>
      <c r="G232" s="364" t="str">
        <f ca="1">IF( ISNA( VLOOKUP( APIF_Import!$M232 &amp; APIF_Import!$G$1,Podesavanja!$AA$3:$AD$24, 4, 0)), "", VLOOKUP( APIF_Import!$C232, INDIRECT( "Lookup_" &amp; APIF_Import!$M232), VLOOKUP( APIF_Import!$M232 &amp; APIF_Import!$G$1,Podesavanja!$AA$3:$AD$24, 4, 0), 0))</f>
        <v/>
      </c>
      <c r="H232" s="364" t="str">
        <f ca="1">IF( ISNA( VLOOKUP( APIF_Import!$M232 &amp; APIF_Import!$H$1,Podesavanja!$AA$3:$AD$24, 4, 0)), "", VLOOKUP( APIF_Import!$C232, INDIRECT( "Lookup_" &amp; APIF_Import!$M232), VLOOKUP( APIF_Import!$M232 &amp; APIF_Import!$H$1,Podesavanja!$AA$3:$AD$24, 4, 0), 0))</f>
        <v/>
      </c>
      <c r="I232" s="364" t="str">
        <f ca="1">IF( ISNA( VLOOKUP( APIF_Import!$M232 &amp; APIF_Import!$I$1,Podesavanja!$AA$3:$AD$24, 4, 0)), "", VLOOKUP( APIF_Import!$C232, INDIRECT( "Lookup_" &amp; APIF_Import!$M232), VLOOKUP( APIF_Import!$M232 &amp; APIF_Import!$I$1,Podesavanja!$AA$3:$AD$24, 4, 0), 0))</f>
        <v/>
      </c>
      <c r="J232" s="364" t="str">
        <f ca="1">IF( ISNA( VLOOKUP( APIF_Import!$M232 &amp; APIF_Import!$J$1,Podesavanja!$AA$3:$AD$24, 4, 0)), "", VLOOKUP( APIF_Import!$C232, INDIRECT( "Lookup_" &amp; APIF_Import!$M232), VLOOKUP( APIF_Import!$M232 &amp; APIF_Import!$J$1,Podesavanja!$AA$3:$AD$24, 4, 0), 0))</f>
        <v/>
      </c>
      <c r="K232" s="364" t="str">
        <f ca="1">IF( ISNA( VLOOKUP( APIF_Import!$M232 &amp; APIF_Import!$K$1,Podesavanja!$AA$3:$AD$24, 4, 0)), "", VLOOKUP( APIF_Import!$C232, INDIRECT( "Lookup_" &amp; APIF_Import!$M232), VLOOKUP( APIF_Import!$M232 &amp; APIF_Import!$K$1,Podesavanja!$AA$3:$AD$24, 4, 0), 0))</f>
        <v/>
      </c>
      <c r="L232" s="8">
        <v>240</v>
      </c>
      <c r="M232" s="8" t="s">
        <v>1497</v>
      </c>
    </row>
    <row r="233" spans="2:13" x14ac:dyDescent="0.2">
      <c r="B233" s="8">
        <f>VLOOKUP( APIF_Import!$M233, Podesavanja!$N$3:$Q$9, 4, 0)</f>
        <v>3</v>
      </c>
      <c r="C233" s="363">
        <f>VLOOKUP( APIF_Import!$L233, Aop!$A$2:$N$415, 4, 0)</f>
        <v>300</v>
      </c>
      <c r="D233" s="364" t="str">
        <f ca="1">IF( ISNA( VLOOKUP( APIF_Import!$M233 &amp; APIF_Import!$D$1,Podesavanja!$AA$3:$AD$24, 4, 0)), "", SUBSTITUTE( VALUE( VLOOKUP( APIF_Import!$C233, INDIRECT( "Lookup_" &amp; APIF_Import!$M233), VLOOKUP( APIF_Import!$M233 &amp; APIF_Import!$D$1,Podesavanja!$AA$3:$AD$24, 4, 0), 0)), ".", ","))</f>
        <v>0</v>
      </c>
      <c r="E233" s="364" t="str">
        <f ca="1">IF( ISNA( VLOOKUP( APIF_Import!$M233 &amp; APIF_Import!$E$1,Podesavanja!$AA$3:$AD$24, 4, 0)), "", SUBSTITUTE( VALUE( VLOOKUP( APIF_Import!$C233, INDIRECT( "Lookup_" &amp; APIF_Import!$M233), VLOOKUP( APIF_Import!$M233 &amp; APIF_Import!$E$1,Podesavanja!$AA$3:$AD$24, 4, 0), 0)), ".", ","))</f>
        <v>0</v>
      </c>
      <c r="F233" s="364" t="str">
        <f ca="1">IF( ISNA( VLOOKUP( APIF_Import!$M233 &amp; APIF_Import!$F$1,Podesavanja!$AA$3:$AD$24, 4, 0)), "", VLOOKUP( APIF_Import!$C233, INDIRECT( "Lookup_" &amp; APIF_Import!$M233), VLOOKUP( APIF_Import!$M233 &amp; APIF_Import!$F$1,Podesavanja!$AA$3:$AD$24, 4, 0), 0))</f>
        <v/>
      </c>
      <c r="G233" s="364" t="str">
        <f ca="1">IF( ISNA( VLOOKUP( APIF_Import!$M233 &amp; APIF_Import!$G$1,Podesavanja!$AA$3:$AD$24, 4, 0)), "", VLOOKUP( APIF_Import!$C233, INDIRECT( "Lookup_" &amp; APIF_Import!$M233), VLOOKUP( APIF_Import!$M233 &amp; APIF_Import!$G$1,Podesavanja!$AA$3:$AD$24, 4, 0), 0))</f>
        <v/>
      </c>
      <c r="H233" s="364" t="str">
        <f ca="1">IF( ISNA( VLOOKUP( APIF_Import!$M233 &amp; APIF_Import!$H$1,Podesavanja!$AA$3:$AD$24, 4, 0)), "", VLOOKUP( APIF_Import!$C233, INDIRECT( "Lookup_" &amp; APIF_Import!$M233), VLOOKUP( APIF_Import!$M233 &amp; APIF_Import!$H$1,Podesavanja!$AA$3:$AD$24, 4, 0), 0))</f>
        <v/>
      </c>
      <c r="I233" s="364" t="str">
        <f ca="1">IF( ISNA( VLOOKUP( APIF_Import!$M233 &amp; APIF_Import!$I$1,Podesavanja!$AA$3:$AD$24, 4, 0)), "", VLOOKUP( APIF_Import!$C233, INDIRECT( "Lookup_" &amp; APIF_Import!$M233), VLOOKUP( APIF_Import!$M233 &amp; APIF_Import!$I$1,Podesavanja!$AA$3:$AD$24, 4, 0), 0))</f>
        <v/>
      </c>
      <c r="J233" s="364" t="str">
        <f ca="1">IF( ISNA( VLOOKUP( APIF_Import!$M233 &amp; APIF_Import!$J$1,Podesavanja!$AA$3:$AD$24, 4, 0)), "", VLOOKUP( APIF_Import!$C233, INDIRECT( "Lookup_" &amp; APIF_Import!$M233), VLOOKUP( APIF_Import!$M233 &amp; APIF_Import!$J$1,Podesavanja!$AA$3:$AD$24, 4, 0), 0))</f>
        <v/>
      </c>
      <c r="K233" s="364" t="str">
        <f ca="1">IF( ISNA( VLOOKUP( APIF_Import!$M233 &amp; APIF_Import!$K$1,Podesavanja!$AA$3:$AD$24, 4, 0)), "", VLOOKUP( APIF_Import!$C233, INDIRECT( "Lookup_" &amp; APIF_Import!$M233), VLOOKUP( APIF_Import!$M233 &amp; APIF_Import!$K$1,Podesavanja!$AA$3:$AD$24, 4, 0), 0))</f>
        <v/>
      </c>
      <c r="L233" s="8">
        <v>241</v>
      </c>
      <c r="M233" s="8" t="s">
        <v>1497</v>
      </c>
    </row>
    <row r="234" spans="2:13" x14ac:dyDescent="0.2">
      <c r="B234" s="8">
        <f>VLOOKUP( APIF_Import!$M234, Podesavanja!$N$3:$Q$9, 4, 0)</f>
        <v>3</v>
      </c>
      <c r="C234" s="363">
        <f>VLOOKUP( APIF_Import!$L234, Aop!$A$2:$N$415, 4, 0)</f>
        <v>301</v>
      </c>
      <c r="D234" s="364" t="str">
        <f ca="1">IF( ISNA( VLOOKUP( APIF_Import!$M234 &amp; APIF_Import!$D$1,Podesavanja!$AA$3:$AD$24, 4, 0)), "", SUBSTITUTE( VALUE( VLOOKUP( APIF_Import!$C234, INDIRECT( "Lookup_" &amp; APIF_Import!$M234), VLOOKUP( APIF_Import!$M234 &amp; APIF_Import!$D$1,Podesavanja!$AA$3:$AD$24, 4, 0), 0)), ".", ","))</f>
        <v>18265724</v>
      </c>
      <c r="E234" s="364" t="str">
        <f ca="1">IF( ISNA( VLOOKUP( APIF_Import!$M234 &amp; APIF_Import!$E$1,Podesavanja!$AA$3:$AD$24, 4, 0)), "", SUBSTITUTE( VALUE( VLOOKUP( APIF_Import!$C234, INDIRECT( "Lookup_" &amp; APIF_Import!$M234), VLOOKUP( APIF_Import!$M234 &amp; APIF_Import!$E$1,Podesavanja!$AA$3:$AD$24, 4, 0), 0)), ".", ","))</f>
        <v>12980121</v>
      </c>
      <c r="F234" s="364" t="str">
        <f ca="1">IF( ISNA( VLOOKUP( APIF_Import!$M234 &amp; APIF_Import!$F$1,Podesavanja!$AA$3:$AD$24, 4, 0)), "", VLOOKUP( APIF_Import!$C234, INDIRECT( "Lookup_" &amp; APIF_Import!$M234), VLOOKUP( APIF_Import!$M234 &amp; APIF_Import!$F$1,Podesavanja!$AA$3:$AD$24, 4, 0), 0))</f>
        <v/>
      </c>
      <c r="G234" s="364" t="str">
        <f ca="1">IF( ISNA( VLOOKUP( APIF_Import!$M234 &amp; APIF_Import!$G$1,Podesavanja!$AA$3:$AD$24, 4, 0)), "", VLOOKUP( APIF_Import!$C234, INDIRECT( "Lookup_" &amp; APIF_Import!$M234), VLOOKUP( APIF_Import!$M234 &amp; APIF_Import!$G$1,Podesavanja!$AA$3:$AD$24, 4, 0), 0))</f>
        <v/>
      </c>
      <c r="H234" s="364" t="str">
        <f ca="1">IF( ISNA( VLOOKUP( APIF_Import!$M234 &amp; APIF_Import!$H$1,Podesavanja!$AA$3:$AD$24, 4, 0)), "", VLOOKUP( APIF_Import!$C234, INDIRECT( "Lookup_" &amp; APIF_Import!$M234), VLOOKUP( APIF_Import!$M234 &amp; APIF_Import!$H$1,Podesavanja!$AA$3:$AD$24, 4, 0), 0))</f>
        <v/>
      </c>
      <c r="I234" s="364" t="str">
        <f ca="1">IF( ISNA( VLOOKUP( APIF_Import!$M234 &amp; APIF_Import!$I$1,Podesavanja!$AA$3:$AD$24, 4, 0)), "", VLOOKUP( APIF_Import!$C234, INDIRECT( "Lookup_" &amp; APIF_Import!$M234), VLOOKUP( APIF_Import!$M234 &amp; APIF_Import!$I$1,Podesavanja!$AA$3:$AD$24, 4, 0), 0))</f>
        <v/>
      </c>
      <c r="J234" s="364" t="str">
        <f ca="1">IF( ISNA( VLOOKUP( APIF_Import!$M234 &amp; APIF_Import!$J$1,Podesavanja!$AA$3:$AD$24, 4, 0)), "", VLOOKUP( APIF_Import!$C234, INDIRECT( "Lookup_" &amp; APIF_Import!$M234), VLOOKUP( APIF_Import!$M234 &amp; APIF_Import!$J$1,Podesavanja!$AA$3:$AD$24, 4, 0), 0))</f>
        <v/>
      </c>
      <c r="K234" s="364" t="str">
        <f ca="1">IF( ISNA( VLOOKUP( APIF_Import!$M234 &amp; APIF_Import!$K$1,Podesavanja!$AA$3:$AD$24, 4, 0)), "", VLOOKUP( APIF_Import!$C234, INDIRECT( "Lookup_" &amp; APIF_Import!$M234), VLOOKUP( APIF_Import!$M234 &amp; APIF_Import!$K$1,Podesavanja!$AA$3:$AD$24, 4, 0), 0))</f>
        <v/>
      </c>
      <c r="L234" s="8">
        <v>242</v>
      </c>
      <c r="M234" s="8" t="s">
        <v>1497</v>
      </c>
    </row>
    <row r="235" spans="2:13" x14ac:dyDescent="0.2">
      <c r="B235" s="8">
        <f>VLOOKUP( APIF_Import!$M235, Podesavanja!$N$3:$Q$9, 4, 0)</f>
        <v>3</v>
      </c>
      <c r="C235" s="363">
        <f>VLOOKUP( APIF_Import!$L235, Aop!$A$2:$N$415, 4, 0)</f>
        <v>302</v>
      </c>
      <c r="D235" s="364" t="str">
        <f ca="1">IF( ISNA( VLOOKUP( APIF_Import!$M235 &amp; APIF_Import!$D$1,Podesavanja!$AA$3:$AD$24, 4, 0)), "", SUBSTITUTE( VALUE( VLOOKUP( APIF_Import!$C235, INDIRECT( "Lookup_" &amp; APIF_Import!$M235), VLOOKUP( APIF_Import!$M235 &amp; APIF_Import!$D$1,Podesavanja!$AA$3:$AD$24, 4, 0), 0)), ".", ","))</f>
        <v>17730356</v>
      </c>
      <c r="E235" s="364" t="str">
        <f ca="1">IF( ISNA( VLOOKUP( APIF_Import!$M235 &amp; APIF_Import!$E$1,Podesavanja!$AA$3:$AD$24, 4, 0)), "", SUBSTITUTE( VALUE( VLOOKUP( APIF_Import!$C235, INDIRECT( "Lookup_" &amp; APIF_Import!$M235), VLOOKUP( APIF_Import!$M235 &amp; APIF_Import!$E$1,Podesavanja!$AA$3:$AD$24, 4, 0), 0)), ".", ","))</f>
        <v>12967369</v>
      </c>
      <c r="F235" s="364" t="str">
        <f ca="1">IF( ISNA( VLOOKUP( APIF_Import!$M235 &amp; APIF_Import!$F$1,Podesavanja!$AA$3:$AD$24, 4, 0)), "", VLOOKUP( APIF_Import!$C235, INDIRECT( "Lookup_" &amp; APIF_Import!$M235), VLOOKUP( APIF_Import!$M235 &amp; APIF_Import!$F$1,Podesavanja!$AA$3:$AD$24, 4, 0), 0))</f>
        <v/>
      </c>
      <c r="G235" s="364" t="str">
        <f ca="1">IF( ISNA( VLOOKUP( APIF_Import!$M235 &amp; APIF_Import!$G$1,Podesavanja!$AA$3:$AD$24, 4, 0)), "", VLOOKUP( APIF_Import!$C235, INDIRECT( "Lookup_" &amp; APIF_Import!$M235), VLOOKUP( APIF_Import!$M235 &amp; APIF_Import!$G$1,Podesavanja!$AA$3:$AD$24, 4, 0), 0))</f>
        <v/>
      </c>
      <c r="H235" s="364" t="str">
        <f ca="1">IF( ISNA( VLOOKUP( APIF_Import!$M235 &amp; APIF_Import!$H$1,Podesavanja!$AA$3:$AD$24, 4, 0)), "", VLOOKUP( APIF_Import!$C235, INDIRECT( "Lookup_" &amp; APIF_Import!$M235), VLOOKUP( APIF_Import!$M235 &amp; APIF_Import!$H$1,Podesavanja!$AA$3:$AD$24, 4, 0), 0))</f>
        <v/>
      </c>
      <c r="I235" s="364" t="str">
        <f ca="1">IF( ISNA( VLOOKUP( APIF_Import!$M235 &amp; APIF_Import!$I$1,Podesavanja!$AA$3:$AD$24, 4, 0)), "", VLOOKUP( APIF_Import!$C235, INDIRECT( "Lookup_" &amp; APIF_Import!$M235), VLOOKUP( APIF_Import!$M235 &amp; APIF_Import!$I$1,Podesavanja!$AA$3:$AD$24, 4, 0), 0))</f>
        <v/>
      </c>
      <c r="J235" s="364" t="str">
        <f ca="1">IF( ISNA( VLOOKUP( APIF_Import!$M235 &amp; APIF_Import!$J$1,Podesavanja!$AA$3:$AD$24, 4, 0)), "", VLOOKUP( APIF_Import!$C235, INDIRECT( "Lookup_" &amp; APIF_Import!$M235), VLOOKUP( APIF_Import!$M235 &amp; APIF_Import!$J$1,Podesavanja!$AA$3:$AD$24, 4, 0), 0))</f>
        <v/>
      </c>
      <c r="K235" s="364" t="str">
        <f ca="1">IF( ISNA( VLOOKUP( APIF_Import!$M235 &amp; APIF_Import!$K$1,Podesavanja!$AA$3:$AD$24, 4, 0)), "", VLOOKUP( APIF_Import!$C235, INDIRECT( "Lookup_" &amp; APIF_Import!$M235), VLOOKUP( APIF_Import!$M235 &amp; APIF_Import!$K$1,Podesavanja!$AA$3:$AD$24, 4, 0), 0))</f>
        <v/>
      </c>
      <c r="L235" s="8">
        <v>243</v>
      </c>
      <c r="M235" s="8" t="s">
        <v>1497</v>
      </c>
    </row>
    <row r="236" spans="2:13" x14ac:dyDescent="0.2">
      <c r="B236" s="8">
        <f>VLOOKUP( APIF_Import!$M236, Podesavanja!$N$3:$Q$9, 4, 0)</f>
        <v>3</v>
      </c>
      <c r="C236" s="363">
        <f>VLOOKUP( APIF_Import!$L236, Aop!$A$2:$N$415, 4, 0)</f>
        <v>303</v>
      </c>
      <c r="D236" s="364" t="str">
        <f ca="1">IF( ISNA( VLOOKUP( APIF_Import!$M236 &amp; APIF_Import!$D$1,Podesavanja!$AA$3:$AD$24, 4, 0)), "", SUBSTITUTE( VALUE( VLOOKUP( APIF_Import!$C236, INDIRECT( "Lookup_" &amp; APIF_Import!$M236), VLOOKUP( APIF_Import!$M236 &amp; APIF_Import!$D$1,Podesavanja!$AA$3:$AD$24, 4, 0), 0)), ".", ","))</f>
        <v>0</v>
      </c>
      <c r="E236" s="364" t="str">
        <f ca="1">IF( ISNA( VLOOKUP( APIF_Import!$M236 &amp; APIF_Import!$E$1,Podesavanja!$AA$3:$AD$24, 4, 0)), "", SUBSTITUTE( VALUE( VLOOKUP( APIF_Import!$C236, INDIRECT( "Lookup_" &amp; APIF_Import!$M236), VLOOKUP( APIF_Import!$M236 &amp; APIF_Import!$E$1,Podesavanja!$AA$3:$AD$24, 4, 0), 0)), ".", ","))</f>
        <v>0</v>
      </c>
      <c r="F236" s="364" t="str">
        <f ca="1">IF( ISNA( VLOOKUP( APIF_Import!$M236 &amp; APIF_Import!$F$1,Podesavanja!$AA$3:$AD$24, 4, 0)), "", VLOOKUP( APIF_Import!$C236, INDIRECT( "Lookup_" &amp; APIF_Import!$M236), VLOOKUP( APIF_Import!$M236 &amp; APIF_Import!$F$1,Podesavanja!$AA$3:$AD$24, 4, 0), 0))</f>
        <v/>
      </c>
      <c r="G236" s="364" t="str">
        <f ca="1">IF( ISNA( VLOOKUP( APIF_Import!$M236 &amp; APIF_Import!$G$1,Podesavanja!$AA$3:$AD$24, 4, 0)), "", VLOOKUP( APIF_Import!$C236, INDIRECT( "Lookup_" &amp; APIF_Import!$M236), VLOOKUP( APIF_Import!$M236 &amp; APIF_Import!$G$1,Podesavanja!$AA$3:$AD$24, 4, 0), 0))</f>
        <v/>
      </c>
      <c r="H236" s="364" t="str">
        <f ca="1">IF( ISNA( VLOOKUP( APIF_Import!$M236 &amp; APIF_Import!$H$1,Podesavanja!$AA$3:$AD$24, 4, 0)), "", VLOOKUP( APIF_Import!$C236, INDIRECT( "Lookup_" &amp; APIF_Import!$M236), VLOOKUP( APIF_Import!$M236 &amp; APIF_Import!$H$1,Podesavanja!$AA$3:$AD$24, 4, 0), 0))</f>
        <v/>
      </c>
      <c r="I236" s="364" t="str">
        <f ca="1">IF( ISNA( VLOOKUP( APIF_Import!$M236 &amp; APIF_Import!$I$1,Podesavanja!$AA$3:$AD$24, 4, 0)), "", VLOOKUP( APIF_Import!$C236, INDIRECT( "Lookup_" &amp; APIF_Import!$M236), VLOOKUP( APIF_Import!$M236 &amp; APIF_Import!$I$1,Podesavanja!$AA$3:$AD$24, 4, 0), 0))</f>
        <v/>
      </c>
      <c r="J236" s="364" t="str">
        <f ca="1">IF( ISNA( VLOOKUP( APIF_Import!$M236 &amp; APIF_Import!$J$1,Podesavanja!$AA$3:$AD$24, 4, 0)), "", VLOOKUP( APIF_Import!$C236, INDIRECT( "Lookup_" &amp; APIF_Import!$M236), VLOOKUP( APIF_Import!$M236 &amp; APIF_Import!$J$1,Podesavanja!$AA$3:$AD$24, 4, 0), 0))</f>
        <v/>
      </c>
      <c r="K236" s="364" t="str">
        <f ca="1">IF( ISNA( VLOOKUP( APIF_Import!$M236 &amp; APIF_Import!$K$1,Podesavanja!$AA$3:$AD$24, 4, 0)), "", VLOOKUP( APIF_Import!$C236, INDIRECT( "Lookup_" &amp; APIF_Import!$M236), VLOOKUP( APIF_Import!$M236 &amp; APIF_Import!$K$1,Podesavanja!$AA$3:$AD$24, 4, 0), 0))</f>
        <v/>
      </c>
      <c r="L236" s="8">
        <v>244</v>
      </c>
      <c r="M236" s="8" t="s">
        <v>1497</v>
      </c>
    </row>
    <row r="237" spans="2:13" x14ac:dyDescent="0.2">
      <c r="B237" s="8">
        <f>VLOOKUP( APIF_Import!$M237, Podesavanja!$N$3:$Q$9, 4, 0)</f>
        <v>3</v>
      </c>
      <c r="C237" s="363">
        <f>VLOOKUP( APIF_Import!$L237, Aop!$A$2:$N$415, 4, 0)</f>
        <v>304</v>
      </c>
      <c r="D237" s="364" t="str">
        <f ca="1">IF( ISNA( VLOOKUP( APIF_Import!$M237 &amp; APIF_Import!$D$1,Podesavanja!$AA$3:$AD$24, 4, 0)), "", SUBSTITUTE( VALUE( VLOOKUP( APIF_Import!$C237, INDIRECT( "Lookup_" &amp; APIF_Import!$M237), VLOOKUP( APIF_Import!$M237 &amp; APIF_Import!$D$1,Podesavanja!$AA$3:$AD$24, 4, 0), 0)), ".", ","))</f>
        <v>0</v>
      </c>
      <c r="E237" s="364" t="str">
        <f ca="1">IF( ISNA( VLOOKUP( APIF_Import!$M237 &amp; APIF_Import!$E$1,Podesavanja!$AA$3:$AD$24, 4, 0)), "", SUBSTITUTE( VALUE( VLOOKUP( APIF_Import!$C237, INDIRECT( "Lookup_" &amp; APIF_Import!$M237), VLOOKUP( APIF_Import!$M237 &amp; APIF_Import!$E$1,Podesavanja!$AA$3:$AD$24, 4, 0), 0)), ".", ","))</f>
        <v>0</v>
      </c>
      <c r="F237" s="364" t="str">
        <f ca="1">IF( ISNA( VLOOKUP( APIF_Import!$M237 &amp; APIF_Import!$F$1,Podesavanja!$AA$3:$AD$24, 4, 0)), "", VLOOKUP( APIF_Import!$C237, INDIRECT( "Lookup_" &amp; APIF_Import!$M237), VLOOKUP( APIF_Import!$M237 &amp; APIF_Import!$F$1,Podesavanja!$AA$3:$AD$24, 4, 0), 0))</f>
        <v/>
      </c>
      <c r="G237" s="364" t="str">
        <f ca="1">IF( ISNA( VLOOKUP( APIF_Import!$M237 &amp; APIF_Import!$G$1,Podesavanja!$AA$3:$AD$24, 4, 0)), "", VLOOKUP( APIF_Import!$C237, INDIRECT( "Lookup_" &amp; APIF_Import!$M237), VLOOKUP( APIF_Import!$M237 &amp; APIF_Import!$G$1,Podesavanja!$AA$3:$AD$24, 4, 0), 0))</f>
        <v/>
      </c>
      <c r="H237" s="364" t="str">
        <f ca="1">IF( ISNA( VLOOKUP( APIF_Import!$M237 &amp; APIF_Import!$H$1,Podesavanja!$AA$3:$AD$24, 4, 0)), "", VLOOKUP( APIF_Import!$C237, INDIRECT( "Lookup_" &amp; APIF_Import!$M237), VLOOKUP( APIF_Import!$M237 &amp; APIF_Import!$H$1,Podesavanja!$AA$3:$AD$24, 4, 0), 0))</f>
        <v/>
      </c>
      <c r="I237" s="364" t="str">
        <f ca="1">IF( ISNA( VLOOKUP( APIF_Import!$M237 &amp; APIF_Import!$I$1,Podesavanja!$AA$3:$AD$24, 4, 0)), "", VLOOKUP( APIF_Import!$C237, INDIRECT( "Lookup_" &amp; APIF_Import!$M237), VLOOKUP( APIF_Import!$M237 &amp; APIF_Import!$I$1,Podesavanja!$AA$3:$AD$24, 4, 0), 0))</f>
        <v/>
      </c>
      <c r="J237" s="364" t="str">
        <f ca="1">IF( ISNA( VLOOKUP( APIF_Import!$M237 &amp; APIF_Import!$J$1,Podesavanja!$AA$3:$AD$24, 4, 0)), "", VLOOKUP( APIF_Import!$C237, INDIRECT( "Lookup_" &amp; APIF_Import!$M237), VLOOKUP( APIF_Import!$M237 &amp; APIF_Import!$J$1,Podesavanja!$AA$3:$AD$24, 4, 0), 0))</f>
        <v/>
      </c>
      <c r="K237" s="364" t="str">
        <f ca="1">IF( ISNA( VLOOKUP( APIF_Import!$M237 &amp; APIF_Import!$K$1,Podesavanja!$AA$3:$AD$24, 4, 0)), "", VLOOKUP( APIF_Import!$C237, INDIRECT( "Lookup_" &amp; APIF_Import!$M237), VLOOKUP( APIF_Import!$M237 &amp; APIF_Import!$K$1,Podesavanja!$AA$3:$AD$24, 4, 0), 0))</f>
        <v/>
      </c>
      <c r="L237" s="8">
        <v>245</v>
      </c>
      <c r="M237" s="8" t="s">
        <v>1497</v>
      </c>
    </row>
    <row r="238" spans="2:13" x14ac:dyDescent="0.2">
      <c r="B238" s="8">
        <f>VLOOKUP( APIF_Import!$M238, Podesavanja!$N$3:$Q$9, 4, 0)</f>
        <v>3</v>
      </c>
      <c r="C238" s="363">
        <f>VLOOKUP( APIF_Import!$L238, Aop!$A$2:$N$415, 4, 0)</f>
        <v>305</v>
      </c>
      <c r="D238" s="364" t="str">
        <f ca="1">IF( ISNA( VLOOKUP( APIF_Import!$M238 &amp; APIF_Import!$D$1,Podesavanja!$AA$3:$AD$24, 4, 0)), "", SUBSTITUTE( VALUE( VLOOKUP( APIF_Import!$C238, INDIRECT( "Lookup_" &amp; APIF_Import!$M238), VLOOKUP( APIF_Import!$M238 &amp; APIF_Import!$D$1,Podesavanja!$AA$3:$AD$24, 4, 0), 0)), ".", ","))</f>
        <v>0</v>
      </c>
      <c r="E238" s="364" t="str">
        <f ca="1">IF( ISNA( VLOOKUP( APIF_Import!$M238 &amp; APIF_Import!$E$1,Podesavanja!$AA$3:$AD$24, 4, 0)), "", SUBSTITUTE( VALUE( VLOOKUP( APIF_Import!$C238, INDIRECT( "Lookup_" &amp; APIF_Import!$M238), VLOOKUP( APIF_Import!$M238 &amp; APIF_Import!$E$1,Podesavanja!$AA$3:$AD$24, 4, 0), 0)), ".", ","))</f>
        <v>0</v>
      </c>
      <c r="F238" s="364" t="str">
        <f ca="1">IF( ISNA( VLOOKUP( APIF_Import!$M238 &amp; APIF_Import!$F$1,Podesavanja!$AA$3:$AD$24, 4, 0)), "", VLOOKUP( APIF_Import!$C238, INDIRECT( "Lookup_" &amp; APIF_Import!$M238), VLOOKUP( APIF_Import!$M238 &amp; APIF_Import!$F$1,Podesavanja!$AA$3:$AD$24, 4, 0), 0))</f>
        <v/>
      </c>
      <c r="G238" s="364" t="str">
        <f ca="1">IF( ISNA( VLOOKUP( APIF_Import!$M238 &amp; APIF_Import!$G$1,Podesavanja!$AA$3:$AD$24, 4, 0)), "", VLOOKUP( APIF_Import!$C238, INDIRECT( "Lookup_" &amp; APIF_Import!$M238), VLOOKUP( APIF_Import!$M238 &amp; APIF_Import!$G$1,Podesavanja!$AA$3:$AD$24, 4, 0), 0))</f>
        <v/>
      </c>
      <c r="H238" s="364" t="str">
        <f ca="1">IF( ISNA( VLOOKUP( APIF_Import!$M238 &amp; APIF_Import!$H$1,Podesavanja!$AA$3:$AD$24, 4, 0)), "", VLOOKUP( APIF_Import!$C238, INDIRECT( "Lookup_" &amp; APIF_Import!$M238), VLOOKUP( APIF_Import!$M238 &amp; APIF_Import!$H$1,Podesavanja!$AA$3:$AD$24, 4, 0), 0))</f>
        <v/>
      </c>
      <c r="I238" s="364" t="str">
        <f ca="1">IF( ISNA( VLOOKUP( APIF_Import!$M238 &amp; APIF_Import!$I$1,Podesavanja!$AA$3:$AD$24, 4, 0)), "", VLOOKUP( APIF_Import!$C238, INDIRECT( "Lookup_" &amp; APIF_Import!$M238), VLOOKUP( APIF_Import!$M238 &amp; APIF_Import!$I$1,Podesavanja!$AA$3:$AD$24, 4, 0), 0))</f>
        <v/>
      </c>
      <c r="J238" s="364" t="str">
        <f ca="1">IF( ISNA( VLOOKUP( APIF_Import!$M238 &amp; APIF_Import!$J$1,Podesavanja!$AA$3:$AD$24, 4, 0)), "", VLOOKUP( APIF_Import!$C238, INDIRECT( "Lookup_" &amp; APIF_Import!$M238), VLOOKUP( APIF_Import!$M238 &amp; APIF_Import!$J$1,Podesavanja!$AA$3:$AD$24, 4, 0), 0))</f>
        <v/>
      </c>
      <c r="K238" s="364" t="str">
        <f ca="1">IF( ISNA( VLOOKUP( APIF_Import!$M238 &amp; APIF_Import!$K$1,Podesavanja!$AA$3:$AD$24, 4, 0)), "", VLOOKUP( APIF_Import!$C238, INDIRECT( "Lookup_" &amp; APIF_Import!$M238), VLOOKUP( APIF_Import!$M238 &amp; APIF_Import!$K$1,Podesavanja!$AA$3:$AD$24, 4, 0), 0))</f>
        <v/>
      </c>
      <c r="L238" s="8">
        <v>246</v>
      </c>
      <c r="M238" s="8" t="s">
        <v>1497</v>
      </c>
    </row>
    <row r="239" spans="2:13" x14ac:dyDescent="0.2">
      <c r="B239" s="8">
        <f>VLOOKUP( APIF_Import!$M239, Podesavanja!$N$3:$Q$9, 4, 0)</f>
        <v>3</v>
      </c>
      <c r="C239" s="363">
        <f>VLOOKUP( APIF_Import!$L239, Aop!$A$2:$N$415, 4, 0)</f>
        <v>306</v>
      </c>
      <c r="D239" s="364" t="str">
        <f ca="1">IF( ISNA( VLOOKUP( APIF_Import!$M239 &amp; APIF_Import!$D$1,Podesavanja!$AA$3:$AD$24, 4, 0)), "", SUBSTITUTE( VALUE( VLOOKUP( APIF_Import!$C239, INDIRECT( "Lookup_" &amp; APIF_Import!$M239), VLOOKUP( APIF_Import!$M239 &amp; APIF_Import!$D$1,Podesavanja!$AA$3:$AD$24, 4, 0), 0)), ".", ","))</f>
        <v>0</v>
      </c>
      <c r="E239" s="364" t="str">
        <f ca="1">IF( ISNA( VLOOKUP( APIF_Import!$M239 &amp; APIF_Import!$E$1,Podesavanja!$AA$3:$AD$24, 4, 0)), "", SUBSTITUTE( VALUE( VLOOKUP( APIF_Import!$C239, INDIRECT( "Lookup_" &amp; APIF_Import!$M239), VLOOKUP( APIF_Import!$M239 &amp; APIF_Import!$E$1,Podesavanja!$AA$3:$AD$24, 4, 0), 0)), ".", ","))</f>
        <v>0</v>
      </c>
      <c r="F239" s="364" t="str">
        <f ca="1">IF( ISNA( VLOOKUP( APIF_Import!$M239 &amp; APIF_Import!$F$1,Podesavanja!$AA$3:$AD$24, 4, 0)), "", VLOOKUP( APIF_Import!$C239, INDIRECT( "Lookup_" &amp; APIF_Import!$M239), VLOOKUP( APIF_Import!$M239 &amp; APIF_Import!$F$1,Podesavanja!$AA$3:$AD$24, 4, 0), 0))</f>
        <v/>
      </c>
      <c r="G239" s="364" t="str">
        <f ca="1">IF( ISNA( VLOOKUP( APIF_Import!$M239 &amp; APIF_Import!$G$1,Podesavanja!$AA$3:$AD$24, 4, 0)), "", VLOOKUP( APIF_Import!$C239, INDIRECT( "Lookup_" &amp; APIF_Import!$M239), VLOOKUP( APIF_Import!$M239 &amp; APIF_Import!$G$1,Podesavanja!$AA$3:$AD$24, 4, 0), 0))</f>
        <v/>
      </c>
      <c r="H239" s="364" t="str">
        <f ca="1">IF( ISNA( VLOOKUP( APIF_Import!$M239 &amp; APIF_Import!$H$1,Podesavanja!$AA$3:$AD$24, 4, 0)), "", VLOOKUP( APIF_Import!$C239, INDIRECT( "Lookup_" &amp; APIF_Import!$M239), VLOOKUP( APIF_Import!$M239 &amp; APIF_Import!$H$1,Podesavanja!$AA$3:$AD$24, 4, 0), 0))</f>
        <v/>
      </c>
      <c r="I239" s="364" t="str">
        <f ca="1">IF( ISNA( VLOOKUP( APIF_Import!$M239 &amp; APIF_Import!$I$1,Podesavanja!$AA$3:$AD$24, 4, 0)), "", VLOOKUP( APIF_Import!$C239, INDIRECT( "Lookup_" &amp; APIF_Import!$M239), VLOOKUP( APIF_Import!$M239 &amp; APIF_Import!$I$1,Podesavanja!$AA$3:$AD$24, 4, 0), 0))</f>
        <v/>
      </c>
      <c r="J239" s="364" t="str">
        <f ca="1">IF( ISNA( VLOOKUP( APIF_Import!$M239 &amp; APIF_Import!$J$1,Podesavanja!$AA$3:$AD$24, 4, 0)), "", VLOOKUP( APIF_Import!$C239, INDIRECT( "Lookup_" &amp; APIF_Import!$M239), VLOOKUP( APIF_Import!$M239 &amp; APIF_Import!$J$1,Podesavanja!$AA$3:$AD$24, 4, 0), 0))</f>
        <v/>
      </c>
      <c r="K239" s="364" t="str">
        <f ca="1">IF( ISNA( VLOOKUP( APIF_Import!$M239 &amp; APIF_Import!$K$1,Podesavanja!$AA$3:$AD$24, 4, 0)), "", VLOOKUP( APIF_Import!$C239, INDIRECT( "Lookup_" &amp; APIF_Import!$M239), VLOOKUP( APIF_Import!$M239 &amp; APIF_Import!$K$1,Podesavanja!$AA$3:$AD$24, 4, 0), 0))</f>
        <v/>
      </c>
      <c r="L239" s="8">
        <v>247</v>
      </c>
      <c r="M239" s="8" t="s">
        <v>1497</v>
      </c>
    </row>
    <row r="240" spans="2:13" x14ac:dyDescent="0.2">
      <c r="B240" s="8">
        <f>VLOOKUP( APIF_Import!$M240, Podesavanja!$N$3:$Q$9, 4, 0)</f>
        <v>3</v>
      </c>
      <c r="C240" s="363">
        <f>VLOOKUP( APIF_Import!$L240, Aop!$A$2:$N$415, 4, 0)</f>
        <v>307</v>
      </c>
      <c r="D240" s="364" t="str">
        <f ca="1">IF( ISNA( VLOOKUP( APIF_Import!$M240 &amp; APIF_Import!$D$1,Podesavanja!$AA$3:$AD$24, 4, 0)), "", SUBSTITUTE( VALUE( VLOOKUP( APIF_Import!$C240, INDIRECT( "Lookup_" &amp; APIF_Import!$M240), VLOOKUP( APIF_Import!$M240 &amp; APIF_Import!$D$1,Podesavanja!$AA$3:$AD$24, 4, 0), 0)), ".", ","))</f>
        <v>0</v>
      </c>
      <c r="E240" s="364" t="str">
        <f ca="1">IF( ISNA( VLOOKUP( APIF_Import!$M240 &amp; APIF_Import!$E$1,Podesavanja!$AA$3:$AD$24, 4, 0)), "", SUBSTITUTE( VALUE( VLOOKUP( APIF_Import!$C240, INDIRECT( "Lookup_" &amp; APIF_Import!$M240), VLOOKUP( APIF_Import!$M240 &amp; APIF_Import!$E$1,Podesavanja!$AA$3:$AD$24, 4, 0), 0)), ".", ","))</f>
        <v>0</v>
      </c>
      <c r="F240" s="364" t="str">
        <f ca="1">IF( ISNA( VLOOKUP( APIF_Import!$M240 &amp; APIF_Import!$F$1,Podesavanja!$AA$3:$AD$24, 4, 0)), "", VLOOKUP( APIF_Import!$C240, INDIRECT( "Lookup_" &amp; APIF_Import!$M240), VLOOKUP( APIF_Import!$M240 &amp; APIF_Import!$F$1,Podesavanja!$AA$3:$AD$24, 4, 0), 0))</f>
        <v/>
      </c>
      <c r="G240" s="364" t="str">
        <f ca="1">IF( ISNA( VLOOKUP( APIF_Import!$M240 &amp; APIF_Import!$G$1,Podesavanja!$AA$3:$AD$24, 4, 0)), "", VLOOKUP( APIF_Import!$C240, INDIRECT( "Lookup_" &amp; APIF_Import!$M240), VLOOKUP( APIF_Import!$M240 &amp; APIF_Import!$G$1,Podesavanja!$AA$3:$AD$24, 4, 0), 0))</f>
        <v/>
      </c>
      <c r="H240" s="364" t="str">
        <f ca="1">IF( ISNA( VLOOKUP( APIF_Import!$M240 &amp; APIF_Import!$H$1,Podesavanja!$AA$3:$AD$24, 4, 0)), "", VLOOKUP( APIF_Import!$C240, INDIRECT( "Lookup_" &amp; APIF_Import!$M240), VLOOKUP( APIF_Import!$M240 &amp; APIF_Import!$H$1,Podesavanja!$AA$3:$AD$24, 4, 0), 0))</f>
        <v/>
      </c>
      <c r="I240" s="364" t="str">
        <f ca="1">IF( ISNA( VLOOKUP( APIF_Import!$M240 &amp; APIF_Import!$I$1,Podesavanja!$AA$3:$AD$24, 4, 0)), "", VLOOKUP( APIF_Import!$C240, INDIRECT( "Lookup_" &amp; APIF_Import!$M240), VLOOKUP( APIF_Import!$M240 &amp; APIF_Import!$I$1,Podesavanja!$AA$3:$AD$24, 4, 0), 0))</f>
        <v/>
      </c>
      <c r="J240" s="364" t="str">
        <f ca="1">IF( ISNA( VLOOKUP( APIF_Import!$M240 &amp; APIF_Import!$J$1,Podesavanja!$AA$3:$AD$24, 4, 0)), "", VLOOKUP( APIF_Import!$C240, INDIRECT( "Lookup_" &amp; APIF_Import!$M240), VLOOKUP( APIF_Import!$M240 &amp; APIF_Import!$J$1,Podesavanja!$AA$3:$AD$24, 4, 0), 0))</f>
        <v/>
      </c>
      <c r="K240" s="364" t="str">
        <f ca="1">IF( ISNA( VLOOKUP( APIF_Import!$M240 &amp; APIF_Import!$K$1,Podesavanja!$AA$3:$AD$24, 4, 0)), "", VLOOKUP( APIF_Import!$C240, INDIRECT( "Lookup_" &amp; APIF_Import!$M240), VLOOKUP( APIF_Import!$M240 &amp; APIF_Import!$K$1,Podesavanja!$AA$3:$AD$24, 4, 0), 0))</f>
        <v/>
      </c>
      <c r="L240" s="8">
        <v>248</v>
      </c>
      <c r="M240" s="8" t="s">
        <v>1497</v>
      </c>
    </row>
    <row r="241" spans="2:13" x14ac:dyDescent="0.2">
      <c r="B241" s="8">
        <f>VLOOKUP( APIF_Import!$M241, Podesavanja!$N$3:$Q$9, 4, 0)</f>
        <v>3</v>
      </c>
      <c r="C241" s="363">
        <f>VLOOKUP( APIF_Import!$L241, Aop!$A$2:$N$415, 4, 0)</f>
        <v>308</v>
      </c>
      <c r="D241" s="364" t="str">
        <f ca="1">IF( ISNA( VLOOKUP( APIF_Import!$M241 &amp; APIF_Import!$D$1,Podesavanja!$AA$3:$AD$24, 4, 0)), "", SUBSTITUTE( VALUE( VLOOKUP( APIF_Import!$C241, INDIRECT( "Lookup_" &amp; APIF_Import!$M241), VLOOKUP( APIF_Import!$M241 &amp; APIF_Import!$D$1,Podesavanja!$AA$3:$AD$24, 4, 0), 0)), ".", ","))</f>
        <v>77</v>
      </c>
      <c r="E241" s="364" t="str">
        <f ca="1">IF( ISNA( VLOOKUP( APIF_Import!$M241 &amp; APIF_Import!$E$1,Podesavanja!$AA$3:$AD$24, 4, 0)), "", SUBSTITUTE( VALUE( VLOOKUP( APIF_Import!$C241, INDIRECT( "Lookup_" &amp; APIF_Import!$M241), VLOOKUP( APIF_Import!$M241 &amp; APIF_Import!$E$1,Podesavanja!$AA$3:$AD$24, 4, 0), 0)), ".", ","))</f>
        <v>75</v>
      </c>
      <c r="F241" s="364" t="str">
        <f ca="1">IF( ISNA( VLOOKUP( APIF_Import!$M241 &amp; APIF_Import!$F$1,Podesavanja!$AA$3:$AD$24, 4, 0)), "", VLOOKUP( APIF_Import!$C241, INDIRECT( "Lookup_" &amp; APIF_Import!$M241), VLOOKUP( APIF_Import!$M241 &amp; APIF_Import!$F$1,Podesavanja!$AA$3:$AD$24, 4, 0), 0))</f>
        <v/>
      </c>
      <c r="G241" s="364" t="str">
        <f ca="1">IF( ISNA( VLOOKUP( APIF_Import!$M241 &amp; APIF_Import!$G$1,Podesavanja!$AA$3:$AD$24, 4, 0)), "", VLOOKUP( APIF_Import!$C241, INDIRECT( "Lookup_" &amp; APIF_Import!$M241), VLOOKUP( APIF_Import!$M241 &amp; APIF_Import!$G$1,Podesavanja!$AA$3:$AD$24, 4, 0), 0))</f>
        <v/>
      </c>
      <c r="H241" s="364" t="str">
        <f ca="1">IF( ISNA( VLOOKUP( APIF_Import!$M241 &amp; APIF_Import!$H$1,Podesavanja!$AA$3:$AD$24, 4, 0)), "", VLOOKUP( APIF_Import!$C241, INDIRECT( "Lookup_" &amp; APIF_Import!$M241), VLOOKUP( APIF_Import!$M241 &amp; APIF_Import!$H$1,Podesavanja!$AA$3:$AD$24, 4, 0), 0))</f>
        <v/>
      </c>
      <c r="I241" s="364" t="str">
        <f ca="1">IF( ISNA( VLOOKUP( APIF_Import!$M241 &amp; APIF_Import!$I$1,Podesavanja!$AA$3:$AD$24, 4, 0)), "", VLOOKUP( APIF_Import!$C241, INDIRECT( "Lookup_" &amp; APIF_Import!$M241), VLOOKUP( APIF_Import!$M241 &amp; APIF_Import!$I$1,Podesavanja!$AA$3:$AD$24, 4, 0), 0))</f>
        <v/>
      </c>
      <c r="J241" s="364" t="str">
        <f ca="1">IF( ISNA( VLOOKUP( APIF_Import!$M241 &amp; APIF_Import!$J$1,Podesavanja!$AA$3:$AD$24, 4, 0)), "", VLOOKUP( APIF_Import!$C241, INDIRECT( "Lookup_" &amp; APIF_Import!$M241), VLOOKUP( APIF_Import!$M241 &amp; APIF_Import!$J$1,Podesavanja!$AA$3:$AD$24, 4, 0), 0))</f>
        <v/>
      </c>
      <c r="K241" s="364" t="str">
        <f ca="1">IF( ISNA( VLOOKUP( APIF_Import!$M241 &amp; APIF_Import!$K$1,Podesavanja!$AA$3:$AD$24, 4, 0)), "", VLOOKUP( APIF_Import!$C241, INDIRECT( "Lookup_" &amp; APIF_Import!$M241), VLOOKUP( APIF_Import!$M241 &amp; APIF_Import!$K$1,Podesavanja!$AA$3:$AD$24, 4, 0), 0))</f>
        <v/>
      </c>
      <c r="L241" s="8">
        <v>249</v>
      </c>
      <c r="M241" s="8" t="s">
        <v>1497</v>
      </c>
    </row>
    <row r="242" spans="2:13" x14ac:dyDescent="0.2">
      <c r="B242" s="8">
        <f>VLOOKUP( APIF_Import!$M242, Podesavanja!$N$3:$Q$9, 4, 0)</f>
        <v>3</v>
      </c>
      <c r="C242" s="363">
        <f>VLOOKUP( APIF_Import!$L242, Aop!$A$2:$N$415, 4, 0)</f>
        <v>309</v>
      </c>
      <c r="D242" s="364" t="str">
        <f ca="1">IF( ISNA( VLOOKUP( APIF_Import!$M242 &amp; APIF_Import!$D$1,Podesavanja!$AA$3:$AD$24, 4, 0)), "", SUBSTITUTE( VALUE( VLOOKUP( APIF_Import!$C242, INDIRECT( "Lookup_" &amp; APIF_Import!$M242), VLOOKUP( APIF_Import!$M242 &amp; APIF_Import!$D$1,Podesavanja!$AA$3:$AD$24, 4, 0), 0)), ".", ","))</f>
        <v>77</v>
      </c>
      <c r="E242" s="364" t="str">
        <f ca="1">IF( ISNA( VLOOKUP( APIF_Import!$M242 &amp; APIF_Import!$E$1,Podesavanja!$AA$3:$AD$24, 4, 0)), "", SUBSTITUTE( VALUE( VLOOKUP( APIF_Import!$C242, INDIRECT( "Lookup_" &amp; APIF_Import!$M242), VLOOKUP( APIF_Import!$M242 &amp; APIF_Import!$E$1,Podesavanja!$AA$3:$AD$24, 4, 0), 0)), ".", ","))</f>
        <v>75</v>
      </c>
      <c r="F242" s="364" t="str">
        <f ca="1">IF( ISNA( VLOOKUP( APIF_Import!$M242 &amp; APIF_Import!$F$1,Podesavanja!$AA$3:$AD$24, 4, 0)), "", VLOOKUP( APIF_Import!$C242, INDIRECT( "Lookup_" &amp; APIF_Import!$M242), VLOOKUP( APIF_Import!$M242 &amp; APIF_Import!$F$1,Podesavanja!$AA$3:$AD$24, 4, 0), 0))</f>
        <v/>
      </c>
      <c r="G242" s="364" t="str">
        <f ca="1">IF( ISNA( VLOOKUP( APIF_Import!$M242 &amp; APIF_Import!$G$1,Podesavanja!$AA$3:$AD$24, 4, 0)), "", VLOOKUP( APIF_Import!$C242, INDIRECT( "Lookup_" &amp; APIF_Import!$M242), VLOOKUP( APIF_Import!$M242 &amp; APIF_Import!$G$1,Podesavanja!$AA$3:$AD$24, 4, 0), 0))</f>
        <v/>
      </c>
      <c r="H242" s="364" t="str">
        <f ca="1">IF( ISNA( VLOOKUP( APIF_Import!$M242 &amp; APIF_Import!$H$1,Podesavanja!$AA$3:$AD$24, 4, 0)), "", VLOOKUP( APIF_Import!$C242, INDIRECT( "Lookup_" &amp; APIF_Import!$M242), VLOOKUP( APIF_Import!$M242 &amp; APIF_Import!$H$1,Podesavanja!$AA$3:$AD$24, 4, 0), 0))</f>
        <v/>
      </c>
      <c r="I242" s="364" t="str">
        <f ca="1">IF( ISNA( VLOOKUP( APIF_Import!$M242 &amp; APIF_Import!$I$1,Podesavanja!$AA$3:$AD$24, 4, 0)), "", VLOOKUP( APIF_Import!$C242, INDIRECT( "Lookup_" &amp; APIF_Import!$M242), VLOOKUP( APIF_Import!$M242 &amp; APIF_Import!$I$1,Podesavanja!$AA$3:$AD$24, 4, 0), 0))</f>
        <v/>
      </c>
      <c r="J242" s="364" t="str">
        <f ca="1">IF( ISNA( VLOOKUP( APIF_Import!$M242 &amp; APIF_Import!$J$1,Podesavanja!$AA$3:$AD$24, 4, 0)), "", VLOOKUP( APIF_Import!$C242, INDIRECT( "Lookup_" &amp; APIF_Import!$M242), VLOOKUP( APIF_Import!$M242 &amp; APIF_Import!$J$1,Podesavanja!$AA$3:$AD$24, 4, 0), 0))</f>
        <v/>
      </c>
      <c r="K242" s="364" t="str">
        <f ca="1">IF( ISNA( VLOOKUP( APIF_Import!$M242 &amp; APIF_Import!$K$1,Podesavanja!$AA$3:$AD$24, 4, 0)), "", VLOOKUP( APIF_Import!$C242, INDIRECT( "Lookup_" &amp; APIF_Import!$M242), VLOOKUP( APIF_Import!$M242 &amp; APIF_Import!$K$1,Podesavanja!$AA$3:$AD$24, 4, 0), 0))</f>
        <v/>
      </c>
      <c r="L242" s="8">
        <v>250</v>
      </c>
      <c r="M242" s="8" t="s">
        <v>1497</v>
      </c>
    </row>
    <row r="243" spans="2:13" x14ac:dyDescent="0.2">
      <c r="B243" s="8">
        <f>VLOOKUP( APIF_Import!$M243, Podesavanja!$N$3:$Q$9, 4, 0)</f>
        <v>3</v>
      </c>
      <c r="C243" s="363">
        <f>VLOOKUP( APIF_Import!$L243, Aop!$A$2:$N$415, 4, 0)</f>
        <v>400</v>
      </c>
      <c r="D243" s="364" t="str">
        <f ca="1">IF( ISNA( VLOOKUP( APIF_Import!$M243 &amp; APIF_Import!$D$1,Podesavanja!$AA$3:$AD$24, 4, 0)), "", SUBSTITUTE( VALUE( VLOOKUP( APIF_Import!$C243, INDIRECT( "Lookup_" &amp; APIF_Import!$M243), VLOOKUP( APIF_Import!$M243 &amp; APIF_Import!$D$1,Podesavanja!$AA$3:$AD$24, 4, 0), 0)), ".", ","))</f>
        <v>481465</v>
      </c>
      <c r="E243" s="364" t="str">
        <f ca="1">IF( ISNA( VLOOKUP( APIF_Import!$M243 &amp; APIF_Import!$E$1,Podesavanja!$AA$3:$AD$24, 4, 0)), "", SUBSTITUTE( VALUE( VLOOKUP( APIF_Import!$C243, INDIRECT( "Lookup_" &amp; APIF_Import!$M243), VLOOKUP( APIF_Import!$M243 &amp; APIF_Import!$E$1,Podesavanja!$AA$3:$AD$24, 4, 0), 0)), ".", ","))</f>
        <v>7290</v>
      </c>
      <c r="F243" s="364" t="str">
        <f ca="1">IF( ISNA( VLOOKUP( APIF_Import!$M243 &amp; APIF_Import!$F$1,Podesavanja!$AA$3:$AD$24, 4, 0)), "", VLOOKUP( APIF_Import!$C243, INDIRECT( "Lookup_" &amp; APIF_Import!$M243), VLOOKUP( APIF_Import!$M243 &amp; APIF_Import!$F$1,Podesavanja!$AA$3:$AD$24, 4, 0), 0))</f>
        <v/>
      </c>
      <c r="G243" s="364" t="str">
        <f ca="1">IF( ISNA( VLOOKUP( APIF_Import!$M243 &amp; APIF_Import!$G$1,Podesavanja!$AA$3:$AD$24, 4, 0)), "", VLOOKUP( APIF_Import!$C243, INDIRECT( "Lookup_" &amp; APIF_Import!$M243), VLOOKUP( APIF_Import!$M243 &amp; APIF_Import!$G$1,Podesavanja!$AA$3:$AD$24, 4, 0), 0))</f>
        <v/>
      </c>
      <c r="H243" s="364" t="str">
        <f ca="1">IF( ISNA( VLOOKUP( APIF_Import!$M243 &amp; APIF_Import!$H$1,Podesavanja!$AA$3:$AD$24, 4, 0)), "", VLOOKUP( APIF_Import!$C243, INDIRECT( "Lookup_" &amp; APIF_Import!$M243), VLOOKUP( APIF_Import!$M243 &amp; APIF_Import!$H$1,Podesavanja!$AA$3:$AD$24, 4, 0), 0))</f>
        <v/>
      </c>
      <c r="I243" s="364" t="str">
        <f ca="1">IF( ISNA( VLOOKUP( APIF_Import!$M243 &amp; APIF_Import!$I$1,Podesavanja!$AA$3:$AD$24, 4, 0)), "", VLOOKUP( APIF_Import!$C243, INDIRECT( "Lookup_" &amp; APIF_Import!$M243), VLOOKUP( APIF_Import!$M243 &amp; APIF_Import!$I$1,Podesavanja!$AA$3:$AD$24, 4, 0), 0))</f>
        <v/>
      </c>
      <c r="J243" s="364" t="str">
        <f ca="1">IF( ISNA( VLOOKUP( APIF_Import!$M243 &amp; APIF_Import!$J$1,Podesavanja!$AA$3:$AD$24, 4, 0)), "", VLOOKUP( APIF_Import!$C243, INDIRECT( "Lookup_" &amp; APIF_Import!$M243), VLOOKUP( APIF_Import!$M243 &amp; APIF_Import!$J$1,Podesavanja!$AA$3:$AD$24, 4, 0), 0))</f>
        <v/>
      </c>
      <c r="K243" s="364" t="str">
        <f ca="1">IF( ISNA( VLOOKUP( APIF_Import!$M243 &amp; APIF_Import!$K$1,Podesavanja!$AA$3:$AD$24, 4, 0)), "", VLOOKUP( APIF_Import!$C243, INDIRECT( "Lookup_" &amp; APIF_Import!$M243), VLOOKUP( APIF_Import!$M243 &amp; APIF_Import!$K$1,Podesavanja!$AA$3:$AD$24, 4, 0), 0))</f>
        <v/>
      </c>
      <c r="L243" s="8">
        <v>251</v>
      </c>
      <c r="M243" s="8" t="s">
        <v>1508</v>
      </c>
    </row>
    <row r="244" spans="2:13" x14ac:dyDescent="0.2">
      <c r="B244" s="8">
        <f>VLOOKUP( APIF_Import!$M244, Podesavanja!$N$3:$Q$9, 4, 0)</f>
        <v>3</v>
      </c>
      <c r="C244" s="363">
        <f>VLOOKUP( APIF_Import!$L244, Aop!$A$2:$N$415, 4, 0)</f>
        <v>401</v>
      </c>
      <c r="D244" s="364" t="str">
        <f ca="1">IF( ISNA( VLOOKUP( APIF_Import!$M244 &amp; APIF_Import!$D$1,Podesavanja!$AA$3:$AD$24, 4, 0)), "", SUBSTITUTE( VALUE( VLOOKUP( APIF_Import!$C244, INDIRECT( "Lookup_" &amp; APIF_Import!$M244), VLOOKUP( APIF_Import!$M244 &amp; APIF_Import!$D$1,Podesavanja!$AA$3:$AD$24, 4, 0), 0)), ".", ","))</f>
        <v>0</v>
      </c>
      <c r="E244" s="364" t="str">
        <f ca="1">IF( ISNA( VLOOKUP( APIF_Import!$M244 &amp; APIF_Import!$E$1,Podesavanja!$AA$3:$AD$24, 4, 0)), "", SUBSTITUTE( VALUE( VLOOKUP( APIF_Import!$C244, INDIRECT( "Lookup_" &amp; APIF_Import!$M244), VLOOKUP( APIF_Import!$M244 &amp; APIF_Import!$E$1,Podesavanja!$AA$3:$AD$24, 4, 0), 0)), ".", ","))</f>
        <v>0</v>
      </c>
      <c r="F244" s="364" t="str">
        <f ca="1">IF( ISNA( VLOOKUP( APIF_Import!$M244 &amp; APIF_Import!$F$1,Podesavanja!$AA$3:$AD$24, 4, 0)), "", VLOOKUP( APIF_Import!$C244, INDIRECT( "Lookup_" &amp; APIF_Import!$M244), VLOOKUP( APIF_Import!$M244 &amp; APIF_Import!$F$1,Podesavanja!$AA$3:$AD$24, 4, 0), 0))</f>
        <v/>
      </c>
      <c r="G244" s="364" t="str">
        <f ca="1">IF( ISNA( VLOOKUP( APIF_Import!$M244 &amp; APIF_Import!$G$1,Podesavanja!$AA$3:$AD$24, 4, 0)), "", VLOOKUP( APIF_Import!$C244, INDIRECT( "Lookup_" &amp; APIF_Import!$M244), VLOOKUP( APIF_Import!$M244 &amp; APIF_Import!$G$1,Podesavanja!$AA$3:$AD$24, 4, 0), 0))</f>
        <v/>
      </c>
      <c r="H244" s="364" t="str">
        <f ca="1">IF( ISNA( VLOOKUP( APIF_Import!$M244 &amp; APIF_Import!$H$1,Podesavanja!$AA$3:$AD$24, 4, 0)), "", VLOOKUP( APIF_Import!$C244, INDIRECT( "Lookup_" &amp; APIF_Import!$M244), VLOOKUP( APIF_Import!$M244 &amp; APIF_Import!$H$1,Podesavanja!$AA$3:$AD$24, 4, 0), 0))</f>
        <v/>
      </c>
      <c r="I244" s="364" t="str">
        <f ca="1">IF( ISNA( VLOOKUP( APIF_Import!$M244 &amp; APIF_Import!$I$1,Podesavanja!$AA$3:$AD$24, 4, 0)), "", VLOOKUP( APIF_Import!$C244, INDIRECT( "Lookup_" &amp; APIF_Import!$M244), VLOOKUP( APIF_Import!$M244 &amp; APIF_Import!$I$1,Podesavanja!$AA$3:$AD$24, 4, 0), 0))</f>
        <v/>
      </c>
      <c r="J244" s="364" t="str">
        <f ca="1">IF( ISNA( VLOOKUP( APIF_Import!$M244 &amp; APIF_Import!$J$1,Podesavanja!$AA$3:$AD$24, 4, 0)), "", VLOOKUP( APIF_Import!$C244, INDIRECT( "Lookup_" &amp; APIF_Import!$M244), VLOOKUP( APIF_Import!$M244 &amp; APIF_Import!$J$1,Podesavanja!$AA$3:$AD$24, 4, 0), 0))</f>
        <v/>
      </c>
      <c r="K244" s="364" t="str">
        <f ca="1">IF( ISNA( VLOOKUP( APIF_Import!$M244 &amp; APIF_Import!$K$1,Podesavanja!$AA$3:$AD$24, 4, 0)), "", VLOOKUP( APIF_Import!$C244, INDIRECT( "Lookup_" &amp; APIF_Import!$M244), VLOOKUP( APIF_Import!$M244 &amp; APIF_Import!$K$1,Podesavanja!$AA$3:$AD$24, 4, 0), 0))</f>
        <v/>
      </c>
      <c r="L244" s="8">
        <v>252</v>
      </c>
      <c r="M244" s="8" t="s">
        <v>1508</v>
      </c>
    </row>
    <row r="245" spans="2:13" x14ac:dyDescent="0.2">
      <c r="B245" s="8">
        <f>VLOOKUP( APIF_Import!$M245, Podesavanja!$N$3:$Q$9, 4, 0)</f>
        <v>3</v>
      </c>
      <c r="C245" s="363">
        <f>VLOOKUP( APIF_Import!$L245, Aop!$A$2:$N$415, 4, 0)</f>
        <v>402</v>
      </c>
      <c r="D245" s="364" t="str">
        <f ca="1">IF( ISNA( VLOOKUP( APIF_Import!$M245 &amp; APIF_Import!$D$1,Podesavanja!$AA$3:$AD$24, 4, 0)), "", SUBSTITUTE( VALUE( VLOOKUP( APIF_Import!$C245, INDIRECT( "Lookup_" &amp; APIF_Import!$M245), VLOOKUP( APIF_Import!$M245 &amp; APIF_Import!$D$1,Podesavanja!$AA$3:$AD$24, 4, 0), 0)), ".", ","))</f>
        <v>0</v>
      </c>
      <c r="E245" s="364" t="str">
        <f ca="1">IF( ISNA( VLOOKUP( APIF_Import!$M245 &amp; APIF_Import!$E$1,Podesavanja!$AA$3:$AD$24, 4, 0)), "", SUBSTITUTE( VALUE( VLOOKUP( APIF_Import!$C245, INDIRECT( "Lookup_" &amp; APIF_Import!$M245), VLOOKUP( APIF_Import!$M245 &amp; APIF_Import!$E$1,Podesavanja!$AA$3:$AD$24, 4, 0), 0)), ".", ","))</f>
        <v>0</v>
      </c>
      <c r="F245" s="364" t="str">
        <f ca="1">IF( ISNA( VLOOKUP( APIF_Import!$M245 &amp; APIF_Import!$F$1,Podesavanja!$AA$3:$AD$24, 4, 0)), "", VLOOKUP( APIF_Import!$C245, INDIRECT( "Lookup_" &amp; APIF_Import!$M245), VLOOKUP( APIF_Import!$M245 &amp; APIF_Import!$F$1,Podesavanja!$AA$3:$AD$24, 4, 0), 0))</f>
        <v/>
      </c>
      <c r="G245" s="364" t="str">
        <f ca="1">IF( ISNA( VLOOKUP( APIF_Import!$M245 &amp; APIF_Import!$G$1,Podesavanja!$AA$3:$AD$24, 4, 0)), "", VLOOKUP( APIF_Import!$C245, INDIRECT( "Lookup_" &amp; APIF_Import!$M245), VLOOKUP( APIF_Import!$M245 &amp; APIF_Import!$G$1,Podesavanja!$AA$3:$AD$24, 4, 0), 0))</f>
        <v/>
      </c>
      <c r="H245" s="364" t="str">
        <f ca="1">IF( ISNA( VLOOKUP( APIF_Import!$M245 &amp; APIF_Import!$H$1,Podesavanja!$AA$3:$AD$24, 4, 0)), "", VLOOKUP( APIF_Import!$C245, INDIRECT( "Lookup_" &amp; APIF_Import!$M245), VLOOKUP( APIF_Import!$M245 &amp; APIF_Import!$H$1,Podesavanja!$AA$3:$AD$24, 4, 0), 0))</f>
        <v/>
      </c>
      <c r="I245" s="364" t="str">
        <f ca="1">IF( ISNA( VLOOKUP( APIF_Import!$M245 &amp; APIF_Import!$I$1,Podesavanja!$AA$3:$AD$24, 4, 0)), "", VLOOKUP( APIF_Import!$C245, INDIRECT( "Lookup_" &amp; APIF_Import!$M245), VLOOKUP( APIF_Import!$M245 &amp; APIF_Import!$I$1,Podesavanja!$AA$3:$AD$24, 4, 0), 0))</f>
        <v/>
      </c>
      <c r="J245" s="364" t="str">
        <f ca="1">IF( ISNA( VLOOKUP( APIF_Import!$M245 &amp; APIF_Import!$J$1,Podesavanja!$AA$3:$AD$24, 4, 0)), "", VLOOKUP( APIF_Import!$C245, INDIRECT( "Lookup_" &amp; APIF_Import!$M245), VLOOKUP( APIF_Import!$M245 &amp; APIF_Import!$J$1,Podesavanja!$AA$3:$AD$24, 4, 0), 0))</f>
        <v/>
      </c>
      <c r="K245" s="364" t="str">
        <f ca="1">IF( ISNA( VLOOKUP( APIF_Import!$M245 &amp; APIF_Import!$K$1,Podesavanja!$AA$3:$AD$24, 4, 0)), "", VLOOKUP( APIF_Import!$C245, INDIRECT( "Lookup_" &amp; APIF_Import!$M245), VLOOKUP( APIF_Import!$M245 &amp; APIF_Import!$K$1,Podesavanja!$AA$3:$AD$24, 4, 0), 0))</f>
        <v/>
      </c>
      <c r="L245" s="8">
        <v>253</v>
      </c>
      <c r="M245" s="8" t="s">
        <v>1508</v>
      </c>
    </row>
    <row r="246" spans="2:13" x14ac:dyDescent="0.2">
      <c r="B246" s="8">
        <f>VLOOKUP( APIF_Import!$M246, Podesavanja!$N$3:$Q$9, 4, 0)</f>
        <v>3</v>
      </c>
      <c r="C246" s="363">
        <f>VLOOKUP( APIF_Import!$L246, Aop!$A$2:$N$415, 4, 0)</f>
        <v>403</v>
      </c>
      <c r="D246" s="364" t="str">
        <f ca="1">IF( ISNA( VLOOKUP( APIF_Import!$M246 &amp; APIF_Import!$D$1,Podesavanja!$AA$3:$AD$24, 4, 0)), "", SUBSTITUTE( VALUE( VLOOKUP( APIF_Import!$C246, INDIRECT( "Lookup_" &amp; APIF_Import!$M246), VLOOKUP( APIF_Import!$M246 &amp; APIF_Import!$D$1,Podesavanja!$AA$3:$AD$24, 4, 0), 0)), ".", ","))</f>
        <v>0</v>
      </c>
      <c r="E246" s="364" t="str">
        <f ca="1">IF( ISNA( VLOOKUP( APIF_Import!$M246 &amp; APIF_Import!$E$1,Podesavanja!$AA$3:$AD$24, 4, 0)), "", SUBSTITUTE( VALUE( VLOOKUP( APIF_Import!$C246, INDIRECT( "Lookup_" &amp; APIF_Import!$M246), VLOOKUP( APIF_Import!$M246 &amp; APIF_Import!$E$1,Podesavanja!$AA$3:$AD$24, 4, 0), 0)), ".", ","))</f>
        <v>0</v>
      </c>
      <c r="F246" s="364" t="str">
        <f ca="1">IF( ISNA( VLOOKUP( APIF_Import!$M246 &amp; APIF_Import!$F$1,Podesavanja!$AA$3:$AD$24, 4, 0)), "", VLOOKUP( APIF_Import!$C246, INDIRECT( "Lookup_" &amp; APIF_Import!$M246), VLOOKUP( APIF_Import!$M246 &amp; APIF_Import!$F$1,Podesavanja!$AA$3:$AD$24, 4, 0), 0))</f>
        <v/>
      </c>
      <c r="G246" s="364" t="str">
        <f ca="1">IF( ISNA( VLOOKUP( APIF_Import!$M246 &amp; APIF_Import!$G$1,Podesavanja!$AA$3:$AD$24, 4, 0)), "", VLOOKUP( APIF_Import!$C246, INDIRECT( "Lookup_" &amp; APIF_Import!$M246), VLOOKUP( APIF_Import!$M246 &amp; APIF_Import!$G$1,Podesavanja!$AA$3:$AD$24, 4, 0), 0))</f>
        <v/>
      </c>
      <c r="H246" s="364" t="str">
        <f ca="1">IF( ISNA( VLOOKUP( APIF_Import!$M246 &amp; APIF_Import!$H$1,Podesavanja!$AA$3:$AD$24, 4, 0)), "", VLOOKUP( APIF_Import!$C246, INDIRECT( "Lookup_" &amp; APIF_Import!$M246), VLOOKUP( APIF_Import!$M246 &amp; APIF_Import!$H$1,Podesavanja!$AA$3:$AD$24, 4, 0), 0))</f>
        <v/>
      </c>
      <c r="I246" s="364" t="str">
        <f ca="1">IF( ISNA( VLOOKUP( APIF_Import!$M246 &amp; APIF_Import!$I$1,Podesavanja!$AA$3:$AD$24, 4, 0)), "", VLOOKUP( APIF_Import!$C246, INDIRECT( "Lookup_" &amp; APIF_Import!$M246), VLOOKUP( APIF_Import!$M246 &amp; APIF_Import!$I$1,Podesavanja!$AA$3:$AD$24, 4, 0), 0))</f>
        <v/>
      </c>
      <c r="J246" s="364" t="str">
        <f ca="1">IF( ISNA( VLOOKUP( APIF_Import!$M246 &amp; APIF_Import!$J$1,Podesavanja!$AA$3:$AD$24, 4, 0)), "", VLOOKUP( APIF_Import!$C246, INDIRECT( "Lookup_" &amp; APIF_Import!$M246), VLOOKUP( APIF_Import!$M246 &amp; APIF_Import!$J$1,Podesavanja!$AA$3:$AD$24, 4, 0), 0))</f>
        <v/>
      </c>
      <c r="K246" s="364" t="str">
        <f ca="1">IF( ISNA( VLOOKUP( APIF_Import!$M246 &amp; APIF_Import!$K$1,Podesavanja!$AA$3:$AD$24, 4, 0)), "", VLOOKUP( APIF_Import!$C246, INDIRECT( "Lookup_" &amp; APIF_Import!$M246), VLOOKUP( APIF_Import!$M246 &amp; APIF_Import!$K$1,Podesavanja!$AA$3:$AD$24, 4, 0), 0))</f>
        <v/>
      </c>
      <c r="L246" s="8">
        <v>254</v>
      </c>
      <c r="M246" s="8" t="s">
        <v>1508</v>
      </c>
    </row>
    <row r="247" spans="2:13" x14ac:dyDescent="0.2">
      <c r="B247" s="8">
        <f>VLOOKUP( APIF_Import!$M247, Podesavanja!$N$3:$Q$9, 4, 0)</f>
        <v>3</v>
      </c>
      <c r="C247" s="363">
        <f>VLOOKUP( APIF_Import!$L247, Aop!$A$2:$N$415, 4, 0)</f>
        <v>404</v>
      </c>
      <c r="D247" s="364" t="str">
        <f ca="1">IF( ISNA( VLOOKUP( APIF_Import!$M247 &amp; APIF_Import!$D$1,Podesavanja!$AA$3:$AD$24, 4, 0)), "", SUBSTITUTE( VALUE( VLOOKUP( APIF_Import!$C247, INDIRECT( "Lookup_" &amp; APIF_Import!$M247), VLOOKUP( APIF_Import!$M247 &amp; APIF_Import!$D$1,Podesavanja!$AA$3:$AD$24, 4, 0), 0)), ".", ","))</f>
        <v>0</v>
      </c>
      <c r="E247" s="364" t="str">
        <f ca="1">IF( ISNA( VLOOKUP( APIF_Import!$M247 &amp; APIF_Import!$E$1,Podesavanja!$AA$3:$AD$24, 4, 0)), "", SUBSTITUTE( VALUE( VLOOKUP( APIF_Import!$C247, INDIRECT( "Lookup_" &amp; APIF_Import!$M247), VLOOKUP( APIF_Import!$M247 &amp; APIF_Import!$E$1,Podesavanja!$AA$3:$AD$24, 4, 0), 0)), ".", ","))</f>
        <v>0</v>
      </c>
      <c r="F247" s="364" t="str">
        <f ca="1">IF( ISNA( VLOOKUP( APIF_Import!$M247 &amp; APIF_Import!$F$1,Podesavanja!$AA$3:$AD$24, 4, 0)), "", VLOOKUP( APIF_Import!$C247, INDIRECT( "Lookup_" &amp; APIF_Import!$M247), VLOOKUP( APIF_Import!$M247 &amp; APIF_Import!$F$1,Podesavanja!$AA$3:$AD$24, 4, 0), 0))</f>
        <v/>
      </c>
      <c r="G247" s="364" t="str">
        <f ca="1">IF( ISNA( VLOOKUP( APIF_Import!$M247 &amp; APIF_Import!$G$1,Podesavanja!$AA$3:$AD$24, 4, 0)), "", VLOOKUP( APIF_Import!$C247, INDIRECT( "Lookup_" &amp; APIF_Import!$M247), VLOOKUP( APIF_Import!$M247 &amp; APIF_Import!$G$1,Podesavanja!$AA$3:$AD$24, 4, 0), 0))</f>
        <v/>
      </c>
      <c r="H247" s="364" t="str">
        <f ca="1">IF( ISNA( VLOOKUP( APIF_Import!$M247 &amp; APIF_Import!$H$1,Podesavanja!$AA$3:$AD$24, 4, 0)), "", VLOOKUP( APIF_Import!$C247, INDIRECT( "Lookup_" &amp; APIF_Import!$M247), VLOOKUP( APIF_Import!$M247 &amp; APIF_Import!$H$1,Podesavanja!$AA$3:$AD$24, 4, 0), 0))</f>
        <v/>
      </c>
      <c r="I247" s="364" t="str">
        <f ca="1">IF( ISNA( VLOOKUP( APIF_Import!$M247 &amp; APIF_Import!$I$1,Podesavanja!$AA$3:$AD$24, 4, 0)), "", VLOOKUP( APIF_Import!$C247, INDIRECT( "Lookup_" &amp; APIF_Import!$M247), VLOOKUP( APIF_Import!$M247 &amp; APIF_Import!$I$1,Podesavanja!$AA$3:$AD$24, 4, 0), 0))</f>
        <v/>
      </c>
      <c r="J247" s="364" t="str">
        <f ca="1">IF( ISNA( VLOOKUP( APIF_Import!$M247 &amp; APIF_Import!$J$1,Podesavanja!$AA$3:$AD$24, 4, 0)), "", VLOOKUP( APIF_Import!$C247, INDIRECT( "Lookup_" &amp; APIF_Import!$M247), VLOOKUP( APIF_Import!$M247 &amp; APIF_Import!$J$1,Podesavanja!$AA$3:$AD$24, 4, 0), 0))</f>
        <v/>
      </c>
      <c r="K247" s="364" t="str">
        <f ca="1">IF( ISNA( VLOOKUP( APIF_Import!$M247 &amp; APIF_Import!$K$1,Podesavanja!$AA$3:$AD$24, 4, 0)), "", VLOOKUP( APIF_Import!$C247, INDIRECT( "Lookup_" &amp; APIF_Import!$M247), VLOOKUP( APIF_Import!$M247 &amp; APIF_Import!$K$1,Podesavanja!$AA$3:$AD$24, 4, 0), 0))</f>
        <v/>
      </c>
      <c r="L247" s="8">
        <v>255</v>
      </c>
      <c r="M247" s="8" t="s">
        <v>1508</v>
      </c>
    </row>
    <row r="248" spans="2:13" x14ac:dyDescent="0.2">
      <c r="B248" s="8">
        <f>VLOOKUP( APIF_Import!$M248, Podesavanja!$N$3:$Q$9, 4, 0)</f>
        <v>3</v>
      </c>
      <c r="C248" s="363">
        <f>VLOOKUP( APIF_Import!$L248, Aop!$A$2:$N$415, 4, 0)</f>
        <v>405</v>
      </c>
      <c r="D248" s="364" t="str">
        <f ca="1">IF( ISNA( VLOOKUP( APIF_Import!$M248 &amp; APIF_Import!$D$1,Podesavanja!$AA$3:$AD$24, 4, 0)), "", SUBSTITUTE( VALUE( VLOOKUP( APIF_Import!$C248, INDIRECT( "Lookup_" &amp; APIF_Import!$M248), VLOOKUP( APIF_Import!$M248 &amp; APIF_Import!$D$1,Podesavanja!$AA$3:$AD$24, 4, 0), 0)), ".", ","))</f>
        <v>0</v>
      </c>
      <c r="E248" s="364" t="str">
        <f ca="1">IF( ISNA( VLOOKUP( APIF_Import!$M248 &amp; APIF_Import!$E$1,Podesavanja!$AA$3:$AD$24, 4, 0)), "", SUBSTITUTE( VALUE( VLOOKUP( APIF_Import!$C248, INDIRECT( "Lookup_" &amp; APIF_Import!$M248), VLOOKUP( APIF_Import!$M248 &amp; APIF_Import!$E$1,Podesavanja!$AA$3:$AD$24, 4, 0), 0)), ".", ","))</f>
        <v>0</v>
      </c>
      <c r="F248" s="364" t="str">
        <f ca="1">IF( ISNA( VLOOKUP( APIF_Import!$M248 &amp; APIF_Import!$F$1,Podesavanja!$AA$3:$AD$24, 4, 0)), "", VLOOKUP( APIF_Import!$C248, INDIRECT( "Lookup_" &amp; APIF_Import!$M248), VLOOKUP( APIF_Import!$M248 &amp; APIF_Import!$F$1,Podesavanja!$AA$3:$AD$24, 4, 0), 0))</f>
        <v/>
      </c>
      <c r="G248" s="364" t="str">
        <f ca="1">IF( ISNA( VLOOKUP( APIF_Import!$M248 &amp; APIF_Import!$G$1,Podesavanja!$AA$3:$AD$24, 4, 0)), "", VLOOKUP( APIF_Import!$C248, INDIRECT( "Lookup_" &amp; APIF_Import!$M248), VLOOKUP( APIF_Import!$M248 &amp; APIF_Import!$G$1,Podesavanja!$AA$3:$AD$24, 4, 0), 0))</f>
        <v/>
      </c>
      <c r="H248" s="364" t="str">
        <f ca="1">IF( ISNA( VLOOKUP( APIF_Import!$M248 &amp; APIF_Import!$H$1,Podesavanja!$AA$3:$AD$24, 4, 0)), "", VLOOKUP( APIF_Import!$C248, INDIRECT( "Lookup_" &amp; APIF_Import!$M248), VLOOKUP( APIF_Import!$M248 &amp; APIF_Import!$H$1,Podesavanja!$AA$3:$AD$24, 4, 0), 0))</f>
        <v/>
      </c>
      <c r="I248" s="364" t="str">
        <f ca="1">IF( ISNA( VLOOKUP( APIF_Import!$M248 &amp; APIF_Import!$I$1,Podesavanja!$AA$3:$AD$24, 4, 0)), "", VLOOKUP( APIF_Import!$C248, INDIRECT( "Lookup_" &amp; APIF_Import!$M248), VLOOKUP( APIF_Import!$M248 &amp; APIF_Import!$I$1,Podesavanja!$AA$3:$AD$24, 4, 0), 0))</f>
        <v/>
      </c>
      <c r="J248" s="364" t="str">
        <f ca="1">IF( ISNA( VLOOKUP( APIF_Import!$M248 &amp; APIF_Import!$J$1,Podesavanja!$AA$3:$AD$24, 4, 0)), "", VLOOKUP( APIF_Import!$C248, INDIRECT( "Lookup_" &amp; APIF_Import!$M248), VLOOKUP( APIF_Import!$M248 &amp; APIF_Import!$J$1,Podesavanja!$AA$3:$AD$24, 4, 0), 0))</f>
        <v/>
      </c>
      <c r="K248" s="364" t="str">
        <f ca="1">IF( ISNA( VLOOKUP( APIF_Import!$M248 &amp; APIF_Import!$K$1,Podesavanja!$AA$3:$AD$24, 4, 0)), "", VLOOKUP( APIF_Import!$C248, INDIRECT( "Lookup_" &amp; APIF_Import!$M248), VLOOKUP( APIF_Import!$M248 &amp; APIF_Import!$K$1,Podesavanja!$AA$3:$AD$24, 4, 0), 0))</f>
        <v/>
      </c>
      <c r="L248" s="8">
        <v>256</v>
      </c>
      <c r="M248" s="8" t="s">
        <v>1508</v>
      </c>
    </row>
    <row r="249" spans="2:13" x14ac:dyDescent="0.2">
      <c r="B249" s="8">
        <f>VLOOKUP( APIF_Import!$M249, Podesavanja!$N$3:$Q$9, 4, 0)</f>
        <v>3</v>
      </c>
      <c r="C249" s="363">
        <f>VLOOKUP( APIF_Import!$L249, Aop!$A$2:$N$415, 4, 0)</f>
        <v>406</v>
      </c>
      <c r="D249" s="364" t="str">
        <f ca="1">IF( ISNA( VLOOKUP( APIF_Import!$M249 &amp; APIF_Import!$D$1,Podesavanja!$AA$3:$AD$24, 4, 0)), "", SUBSTITUTE( VALUE( VLOOKUP( APIF_Import!$C249, INDIRECT( "Lookup_" &amp; APIF_Import!$M249), VLOOKUP( APIF_Import!$M249 &amp; APIF_Import!$D$1,Podesavanja!$AA$3:$AD$24, 4, 0), 0)), ".", ","))</f>
        <v>0</v>
      </c>
      <c r="E249" s="364" t="str">
        <f ca="1">IF( ISNA( VLOOKUP( APIF_Import!$M249 &amp; APIF_Import!$E$1,Podesavanja!$AA$3:$AD$24, 4, 0)), "", SUBSTITUTE( VALUE( VLOOKUP( APIF_Import!$C249, INDIRECT( "Lookup_" &amp; APIF_Import!$M249), VLOOKUP( APIF_Import!$M249 &amp; APIF_Import!$E$1,Podesavanja!$AA$3:$AD$24, 4, 0), 0)), ".", ","))</f>
        <v>0</v>
      </c>
      <c r="F249" s="364" t="str">
        <f ca="1">IF( ISNA( VLOOKUP( APIF_Import!$M249 &amp; APIF_Import!$F$1,Podesavanja!$AA$3:$AD$24, 4, 0)), "", VLOOKUP( APIF_Import!$C249, INDIRECT( "Lookup_" &amp; APIF_Import!$M249), VLOOKUP( APIF_Import!$M249 &amp; APIF_Import!$F$1,Podesavanja!$AA$3:$AD$24, 4, 0), 0))</f>
        <v/>
      </c>
      <c r="G249" s="364" t="str">
        <f ca="1">IF( ISNA( VLOOKUP( APIF_Import!$M249 &amp; APIF_Import!$G$1,Podesavanja!$AA$3:$AD$24, 4, 0)), "", VLOOKUP( APIF_Import!$C249, INDIRECT( "Lookup_" &amp; APIF_Import!$M249), VLOOKUP( APIF_Import!$M249 &amp; APIF_Import!$G$1,Podesavanja!$AA$3:$AD$24, 4, 0), 0))</f>
        <v/>
      </c>
      <c r="H249" s="364" t="str">
        <f ca="1">IF( ISNA( VLOOKUP( APIF_Import!$M249 &amp; APIF_Import!$H$1,Podesavanja!$AA$3:$AD$24, 4, 0)), "", VLOOKUP( APIF_Import!$C249, INDIRECT( "Lookup_" &amp; APIF_Import!$M249), VLOOKUP( APIF_Import!$M249 &amp; APIF_Import!$H$1,Podesavanja!$AA$3:$AD$24, 4, 0), 0))</f>
        <v/>
      </c>
      <c r="I249" s="364" t="str">
        <f ca="1">IF( ISNA( VLOOKUP( APIF_Import!$M249 &amp; APIF_Import!$I$1,Podesavanja!$AA$3:$AD$24, 4, 0)), "", VLOOKUP( APIF_Import!$C249, INDIRECT( "Lookup_" &amp; APIF_Import!$M249), VLOOKUP( APIF_Import!$M249 &amp; APIF_Import!$I$1,Podesavanja!$AA$3:$AD$24, 4, 0), 0))</f>
        <v/>
      </c>
      <c r="J249" s="364" t="str">
        <f ca="1">IF( ISNA( VLOOKUP( APIF_Import!$M249 &amp; APIF_Import!$J$1,Podesavanja!$AA$3:$AD$24, 4, 0)), "", VLOOKUP( APIF_Import!$C249, INDIRECT( "Lookup_" &amp; APIF_Import!$M249), VLOOKUP( APIF_Import!$M249 &amp; APIF_Import!$J$1,Podesavanja!$AA$3:$AD$24, 4, 0), 0))</f>
        <v/>
      </c>
      <c r="K249" s="364" t="str">
        <f ca="1">IF( ISNA( VLOOKUP( APIF_Import!$M249 &amp; APIF_Import!$K$1,Podesavanja!$AA$3:$AD$24, 4, 0)), "", VLOOKUP( APIF_Import!$C249, INDIRECT( "Lookup_" &amp; APIF_Import!$M249), VLOOKUP( APIF_Import!$M249 &amp; APIF_Import!$K$1,Podesavanja!$AA$3:$AD$24, 4, 0), 0))</f>
        <v/>
      </c>
      <c r="L249" s="8">
        <v>257</v>
      </c>
      <c r="M249" s="8" t="s">
        <v>1508</v>
      </c>
    </row>
    <row r="250" spans="2:13" x14ac:dyDescent="0.2">
      <c r="B250" s="8">
        <f>VLOOKUP( APIF_Import!$M250, Podesavanja!$N$3:$Q$9, 4, 0)</f>
        <v>3</v>
      </c>
      <c r="C250" s="363">
        <f>VLOOKUP( APIF_Import!$L250, Aop!$A$2:$N$415, 4, 0)</f>
        <v>407</v>
      </c>
      <c r="D250" s="364" t="str">
        <f ca="1">IF( ISNA( VLOOKUP( APIF_Import!$M250 &amp; APIF_Import!$D$1,Podesavanja!$AA$3:$AD$24, 4, 0)), "", SUBSTITUTE( VALUE( VLOOKUP( APIF_Import!$C250, INDIRECT( "Lookup_" &amp; APIF_Import!$M250), VLOOKUP( APIF_Import!$M250 &amp; APIF_Import!$D$1,Podesavanja!$AA$3:$AD$24, 4, 0), 0)), ".", ","))</f>
        <v>0</v>
      </c>
      <c r="E250" s="364" t="str">
        <f ca="1">IF( ISNA( VLOOKUP( APIF_Import!$M250 &amp; APIF_Import!$E$1,Podesavanja!$AA$3:$AD$24, 4, 0)), "", SUBSTITUTE( VALUE( VLOOKUP( APIF_Import!$C250, INDIRECT( "Lookup_" &amp; APIF_Import!$M250), VLOOKUP( APIF_Import!$M250 &amp; APIF_Import!$E$1,Podesavanja!$AA$3:$AD$24, 4, 0), 0)), ".", ","))</f>
        <v>0</v>
      </c>
      <c r="F250" s="364" t="str">
        <f ca="1">IF( ISNA( VLOOKUP( APIF_Import!$M250 &amp; APIF_Import!$F$1,Podesavanja!$AA$3:$AD$24, 4, 0)), "", VLOOKUP( APIF_Import!$C250, INDIRECT( "Lookup_" &amp; APIF_Import!$M250), VLOOKUP( APIF_Import!$M250 &amp; APIF_Import!$F$1,Podesavanja!$AA$3:$AD$24, 4, 0), 0))</f>
        <v/>
      </c>
      <c r="G250" s="364" t="str">
        <f ca="1">IF( ISNA( VLOOKUP( APIF_Import!$M250 &amp; APIF_Import!$G$1,Podesavanja!$AA$3:$AD$24, 4, 0)), "", VLOOKUP( APIF_Import!$C250, INDIRECT( "Lookup_" &amp; APIF_Import!$M250), VLOOKUP( APIF_Import!$M250 &amp; APIF_Import!$G$1,Podesavanja!$AA$3:$AD$24, 4, 0), 0))</f>
        <v/>
      </c>
      <c r="H250" s="364" t="str">
        <f ca="1">IF( ISNA( VLOOKUP( APIF_Import!$M250 &amp; APIF_Import!$H$1,Podesavanja!$AA$3:$AD$24, 4, 0)), "", VLOOKUP( APIF_Import!$C250, INDIRECT( "Lookup_" &amp; APIF_Import!$M250), VLOOKUP( APIF_Import!$M250 &amp; APIF_Import!$H$1,Podesavanja!$AA$3:$AD$24, 4, 0), 0))</f>
        <v/>
      </c>
      <c r="I250" s="364" t="str">
        <f ca="1">IF( ISNA( VLOOKUP( APIF_Import!$M250 &amp; APIF_Import!$I$1,Podesavanja!$AA$3:$AD$24, 4, 0)), "", VLOOKUP( APIF_Import!$C250, INDIRECT( "Lookup_" &amp; APIF_Import!$M250), VLOOKUP( APIF_Import!$M250 &amp; APIF_Import!$I$1,Podesavanja!$AA$3:$AD$24, 4, 0), 0))</f>
        <v/>
      </c>
      <c r="J250" s="364" t="str">
        <f ca="1">IF( ISNA( VLOOKUP( APIF_Import!$M250 &amp; APIF_Import!$J$1,Podesavanja!$AA$3:$AD$24, 4, 0)), "", VLOOKUP( APIF_Import!$C250, INDIRECT( "Lookup_" &amp; APIF_Import!$M250), VLOOKUP( APIF_Import!$M250 &amp; APIF_Import!$J$1,Podesavanja!$AA$3:$AD$24, 4, 0), 0))</f>
        <v/>
      </c>
      <c r="K250" s="364" t="str">
        <f ca="1">IF( ISNA( VLOOKUP( APIF_Import!$M250 &amp; APIF_Import!$K$1,Podesavanja!$AA$3:$AD$24, 4, 0)), "", VLOOKUP( APIF_Import!$C250, INDIRECT( "Lookup_" &amp; APIF_Import!$M250), VLOOKUP( APIF_Import!$M250 &amp; APIF_Import!$K$1,Podesavanja!$AA$3:$AD$24, 4, 0), 0))</f>
        <v/>
      </c>
      <c r="L250" s="8">
        <v>258</v>
      </c>
      <c r="M250" s="8" t="s">
        <v>1508</v>
      </c>
    </row>
    <row r="251" spans="2:13" x14ac:dyDescent="0.2">
      <c r="B251" s="8">
        <f>VLOOKUP( APIF_Import!$M251, Podesavanja!$N$3:$Q$9, 4, 0)</f>
        <v>3</v>
      </c>
      <c r="C251" s="363">
        <f>VLOOKUP( APIF_Import!$L251, Aop!$A$2:$N$415, 4, 0)</f>
        <v>408</v>
      </c>
      <c r="D251" s="364" t="str">
        <f ca="1">IF( ISNA( VLOOKUP( APIF_Import!$M251 &amp; APIF_Import!$D$1,Podesavanja!$AA$3:$AD$24, 4, 0)), "", SUBSTITUTE( VALUE( VLOOKUP( APIF_Import!$C251, INDIRECT( "Lookup_" &amp; APIF_Import!$M251), VLOOKUP( APIF_Import!$M251 &amp; APIF_Import!$D$1,Podesavanja!$AA$3:$AD$24, 4, 0), 0)), ".", ","))</f>
        <v>0</v>
      </c>
      <c r="E251" s="364" t="str">
        <f ca="1">IF( ISNA( VLOOKUP( APIF_Import!$M251 &amp; APIF_Import!$E$1,Podesavanja!$AA$3:$AD$24, 4, 0)), "", SUBSTITUTE( VALUE( VLOOKUP( APIF_Import!$C251, INDIRECT( "Lookup_" &amp; APIF_Import!$M251), VLOOKUP( APIF_Import!$M251 &amp; APIF_Import!$E$1,Podesavanja!$AA$3:$AD$24, 4, 0), 0)), ".", ","))</f>
        <v>0</v>
      </c>
      <c r="F251" s="364" t="str">
        <f ca="1">IF( ISNA( VLOOKUP( APIF_Import!$M251 &amp; APIF_Import!$F$1,Podesavanja!$AA$3:$AD$24, 4, 0)), "", VLOOKUP( APIF_Import!$C251, INDIRECT( "Lookup_" &amp; APIF_Import!$M251), VLOOKUP( APIF_Import!$M251 &amp; APIF_Import!$F$1,Podesavanja!$AA$3:$AD$24, 4, 0), 0))</f>
        <v/>
      </c>
      <c r="G251" s="364" t="str">
        <f ca="1">IF( ISNA( VLOOKUP( APIF_Import!$M251 &amp; APIF_Import!$G$1,Podesavanja!$AA$3:$AD$24, 4, 0)), "", VLOOKUP( APIF_Import!$C251, INDIRECT( "Lookup_" &amp; APIF_Import!$M251), VLOOKUP( APIF_Import!$M251 &amp; APIF_Import!$G$1,Podesavanja!$AA$3:$AD$24, 4, 0), 0))</f>
        <v/>
      </c>
      <c r="H251" s="364" t="str">
        <f ca="1">IF( ISNA( VLOOKUP( APIF_Import!$M251 &amp; APIF_Import!$H$1,Podesavanja!$AA$3:$AD$24, 4, 0)), "", VLOOKUP( APIF_Import!$C251, INDIRECT( "Lookup_" &amp; APIF_Import!$M251), VLOOKUP( APIF_Import!$M251 &amp; APIF_Import!$H$1,Podesavanja!$AA$3:$AD$24, 4, 0), 0))</f>
        <v/>
      </c>
      <c r="I251" s="364" t="str">
        <f ca="1">IF( ISNA( VLOOKUP( APIF_Import!$M251 &amp; APIF_Import!$I$1,Podesavanja!$AA$3:$AD$24, 4, 0)), "", VLOOKUP( APIF_Import!$C251, INDIRECT( "Lookup_" &amp; APIF_Import!$M251), VLOOKUP( APIF_Import!$M251 &amp; APIF_Import!$I$1,Podesavanja!$AA$3:$AD$24, 4, 0), 0))</f>
        <v/>
      </c>
      <c r="J251" s="364" t="str">
        <f ca="1">IF( ISNA( VLOOKUP( APIF_Import!$M251 &amp; APIF_Import!$J$1,Podesavanja!$AA$3:$AD$24, 4, 0)), "", VLOOKUP( APIF_Import!$C251, INDIRECT( "Lookup_" &amp; APIF_Import!$M251), VLOOKUP( APIF_Import!$M251 &amp; APIF_Import!$J$1,Podesavanja!$AA$3:$AD$24, 4, 0), 0))</f>
        <v/>
      </c>
      <c r="K251" s="364" t="str">
        <f ca="1">IF( ISNA( VLOOKUP( APIF_Import!$M251 &amp; APIF_Import!$K$1,Podesavanja!$AA$3:$AD$24, 4, 0)), "", VLOOKUP( APIF_Import!$C251, INDIRECT( "Lookup_" &amp; APIF_Import!$M251), VLOOKUP( APIF_Import!$M251 &amp; APIF_Import!$K$1,Podesavanja!$AA$3:$AD$24, 4, 0), 0))</f>
        <v/>
      </c>
      <c r="L251" s="8">
        <v>259</v>
      </c>
      <c r="M251" s="8" t="s">
        <v>1508</v>
      </c>
    </row>
    <row r="252" spans="2:13" x14ac:dyDescent="0.2">
      <c r="B252" s="8">
        <f>VLOOKUP( APIF_Import!$M252, Podesavanja!$N$3:$Q$9, 4, 0)</f>
        <v>3</v>
      </c>
      <c r="C252" s="363">
        <f>VLOOKUP( APIF_Import!$L252, Aop!$A$2:$N$415, 4, 0)</f>
        <v>409</v>
      </c>
      <c r="D252" s="364" t="str">
        <f ca="1">IF( ISNA( VLOOKUP( APIF_Import!$M252 &amp; APIF_Import!$D$1,Podesavanja!$AA$3:$AD$24, 4, 0)), "", SUBSTITUTE( VALUE( VLOOKUP( APIF_Import!$C252, INDIRECT( "Lookup_" &amp; APIF_Import!$M252), VLOOKUP( APIF_Import!$M252 &amp; APIF_Import!$D$1,Podesavanja!$AA$3:$AD$24, 4, 0), 0)), ".", ","))</f>
        <v>0</v>
      </c>
      <c r="E252" s="364" t="str">
        <f ca="1">IF( ISNA( VLOOKUP( APIF_Import!$M252 &amp; APIF_Import!$E$1,Podesavanja!$AA$3:$AD$24, 4, 0)), "", SUBSTITUTE( VALUE( VLOOKUP( APIF_Import!$C252, INDIRECT( "Lookup_" &amp; APIF_Import!$M252), VLOOKUP( APIF_Import!$M252 &amp; APIF_Import!$E$1,Podesavanja!$AA$3:$AD$24, 4, 0), 0)), ".", ","))</f>
        <v>0</v>
      </c>
      <c r="F252" s="364" t="str">
        <f ca="1">IF( ISNA( VLOOKUP( APIF_Import!$M252 &amp; APIF_Import!$F$1,Podesavanja!$AA$3:$AD$24, 4, 0)), "", VLOOKUP( APIF_Import!$C252, INDIRECT( "Lookup_" &amp; APIF_Import!$M252), VLOOKUP( APIF_Import!$M252 &amp; APIF_Import!$F$1,Podesavanja!$AA$3:$AD$24, 4, 0), 0))</f>
        <v/>
      </c>
      <c r="G252" s="364" t="str">
        <f ca="1">IF( ISNA( VLOOKUP( APIF_Import!$M252 &amp; APIF_Import!$G$1,Podesavanja!$AA$3:$AD$24, 4, 0)), "", VLOOKUP( APIF_Import!$C252, INDIRECT( "Lookup_" &amp; APIF_Import!$M252), VLOOKUP( APIF_Import!$M252 &amp; APIF_Import!$G$1,Podesavanja!$AA$3:$AD$24, 4, 0), 0))</f>
        <v/>
      </c>
      <c r="H252" s="364" t="str">
        <f ca="1">IF( ISNA( VLOOKUP( APIF_Import!$M252 &amp; APIF_Import!$H$1,Podesavanja!$AA$3:$AD$24, 4, 0)), "", VLOOKUP( APIF_Import!$C252, INDIRECT( "Lookup_" &amp; APIF_Import!$M252), VLOOKUP( APIF_Import!$M252 &amp; APIF_Import!$H$1,Podesavanja!$AA$3:$AD$24, 4, 0), 0))</f>
        <v/>
      </c>
      <c r="I252" s="364" t="str">
        <f ca="1">IF( ISNA( VLOOKUP( APIF_Import!$M252 &amp; APIF_Import!$I$1,Podesavanja!$AA$3:$AD$24, 4, 0)), "", VLOOKUP( APIF_Import!$C252, INDIRECT( "Lookup_" &amp; APIF_Import!$M252), VLOOKUP( APIF_Import!$M252 &amp; APIF_Import!$I$1,Podesavanja!$AA$3:$AD$24, 4, 0), 0))</f>
        <v/>
      </c>
      <c r="J252" s="364" t="str">
        <f ca="1">IF( ISNA( VLOOKUP( APIF_Import!$M252 &amp; APIF_Import!$J$1,Podesavanja!$AA$3:$AD$24, 4, 0)), "", VLOOKUP( APIF_Import!$C252, INDIRECT( "Lookup_" &amp; APIF_Import!$M252), VLOOKUP( APIF_Import!$M252 &amp; APIF_Import!$J$1,Podesavanja!$AA$3:$AD$24, 4, 0), 0))</f>
        <v/>
      </c>
      <c r="K252" s="364" t="str">
        <f ca="1">IF( ISNA( VLOOKUP( APIF_Import!$M252 &amp; APIF_Import!$K$1,Podesavanja!$AA$3:$AD$24, 4, 0)), "", VLOOKUP( APIF_Import!$C252, INDIRECT( "Lookup_" &amp; APIF_Import!$M252), VLOOKUP( APIF_Import!$M252 &amp; APIF_Import!$K$1,Podesavanja!$AA$3:$AD$24, 4, 0), 0))</f>
        <v/>
      </c>
      <c r="L252" s="8">
        <v>260</v>
      </c>
      <c r="M252" s="8" t="s">
        <v>1508</v>
      </c>
    </row>
    <row r="253" spans="2:13" x14ac:dyDescent="0.2">
      <c r="B253" s="8">
        <f>VLOOKUP( APIF_Import!$M253, Podesavanja!$N$3:$Q$9, 4, 0)</f>
        <v>3</v>
      </c>
      <c r="C253" s="363">
        <f>VLOOKUP( APIF_Import!$L253, Aop!$A$2:$N$415, 4, 0)</f>
        <v>410</v>
      </c>
      <c r="D253" s="364" t="str">
        <f ca="1">IF( ISNA( VLOOKUP( APIF_Import!$M253 &amp; APIF_Import!$D$1,Podesavanja!$AA$3:$AD$24, 4, 0)), "", SUBSTITUTE( VALUE( VLOOKUP( APIF_Import!$C253, INDIRECT( "Lookup_" &amp; APIF_Import!$M253), VLOOKUP( APIF_Import!$M253 &amp; APIF_Import!$D$1,Podesavanja!$AA$3:$AD$24, 4, 0), 0)), ".", ","))</f>
        <v>0</v>
      </c>
      <c r="E253" s="364" t="str">
        <f ca="1">IF( ISNA( VLOOKUP( APIF_Import!$M253 &amp; APIF_Import!$E$1,Podesavanja!$AA$3:$AD$24, 4, 0)), "", SUBSTITUTE( VALUE( VLOOKUP( APIF_Import!$C253, INDIRECT( "Lookup_" &amp; APIF_Import!$M253), VLOOKUP( APIF_Import!$M253 &amp; APIF_Import!$E$1,Podesavanja!$AA$3:$AD$24, 4, 0), 0)), ".", ","))</f>
        <v>0</v>
      </c>
      <c r="F253" s="364" t="str">
        <f ca="1">IF( ISNA( VLOOKUP( APIF_Import!$M253 &amp; APIF_Import!$F$1,Podesavanja!$AA$3:$AD$24, 4, 0)), "", VLOOKUP( APIF_Import!$C253, INDIRECT( "Lookup_" &amp; APIF_Import!$M253), VLOOKUP( APIF_Import!$M253 &amp; APIF_Import!$F$1,Podesavanja!$AA$3:$AD$24, 4, 0), 0))</f>
        <v/>
      </c>
      <c r="G253" s="364" t="str">
        <f ca="1">IF( ISNA( VLOOKUP( APIF_Import!$M253 &amp; APIF_Import!$G$1,Podesavanja!$AA$3:$AD$24, 4, 0)), "", VLOOKUP( APIF_Import!$C253, INDIRECT( "Lookup_" &amp; APIF_Import!$M253), VLOOKUP( APIF_Import!$M253 &amp; APIF_Import!$G$1,Podesavanja!$AA$3:$AD$24, 4, 0), 0))</f>
        <v/>
      </c>
      <c r="H253" s="364" t="str">
        <f ca="1">IF( ISNA( VLOOKUP( APIF_Import!$M253 &amp; APIF_Import!$H$1,Podesavanja!$AA$3:$AD$24, 4, 0)), "", VLOOKUP( APIF_Import!$C253, INDIRECT( "Lookup_" &amp; APIF_Import!$M253), VLOOKUP( APIF_Import!$M253 &amp; APIF_Import!$H$1,Podesavanja!$AA$3:$AD$24, 4, 0), 0))</f>
        <v/>
      </c>
      <c r="I253" s="364" t="str">
        <f ca="1">IF( ISNA( VLOOKUP( APIF_Import!$M253 &amp; APIF_Import!$I$1,Podesavanja!$AA$3:$AD$24, 4, 0)), "", VLOOKUP( APIF_Import!$C253, INDIRECT( "Lookup_" &amp; APIF_Import!$M253), VLOOKUP( APIF_Import!$M253 &amp; APIF_Import!$I$1,Podesavanja!$AA$3:$AD$24, 4, 0), 0))</f>
        <v/>
      </c>
      <c r="J253" s="364" t="str">
        <f ca="1">IF( ISNA( VLOOKUP( APIF_Import!$M253 &amp; APIF_Import!$J$1,Podesavanja!$AA$3:$AD$24, 4, 0)), "", VLOOKUP( APIF_Import!$C253, INDIRECT( "Lookup_" &amp; APIF_Import!$M253), VLOOKUP( APIF_Import!$M253 &amp; APIF_Import!$J$1,Podesavanja!$AA$3:$AD$24, 4, 0), 0))</f>
        <v/>
      </c>
      <c r="K253" s="364" t="str">
        <f ca="1">IF( ISNA( VLOOKUP( APIF_Import!$M253 &amp; APIF_Import!$K$1,Podesavanja!$AA$3:$AD$24, 4, 0)), "", VLOOKUP( APIF_Import!$C253, INDIRECT( "Lookup_" &amp; APIF_Import!$M253), VLOOKUP( APIF_Import!$M253 &amp; APIF_Import!$K$1,Podesavanja!$AA$3:$AD$24, 4, 0), 0))</f>
        <v/>
      </c>
      <c r="L253" s="8">
        <v>261</v>
      </c>
      <c r="M253" s="8" t="s">
        <v>1508</v>
      </c>
    </row>
    <row r="254" spans="2:13" x14ac:dyDescent="0.2">
      <c r="B254" s="8">
        <f>VLOOKUP( APIF_Import!$M254, Podesavanja!$N$3:$Q$9, 4, 0)</f>
        <v>3</v>
      </c>
      <c r="C254" s="363">
        <f>VLOOKUP( APIF_Import!$L254, Aop!$A$2:$N$415, 4, 0)</f>
        <v>411</v>
      </c>
      <c r="D254" s="364" t="str">
        <f ca="1">IF( ISNA( VLOOKUP( APIF_Import!$M254 &amp; APIF_Import!$D$1,Podesavanja!$AA$3:$AD$24, 4, 0)), "", SUBSTITUTE( VALUE( VLOOKUP( APIF_Import!$C254, INDIRECT( "Lookup_" &amp; APIF_Import!$M254), VLOOKUP( APIF_Import!$M254 &amp; APIF_Import!$D$1,Podesavanja!$AA$3:$AD$24, 4, 0), 0)), ".", ","))</f>
        <v>0</v>
      </c>
      <c r="E254" s="364" t="str">
        <f ca="1">IF( ISNA( VLOOKUP( APIF_Import!$M254 &amp; APIF_Import!$E$1,Podesavanja!$AA$3:$AD$24, 4, 0)), "", SUBSTITUTE( VALUE( VLOOKUP( APIF_Import!$C254, INDIRECT( "Lookup_" &amp; APIF_Import!$M254), VLOOKUP( APIF_Import!$M254 &amp; APIF_Import!$E$1,Podesavanja!$AA$3:$AD$24, 4, 0), 0)), ".", ","))</f>
        <v>0</v>
      </c>
      <c r="F254" s="364" t="str">
        <f ca="1">IF( ISNA( VLOOKUP( APIF_Import!$M254 &amp; APIF_Import!$F$1,Podesavanja!$AA$3:$AD$24, 4, 0)), "", VLOOKUP( APIF_Import!$C254, INDIRECT( "Lookup_" &amp; APIF_Import!$M254), VLOOKUP( APIF_Import!$M254 &amp; APIF_Import!$F$1,Podesavanja!$AA$3:$AD$24, 4, 0), 0))</f>
        <v/>
      </c>
      <c r="G254" s="364" t="str">
        <f ca="1">IF( ISNA( VLOOKUP( APIF_Import!$M254 &amp; APIF_Import!$G$1,Podesavanja!$AA$3:$AD$24, 4, 0)), "", VLOOKUP( APIF_Import!$C254, INDIRECT( "Lookup_" &amp; APIF_Import!$M254), VLOOKUP( APIF_Import!$M254 &amp; APIF_Import!$G$1,Podesavanja!$AA$3:$AD$24, 4, 0), 0))</f>
        <v/>
      </c>
      <c r="H254" s="364" t="str">
        <f ca="1">IF( ISNA( VLOOKUP( APIF_Import!$M254 &amp; APIF_Import!$H$1,Podesavanja!$AA$3:$AD$24, 4, 0)), "", VLOOKUP( APIF_Import!$C254, INDIRECT( "Lookup_" &amp; APIF_Import!$M254), VLOOKUP( APIF_Import!$M254 &amp; APIF_Import!$H$1,Podesavanja!$AA$3:$AD$24, 4, 0), 0))</f>
        <v/>
      </c>
      <c r="I254" s="364" t="str">
        <f ca="1">IF( ISNA( VLOOKUP( APIF_Import!$M254 &amp; APIF_Import!$I$1,Podesavanja!$AA$3:$AD$24, 4, 0)), "", VLOOKUP( APIF_Import!$C254, INDIRECT( "Lookup_" &amp; APIF_Import!$M254), VLOOKUP( APIF_Import!$M254 &amp; APIF_Import!$I$1,Podesavanja!$AA$3:$AD$24, 4, 0), 0))</f>
        <v/>
      </c>
      <c r="J254" s="364" t="str">
        <f ca="1">IF( ISNA( VLOOKUP( APIF_Import!$M254 &amp; APIF_Import!$J$1,Podesavanja!$AA$3:$AD$24, 4, 0)), "", VLOOKUP( APIF_Import!$C254, INDIRECT( "Lookup_" &amp; APIF_Import!$M254), VLOOKUP( APIF_Import!$M254 &amp; APIF_Import!$J$1,Podesavanja!$AA$3:$AD$24, 4, 0), 0))</f>
        <v/>
      </c>
      <c r="K254" s="364" t="str">
        <f ca="1">IF( ISNA( VLOOKUP( APIF_Import!$M254 &amp; APIF_Import!$K$1,Podesavanja!$AA$3:$AD$24, 4, 0)), "", VLOOKUP( APIF_Import!$C254, INDIRECT( "Lookup_" &amp; APIF_Import!$M254), VLOOKUP( APIF_Import!$M254 &amp; APIF_Import!$K$1,Podesavanja!$AA$3:$AD$24, 4, 0), 0))</f>
        <v/>
      </c>
      <c r="L254" s="8">
        <v>262</v>
      </c>
      <c r="M254" s="8" t="s">
        <v>1508</v>
      </c>
    </row>
    <row r="255" spans="2:13" x14ac:dyDescent="0.2">
      <c r="B255" s="8">
        <f>VLOOKUP( APIF_Import!$M255, Podesavanja!$N$3:$Q$9, 4, 0)</f>
        <v>3</v>
      </c>
      <c r="C255" s="363">
        <f>VLOOKUP( APIF_Import!$L255, Aop!$A$2:$N$415, 4, 0)</f>
        <v>412</v>
      </c>
      <c r="D255" s="364" t="str">
        <f ca="1">IF( ISNA( VLOOKUP( APIF_Import!$M255 &amp; APIF_Import!$D$1,Podesavanja!$AA$3:$AD$24, 4, 0)), "", SUBSTITUTE( VALUE( VLOOKUP( APIF_Import!$C255, INDIRECT( "Lookup_" &amp; APIF_Import!$M255), VLOOKUP( APIF_Import!$M255 &amp; APIF_Import!$D$1,Podesavanja!$AA$3:$AD$24, 4, 0), 0)), ".", ","))</f>
        <v>0</v>
      </c>
      <c r="E255" s="364" t="str">
        <f ca="1">IF( ISNA( VLOOKUP( APIF_Import!$M255 &amp; APIF_Import!$E$1,Podesavanja!$AA$3:$AD$24, 4, 0)), "", SUBSTITUTE( VALUE( VLOOKUP( APIF_Import!$C255, INDIRECT( "Lookup_" &amp; APIF_Import!$M255), VLOOKUP( APIF_Import!$M255 &amp; APIF_Import!$E$1,Podesavanja!$AA$3:$AD$24, 4, 0), 0)), ".", ","))</f>
        <v>0</v>
      </c>
      <c r="F255" s="364" t="str">
        <f ca="1">IF( ISNA( VLOOKUP( APIF_Import!$M255 &amp; APIF_Import!$F$1,Podesavanja!$AA$3:$AD$24, 4, 0)), "", VLOOKUP( APIF_Import!$C255, INDIRECT( "Lookup_" &amp; APIF_Import!$M255), VLOOKUP( APIF_Import!$M255 &amp; APIF_Import!$F$1,Podesavanja!$AA$3:$AD$24, 4, 0), 0))</f>
        <v/>
      </c>
      <c r="G255" s="364" t="str">
        <f ca="1">IF( ISNA( VLOOKUP( APIF_Import!$M255 &amp; APIF_Import!$G$1,Podesavanja!$AA$3:$AD$24, 4, 0)), "", VLOOKUP( APIF_Import!$C255, INDIRECT( "Lookup_" &amp; APIF_Import!$M255), VLOOKUP( APIF_Import!$M255 &amp; APIF_Import!$G$1,Podesavanja!$AA$3:$AD$24, 4, 0), 0))</f>
        <v/>
      </c>
      <c r="H255" s="364" t="str">
        <f ca="1">IF( ISNA( VLOOKUP( APIF_Import!$M255 &amp; APIF_Import!$H$1,Podesavanja!$AA$3:$AD$24, 4, 0)), "", VLOOKUP( APIF_Import!$C255, INDIRECT( "Lookup_" &amp; APIF_Import!$M255), VLOOKUP( APIF_Import!$M255 &amp; APIF_Import!$H$1,Podesavanja!$AA$3:$AD$24, 4, 0), 0))</f>
        <v/>
      </c>
      <c r="I255" s="364" t="str">
        <f ca="1">IF( ISNA( VLOOKUP( APIF_Import!$M255 &amp; APIF_Import!$I$1,Podesavanja!$AA$3:$AD$24, 4, 0)), "", VLOOKUP( APIF_Import!$C255, INDIRECT( "Lookup_" &amp; APIF_Import!$M255), VLOOKUP( APIF_Import!$M255 &amp; APIF_Import!$I$1,Podesavanja!$AA$3:$AD$24, 4, 0), 0))</f>
        <v/>
      </c>
      <c r="J255" s="364" t="str">
        <f ca="1">IF( ISNA( VLOOKUP( APIF_Import!$M255 &amp; APIF_Import!$J$1,Podesavanja!$AA$3:$AD$24, 4, 0)), "", VLOOKUP( APIF_Import!$C255, INDIRECT( "Lookup_" &amp; APIF_Import!$M255), VLOOKUP( APIF_Import!$M255 &amp; APIF_Import!$J$1,Podesavanja!$AA$3:$AD$24, 4, 0), 0))</f>
        <v/>
      </c>
      <c r="K255" s="364" t="str">
        <f ca="1">IF( ISNA( VLOOKUP( APIF_Import!$M255 &amp; APIF_Import!$K$1,Podesavanja!$AA$3:$AD$24, 4, 0)), "", VLOOKUP( APIF_Import!$C255, INDIRECT( "Lookup_" &amp; APIF_Import!$M255), VLOOKUP( APIF_Import!$M255 &amp; APIF_Import!$K$1,Podesavanja!$AA$3:$AD$24, 4, 0), 0))</f>
        <v/>
      </c>
      <c r="L255" s="8">
        <v>263</v>
      </c>
      <c r="M255" s="8" t="s">
        <v>1508</v>
      </c>
    </row>
    <row r="256" spans="2:13" x14ac:dyDescent="0.2">
      <c r="B256" s="8">
        <f>VLOOKUP( APIF_Import!$M256, Podesavanja!$N$3:$Q$9, 4, 0)</f>
        <v>3</v>
      </c>
      <c r="C256" s="363">
        <f>VLOOKUP( APIF_Import!$L256, Aop!$A$2:$N$415, 4, 0)</f>
        <v>413</v>
      </c>
      <c r="D256" s="364" t="str">
        <f ca="1">IF( ISNA( VLOOKUP( APIF_Import!$M256 &amp; APIF_Import!$D$1,Podesavanja!$AA$3:$AD$24, 4, 0)), "", SUBSTITUTE( VALUE( VLOOKUP( APIF_Import!$C256, INDIRECT( "Lookup_" &amp; APIF_Import!$M256), VLOOKUP( APIF_Import!$M256 &amp; APIF_Import!$D$1,Podesavanja!$AA$3:$AD$24, 4, 0), 0)), ".", ","))</f>
        <v>0</v>
      </c>
      <c r="E256" s="364" t="str">
        <f ca="1">IF( ISNA( VLOOKUP( APIF_Import!$M256 &amp; APIF_Import!$E$1,Podesavanja!$AA$3:$AD$24, 4, 0)), "", SUBSTITUTE( VALUE( VLOOKUP( APIF_Import!$C256, INDIRECT( "Lookup_" &amp; APIF_Import!$M256), VLOOKUP( APIF_Import!$M256 &amp; APIF_Import!$E$1,Podesavanja!$AA$3:$AD$24, 4, 0), 0)), ".", ","))</f>
        <v>0</v>
      </c>
      <c r="F256" s="364" t="str">
        <f ca="1">IF( ISNA( VLOOKUP( APIF_Import!$M256 &amp; APIF_Import!$F$1,Podesavanja!$AA$3:$AD$24, 4, 0)), "", VLOOKUP( APIF_Import!$C256, INDIRECT( "Lookup_" &amp; APIF_Import!$M256), VLOOKUP( APIF_Import!$M256 &amp; APIF_Import!$F$1,Podesavanja!$AA$3:$AD$24, 4, 0), 0))</f>
        <v/>
      </c>
      <c r="G256" s="364" t="str">
        <f ca="1">IF( ISNA( VLOOKUP( APIF_Import!$M256 &amp; APIF_Import!$G$1,Podesavanja!$AA$3:$AD$24, 4, 0)), "", VLOOKUP( APIF_Import!$C256, INDIRECT( "Lookup_" &amp; APIF_Import!$M256), VLOOKUP( APIF_Import!$M256 &amp; APIF_Import!$G$1,Podesavanja!$AA$3:$AD$24, 4, 0), 0))</f>
        <v/>
      </c>
      <c r="H256" s="364" t="str">
        <f ca="1">IF( ISNA( VLOOKUP( APIF_Import!$M256 &amp; APIF_Import!$H$1,Podesavanja!$AA$3:$AD$24, 4, 0)), "", VLOOKUP( APIF_Import!$C256, INDIRECT( "Lookup_" &amp; APIF_Import!$M256), VLOOKUP( APIF_Import!$M256 &amp; APIF_Import!$H$1,Podesavanja!$AA$3:$AD$24, 4, 0), 0))</f>
        <v/>
      </c>
      <c r="I256" s="364" t="str">
        <f ca="1">IF( ISNA( VLOOKUP( APIF_Import!$M256 &amp; APIF_Import!$I$1,Podesavanja!$AA$3:$AD$24, 4, 0)), "", VLOOKUP( APIF_Import!$C256, INDIRECT( "Lookup_" &amp; APIF_Import!$M256), VLOOKUP( APIF_Import!$M256 &amp; APIF_Import!$I$1,Podesavanja!$AA$3:$AD$24, 4, 0), 0))</f>
        <v/>
      </c>
      <c r="J256" s="364" t="str">
        <f ca="1">IF( ISNA( VLOOKUP( APIF_Import!$M256 &amp; APIF_Import!$J$1,Podesavanja!$AA$3:$AD$24, 4, 0)), "", VLOOKUP( APIF_Import!$C256, INDIRECT( "Lookup_" &amp; APIF_Import!$M256), VLOOKUP( APIF_Import!$M256 &amp; APIF_Import!$J$1,Podesavanja!$AA$3:$AD$24, 4, 0), 0))</f>
        <v/>
      </c>
      <c r="K256" s="364" t="str">
        <f ca="1">IF( ISNA( VLOOKUP( APIF_Import!$M256 &amp; APIF_Import!$K$1,Podesavanja!$AA$3:$AD$24, 4, 0)), "", VLOOKUP( APIF_Import!$C256, INDIRECT( "Lookup_" &amp; APIF_Import!$M256), VLOOKUP( APIF_Import!$M256 &amp; APIF_Import!$K$1,Podesavanja!$AA$3:$AD$24, 4, 0), 0))</f>
        <v/>
      </c>
      <c r="L256" s="8">
        <v>264</v>
      </c>
      <c r="M256" s="8" t="s">
        <v>1508</v>
      </c>
    </row>
    <row r="257" spans="2:13" x14ac:dyDescent="0.2">
      <c r="B257" s="8">
        <f>VLOOKUP( APIF_Import!$M257, Podesavanja!$N$3:$Q$9, 4, 0)</f>
        <v>3</v>
      </c>
      <c r="C257" s="363">
        <f>VLOOKUP( APIF_Import!$L257, Aop!$A$2:$N$415, 4, 0)</f>
        <v>414</v>
      </c>
      <c r="D257" s="364" t="str">
        <f ca="1">IF( ISNA( VLOOKUP( APIF_Import!$M257 &amp; APIF_Import!$D$1,Podesavanja!$AA$3:$AD$24, 4, 0)), "", SUBSTITUTE( VALUE( VLOOKUP( APIF_Import!$C257, INDIRECT( "Lookup_" &amp; APIF_Import!$M257), VLOOKUP( APIF_Import!$M257 &amp; APIF_Import!$D$1,Podesavanja!$AA$3:$AD$24, 4, 0), 0)), ".", ","))</f>
        <v>0</v>
      </c>
      <c r="E257" s="364" t="str">
        <f ca="1">IF( ISNA( VLOOKUP( APIF_Import!$M257 &amp; APIF_Import!$E$1,Podesavanja!$AA$3:$AD$24, 4, 0)), "", SUBSTITUTE( VALUE( VLOOKUP( APIF_Import!$C257, INDIRECT( "Lookup_" &amp; APIF_Import!$M257), VLOOKUP( APIF_Import!$M257 &amp; APIF_Import!$E$1,Podesavanja!$AA$3:$AD$24, 4, 0), 0)), ".", ","))</f>
        <v>0</v>
      </c>
      <c r="F257" s="364" t="str">
        <f ca="1">IF( ISNA( VLOOKUP( APIF_Import!$M257 &amp; APIF_Import!$F$1,Podesavanja!$AA$3:$AD$24, 4, 0)), "", VLOOKUP( APIF_Import!$C257, INDIRECT( "Lookup_" &amp; APIF_Import!$M257), VLOOKUP( APIF_Import!$M257 &amp; APIF_Import!$F$1,Podesavanja!$AA$3:$AD$24, 4, 0), 0))</f>
        <v/>
      </c>
      <c r="G257" s="364" t="str">
        <f ca="1">IF( ISNA( VLOOKUP( APIF_Import!$M257 &amp; APIF_Import!$G$1,Podesavanja!$AA$3:$AD$24, 4, 0)), "", VLOOKUP( APIF_Import!$C257, INDIRECT( "Lookup_" &amp; APIF_Import!$M257), VLOOKUP( APIF_Import!$M257 &amp; APIF_Import!$G$1,Podesavanja!$AA$3:$AD$24, 4, 0), 0))</f>
        <v/>
      </c>
      <c r="H257" s="364" t="str">
        <f ca="1">IF( ISNA( VLOOKUP( APIF_Import!$M257 &amp; APIF_Import!$H$1,Podesavanja!$AA$3:$AD$24, 4, 0)), "", VLOOKUP( APIF_Import!$C257, INDIRECT( "Lookup_" &amp; APIF_Import!$M257), VLOOKUP( APIF_Import!$M257 &amp; APIF_Import!$H$1,Podesavanja!$AA$3:$AD$24, 4, 0), 0))</f>
        <v/>
      </c>
      <c r="I257" s="364" t="str">
        <f ca="1">IF( ISNA( VLOOKUP( APIF_Import!$M257 &amp; APIF_Import!$I$1,Podesavanja!$AA$3:$AD$24, 4, 0)), "", VLOOKUP( APIF_Import!$C257, INDIRECT( "Lookup_" &amp; APIF_Import!$M257), VLOOKUP( APIF_Import!$M257 &amp; APIF_Import!$I$1,Podesavanja!$AA$3:$AD$24, 4, 0), 0))</f>
        <v/>
      </c>
      <c r="J257" s="364" t="str">
        <f ca="1">IF( ISNA( VLOOKUP( APIF_Import!$M257 &amp; APIF_Import!$J$1,Podesavanja!$AA$3:$AD$24, 4, 0)), "", VLOOKUP( APIF_Import!$C257, INDIRECT( "Lookup_" &amp; APIF_Import!$M257), VLOOKUP( APIF_Import!$M257 &amp; APIF_Import!$J$1,Podesavanja!$AA$3:$AD$24, 4, 0), 0))</f>
        <v/>
      </c>
      <c r="K257" s="364" t="str">
        <f ca="1">IF( ISNA( VLOOKUP( APIF_Import!$M257 &amp; APIF_Import!$K$1,Podesavanja!$AA$3:$AD$24, 4, 0)), "", VLOOKUP( APIF_Import!$C257, INDIRECT( "Lookup_" &amp; APIF_Import!$M257), VLOOKUP( APIF_Import!$M257 &amp; APIF_Import!$K$1,Podesavanja!$AA$3:$AD$24, 4, 0), 0))</f>
        <v/>
      </c>
      <c r="L257" s="8">
        <v>265</v>
      </c>
      <c r="M257" s="8" t="s">
        <v>1508</v>
      </c>
    </row>
    <row r="258" spans="2:13" x14ac:dyDescent="0.2">
      <c r="B258" s="8">
        <f>VLOOKUP( APIF_Import!$M258, Podesavanja!$N$3:$Q$9, 4, 0)</f>
        <v>3</v>
      </c>
      <c r="C258" s="363">
        <f>VLOOKUP( APIF_Import!$L258, Aop!$A$2:$N$415, 4, 0)</f>
        <v>415</v>
      </c>
      <c r="D258" s="364" t="str">
        <f ca="1">IF( ISNA( VLOOKUP( APIF_Import!$M258 &amp; APIF_Import!$D$1,Podesavanja!$AA$3:$AD$24, 4, 0)), "", SUBSTITUTE( VALUE( VLOOKUP( APIF_Import!$C258, INDIRECT( "Lookup_" &amp; APIF_Import!$M258), VLOOKUP( APIF_Import!$M258 &amp; APIF_Import!$D$1,Podesavanja!$AA$3:$AD$24, 4, 0), 0)), ".", ","))</f>
        <v>0</v>
      </c>
      <c r="E258" s="364" t="str">
        <f ca="1">IF( ISNA( VLOOKUP( APIF_Import!$M258 &amp; APIF_Import!$E$1,Podesavanja!$AA$3:$AD$24, 4, 0)), "", SUBSTITUTE( VALUE( VLOOKUP( APIF_Import!$C258, INDIRECT( "Lookup_" &amp; APIF_Import!$M258), VLOOKUP( APIF_Import!$M258 &amp; APIF_Import!$E$1,Podesavanja!$AA$3:$AD$24, 4, 0), 0)), ".", ","))</f>
        <v>0</v>
      </c>
      <c r="F258" s="364" t="str">
        <f ca="1">IF( ISNA( VLOOKUP( APIF_Import!$M258 &amp; APIF_Import!$F$1,Podesavanja!$AA$3:$AD$24, 4, 0)), "", VLOOKUP( APIF_Import!$C258, INDIRECT( "Lookup_" &amp; APIF_Import!$M258), VLOOKUP( APIF_Import!$M258 &amp; APIF_Import!$F$1,Podesavanja!$AA$3:$AD$24, 4, 0), 0))</f>
        <v/>
      </c>
      <c r="G258" s="364" t="str">
        <f ca="1">IF( ISNA( VLOOKUP( APIF_Import!$M258 &amp; APIF_Import!$G$1,Podesavanja!$AA$3:$AD$24, 4, 0)), "", VLOOKUP( APIF_Import!$C258, INDIRECT( "Lookup_" &amp; APIF_Import!$M258), VLOOKUP( APIF_Import!$M258 &amp; APIF_Import!$G$1,Podesavanja!$AA$3:$AD$24, 4, 0), 0))</f>
        <v/>
      </c>
      <c r="H258" s="364" t="str">
        <f ca="1">IF( ISNA( VLOOKUP( APIF_Import!$M258 &amp; APIF_Import!$H$1,Podesavanja!$AA$3:$AD$24, 4, 0)), "", VLOOKUP( APIF_Import!$C258, INDIRECT( "Lookup_" &amp; APIF_Import!$M258), VLOOKUP( APIF_Import!$M258 &amp; APIF_Import!$H$1,Podesavanja!$AA$3:$AD$24, 4, 0), 0))</f>
        <v/>
      </c>
      <c r="I258" s="364" t="str">
        <f ca="1">IF( ISNA( VLOOKUP( APIF_Import!$M258 &amp; APIF_Import!$I$1,Podesavanja!$AA$3:$AD$24, 4, 0)), "", VLOOKUP( APIF_Import!$C258, INDIRECT( "Lookup_" &amp; APIF_Import!$M258), VLOOKUP( APIF_Import!$M258 &amp; APIF_Import!$I$1,Podesavanja!$AA$3:$AD$24, 4, 0), 0))</f>
        <v/>
      </c>
      <c r="J258" s="364" t="str">
        <f ca="1">IF( ISNA( VLOOKUP( APIF_Import!$M258 &amp; APIF_Import!$J$1,Podesavanja!$AA$3:$AD$24, 4, 0)), "", VLOOKUP( APIF_Import!$C258, INDIRECT( "Lookup_" &amp; APIF_Import!$M258), VLOOKUP( APIF_Import!$M258 &amp; APIF_Import!$J$1,Podesavanja!$AA$3:$AD$24, 4, 0), 0))</f>
        <v/>
      </c>
      <c r="K258" s="364" t="str">
        <f ca="1">IF( ISNA( VLOOKUP( APIF_Import!$M258 &amp; APIF_Import!$K$1,Podesavanja!$AA$3:$AD$24, 4, 0)), "", VLOOKUP( APIF_Import!$C258, INDIRECT( "Lookup_" &amp; APIF_Import!$M258), VLOOKUP( APIF_Import!$M258 &amp; APIF_Import!$K$1,Podesavanja!$AA$3:$AD$24, 4, 0), 0))</f>
        <v/>
      </c>
      <c r="L258" s="8">
        <v>266</v>
      </c>
      <c r="M258" s="8" t="s">
        <v>1508</v>
      </c>
    </row>
    <row r="259" spans="2:13" x14ac:dyDescent="0.2">
      <c r="B259" s="8">
        <f>VLOOKUP( APIF_Import!$M259, Podesavanja!$N$3:$Q$9, 4, 0)</f>
        <v>3</v>
      </c>
      <c r="C259" s="363">
        <f>VLOOKUP( APIF_Import!$L259, Aop!$A$2:$N$415, 4, 0)</f>
        <v>416</v>
      </c>
      <c r="D259" s="364" t="str">
        <f ca="1">IF( ISNA( VLOOKUP( APIF_Import!$M259 &amp; APIF_Import!$D$1,Podesavanja!$AA$3:$AD$24, 4, 0)), "", SUBSTITUTE( VALUE( VLOOKUP( APIF_Import!$C259, INDIRECT( "Lookup_" &amp; APIF_Import!$M259), VLOOKUP( APIF_Import!$M259 &amp; APIF_Import!$D$1,Podesavanja!$AA$3:$AD$24, 4, 0), 0)), ".", ","))</f>
        <v>0</v>
      </c>
      <c r="E259" s="364" t="str">
        <f ca="1">IF( ISNA( VLOOKUP( APIF_Import!$M259 &amp; APIF_Import!$E$1,Podesavanja!$AA$3:$AD$24, 4, 0)), "", SUBSTITUTE( VALUE( VLOOKUP( APIF_Import!$C259, INDIRECT( "Lookup_" &amp; APIF_Import!$M259), VLOOKUP( APIF_Import!$M259 &amp; APIF_Import!$E$1,Podesavanja!$AA$3:$AD$24, 4, 0), 0)), ".", ","))</f>
        <v>0</v>
      </c>
      <c r="F259" s="364" t="str">
        <f ca="1">IF( ISNA( VLOOKUP( APIF_Import!$M259 &amp; APIF_Import!$F$1,Podesavanja!$AA$3:$AD$24, 4, 0)), "", VLOOKUP( APIF_Import!$C259, INDIRECT( "Lookup_" &amp; APIF_Import!$M259), VLOOKUP( APIF_Import!$M259 &amp; APIF_Import!$F$1,Podesavanja!$AA$3:$AD$24, 4, 0), 0))</f>
        <v/>
      </c>
      <c r="G259" s="364" t="str">
        <f ca="1">IF( ISNA( VLOOKUP( APIF_Import!$M259 &amp; APIF_Import!$G$1,Podesavanja!$AA$3:$AD$24, 4, 0)), "", VLOOKUP( APIF_Import!$C259, INDIRECT( "Lookup_" &amp; APIF_Import!$M259), VLOOKUP( APIF_Import!$M259 &amp; APIF_Import!$G$1,Podesavanja!$AA$3:$AD$24, 4, 0), 0))</f>
        <v/>
      </c>
      <c r="H259" s="364" t="str">
        <f ca="1">IF( ISNA( VLOOKUP( APIF_Import!$M259 &amp; APIF_Import!$H$1,Podesavanja!$AA$3:$AD$24, 4, 0)), "", VLOOKUP( APIF_Import!$C259, INDIRECT( "Lookup_" &amp; APIF_Import!$M259), VLOOKUP( APIF_Import!$M259 &amp; APIF_Import!$H$1,Podesavanja!$AA$3:$AD$24, 4, 0), 0))</f>
        <v/>
      </c>
      <c r="I259" s="364" t="str">
        <f ca="1">IF( ISNA( VLOOKUP( APIF_Import!$M259 &amp; APIF_Import!$I$1,Podesavanja!$AA$3:$AD$24, 4, 0)), "", VLOOKUP( APIF_Import!$C259, INDIRECT( "Lookup_" &amp; APIF_Import!$M259), VLOOKUP( APIF_Import!$M259 &amp; APIF_Import!$I$1,Podesavanja!$AA$3:$AD$24, 4, 0), 0))</f>
        <v/>
      </c>
      <c r="J259" s="364" t="str">
        <f ca="1">IF( ISNA( VLOOKUP( APIF_Import!$M259 &amp; APIF_Import!$J$1,Podesavanja!$AA$3:$AD$24, 4, 0)), "", VLOOKUP( APIF_Import!$C259, INDIRECT( "Lookup_" &amp; APIF_Import!$M259), VLOOKUP( APIF_Import!$M259 &amp; APIF_Import!$J$1,Podesavanja!$AA$3:$AD$24, 4, 0), 0))</f>
        <v/>
      </c>
      <c r="K259" s="364" t="str">
        <f ca="1">IF( ISNA( VLOOKUP( APIF_Import!$M259 &amp; APIF_Import!$K$1,Podesavanja!$AA$3:$AD$24, 4, 0)), "", VLOOKUP( APIF_Import!$C259, INDIRECT( "Lookup_" &amp; APIF_Import!$M259), VLOOKUP( APIF_Import!$M259 &amp; APIF_Import!$K$1,Podesavanja!$AA$3:$AD$24, 4, 0), 0))</f>
        <v/>
      </c>
      <c r="L259" s="8">
        <v>267</v>
      </c>
      <c r="M259" s="8" t="s">
        <v>1508</v>
      </c>
    </row>
    <row r="260" spans="2:13" x14ac:dyDescent="0.2">
      <c r="B260" s="8">
        <f>VLOOKUP( APIF_Import!$M260, Podesavanja!$N$3:$Q$9, 4, 0)</f>
        <v>3</v>
      </c>
      <c r="C260" s="363">
        <f>VLOOKUP( APIF_Import!$L260, Aop!$A$2:$N$415, 4, 0)</f>
        <v>417</v>
      </c>
      <c r="D260" s="364" t="str">
        <f ca="1">IF( ISNA( VLOOKUP( APIF_Import!$M260 &amp; APIF_Import!$D$1,Podesavanja!$AA$3:$AD$24, 4, 0)), "", SUBSTITUTE( VALUE( VLOOKUP( APIF_Import!$C260, INDIRECT( "Lookup_" &amp; APIF_Import!$M260), VLOOKUP( APIF_Import!$M260 &amp; APIF_Import!$D$1,Podesavanja!$AA$3:$AD$24, 4, 0), 0)), ".", ","))</f>
        <v>481465</v>
      </c>
      <c r="E260" s="364" t="str">
        <f ca="1">IF( ISNA( VLOOKUP( APIF_Import!$M260 &amp; APIF_Import!$E$1,Podesavanja!$AA$3:$AD$24, 4, 0)), "", SUBSTITUTE( VALUE( VLOOKUP( APIF_Import!$C260, INDIRECT( "Lookup_" &amp; APIF_Import!$M260), VLOOKUP( APIF_Import!$M260 &amp; APIF_Import!$E$1,Podesavanja!$AA$3:$AD$24, 4, 0), 0)), ".", ","))</f>
        <v>7290</v>
      </c>
      <c r="F260" s="364" t="str">
        <f ca="1">IF( ISNA( VLOOKUP( APIF_Import!$M260 &amp; APIF_Import!$F$1,Podesavanja!$AA$3:$AD$24, 4, 0)), "", VLOOKUP( APIF_Import!$C260, INDIRECT( "Lookup_" &amp; APIF_Import!$M260), VLOOKUP( APIF_Import!$M260 &amp; APIF_Import!$F$1,Podesavanja!$AA$3:$AD$24, 4, 0), 0))</f>
        <v/>
      </c>
      <c r="G260" s="364" t="str">
        <f ca="1">IF( ISNA( VLOOKUP( APIF_Import!$M260 &amp; APIF_Import!$G$1,Podesavanja!$AA$3:$AD$24, 4, 0)), "", VLOOKUP( APIF_Import!$C260, INDIRECT( "Lookup_" &amp; APIF_Import!$M260), VLOOKUP( APIF_Import!$M260 &amp; APIF_Import!$G$1,Podesavanja!$AA$3:$AD$24, 4, 0), 0))</f>
        <v/>
      </c>
      <c r="H260" s="364" t="str">
        <f ca="1">IF( ISNA( VLOOKUP( APIF_Import!$M260 &amp; APIF_Import!$H$1,Podesavanja!$AA$3:$AD$24, 4, 0)), "", VLOOKUP( APIF_Import!$C260, INDIRECT( "Lookup_" &amp; APIF_Import!$M260), VLOOKUP( APIF_Import!$M260 &amp; APIF_Import!$H$1,Podesavanja!$AA$3:$AD$24, 4, 0), 0))</f>
        <v/>
      </c>
      <c r="I260" s="364" t="str">
        <f ca="1">IF( ISNA( VLOOKUP( APIF_Import!$M260 &amp; APIF_Import!$I$1,Podesavanja!$AA$3:$AD$24, 4, 0)), "", VLOOKUP( APIF_Import!$C260, INDIRECT( "Lookup_" &amp; APIF_Import!$M260), VLOOKUP( APIF_Import!$M260 &amp; APIF_Import!$I$1,Podesavanja!$AA$3:$AD$24, 4, 0), 0))</f>
        <v/>
      </c>
      <c r="J260" s="364" t="str">
        <f ca="1">IF( ISNA( VLOOKUP( APIF_Import!$M260 &amp; APIF_Import!$J$1,Podesavanja!$AA$3:$AD$24, 4, 0)), "", VLOOKUP( APIF_Import!$C260, INDIRECT( "Lookup_" &amp; APIF_Import!$M260), VLOOKUP( APIF_Import!$M260 &amp; APIF_Import!$J$1,Podesavanja!$AA$3:$AD$24, 4, 0), 0))</f>
        <v/>
      </c>
      <c r="K260" s="364" t="str">
        <f ca="1">IF( ISNA( VLOOKUP( APIF_Import!$M260 &amp; APIF_Import!$K$1,Podesavanja!$AA$3:$AD$24, 4, 0)), "", VLOOKUP( APIF_Import!$C260, INDIRECT( "Lookup_" &amp; APIF_Import!$M260), VLOOKUP( APIF_Import!$M260 &amp; APIF_Import!$K$1,Podesavanja!$AA$3:$AD$24, 4, 0), 0))</f>
        <v/>
      </c>
      <c r="L260" s="8">
        <v>269</v>
      </c>
      <c r="M260" s="8" t="s">
        <v>1508</v>
      </c>
    </row>
    <row r="261" spans="2:13" x14ac:dyDescent="0.2">
      <c r="B261" s="8">
        <f>VLOOKUP( APIF_Import!$M261, Podesavanja!$N$3:$Q$9, 4, 0)</f>
        <v>3</v>
      </c>
      <c r="C261" s="363">
        <f>VLOOKUP( APIF_Import!$L261, Aop!$A$2:$N$415, 4, 0)</f>
        <v>418</v>
      </c>
      <c r="D261" s="364" t="str">
        <f ca="1">IF( ISNA( VLOOKUP( APIF_Import!$M261 &amp; APIF_Import!$D$1,Podesavanja!$AA$3:$AD$24, 4, 0)), "", SUBSTITUTE( VALUE( VLOOKUP( APIF_Import!$C261, INDIRECT( "Lookup_" &amp; APIF_Import!$M261), VLOOKUP( APIF_Import!$M261 &amp; APIF_Import!$D$1,Podesavanja!$AA$3:$AD$24, 4, 0), 0)), ".", ","))</f>
        <v>0</v>
      </c>
      <c r="E261" s="364" t="str">
        <f ca="1">IF( ISNA( VLOOKUP( APIF_Import!$M261 &amp; APIF_Import!$E$1,Podesavanja!$AA$3:$AD$24, 4, 0)), "", SUBSTITUTE( VALUE( VLOOKUP( APIF_Import!$C261, INDIRECT( "Lookup_" &amp; APIF_Import!$M261), VLOOKUP( APIF_Import!$M261 &amp; APIF_Import!$E$1,Podesavanja!$AA$3:$AD$24, 4, 0), 0)), ".", ","))</f>
        <v>0</v>
      </c>
      <c r="F261" s="364" t="str">
        <f ca="1">IF( ISNA( VLOOKUP( APIF_Import!$M261 &amp; APIF_Import!$F$1,Podesavanja!$AA$3:$AD$24, 4, 0)), "", VLOOKUP( APIF_Import!$C261, INDIRECT( "Lookup_" &amp; APIF_Import!$M261), VLOOKUP( APIF_Import!$M261 &amp; APIF_Import!$F$1,Podesavanja!$AA$3:$AD$24, 4, 0), 0))</f>
        <v/>
      </c>
      <c r="G261" s="364" t="str">
        <f ca="1">IF( ISNA( VLOOKUP( APIF_Import!$M261 &amp; APIF_Import!$G$1,Podesavanja!$AA$3:$AD$24, 4, 0)), "", VLOOKUP( APIF_Import!$C261, INDIRECT( "Lookup_" &amp; APIF_Import!$M261), VLOOKUP( APIF_Import!$M261 &amp; APIF_Import!$G$1,Podesavanja!$AA$3:$AD$24, 4, 0), 0))</f>
        <v/>
      </c>
      <c r="H261" s="364" t="str">
        <f ca="1">IF( ISNA( VLOOKUP( APIF_Import!$M261 &amp; APIF_Import!$H$1,Podesavanja!$AA$3:$AD$24, 4, 0)), "", VLOOKUP( APIF_Import!$C261, INDIRECT( "Lookup_" &amp; APIF_Import!$M261), VLOOKUP( APIF_Import!$M261 &amp; APIF_Import!$H$1,Podesavanja!$AA$3:$AD$24, 4, 0), 0))</f>
        <v/>
      </c>
      <c r="I261" s="364" t="str">
        <f ca="1">IF( ISNA( VLOOKUP( APIF_Import!$M261 &amp; APIF_Import!$I$1,Podesavanja!$AA$3:$AD$24, 4, 0)), "", VLOOKUP( APIF_Import!$C261, INDIRECT( "Lookup_" &amp; APIF_Import!$M261), VLOOKUP( APIF_Import!$M261 &amp; APIF_Import!$I$1,Podesavanja!$AA$3:$AD$24, 4, 0), 0))</f>
        <v/>
      </c>
      <c r="J261" s="364" t="str">
        <f ca="1">IF( ISNA( VLOOKUP( APIF_Import!$M261 &amp; APIF_Import!$J$1,Podesavanja!$AA$3:$AD$24, 4, 0)), "", VLOOKUP( APIF_Import!$C261, INDIRECT( "Lookup_" &amp; APIF_Import!$M261), VLOOKUP( APIF_Import!$M261 &amp; APIF_Import!$J$1,Podesavanja!$AA$3:$AD$24, 4, 0), 0))</f>
        <v/>
      </c>
      <c r="K261" s="364" t="str">
        <f ca="1">IF( ISNA( VLOOKUP( APIF_Import!$M261 &amp; APIF_Import!$K$1,Podesavanja!$AA$3:$AD$24, 4, 0)), "", VLOOKUP( APIF_Import!$C261, INDIRECT( "Lookup_" &amp; APIF_Import!$M261), VLOOKUP( APIF_Import!$M261 &amp; APIF_Import!$K$1,Podesavanja!$AA$3:$AD$24, 4, 0), 0))</f>
        <v/>
      </c>
      <c r="L261" s="8">
        <v>270</v>
      </c>
      <c r="M261" s="8" t="s">
        <v>1508</v>
      </c>
    </row>
    <row r="262" spans="2:13" x14ac:dyDescent="0.2">
      <c r="B262" s="8">
        <f>VLOOKUP( APIF_Import!$M262, Podesavanja!$N$3:$Q$9, 4, 0)</f>
        <v>5</v>
      </c>
      <c r="C262" s="363">
        <f>VLOOKUP( APIF_Import!$L262, Aop!$A$2:$N$415, 4, 0)</f>
        <v>501</v>
      </c>
      <c r="D262" s="364" t="str">
        <f ca="1">IF( ISNA( VLOOKUP( APIF_Import!$M262 &amp; APIF_Import!$D$1,Podesavanja!$AA$3:$AD$24, 4, 0)), "", SUBSTITUTE( VALUE( VLOOKUP( APIF_Import!$C262, INDIRECT( "Lookup_" &amp; APIF_Import!$M262), VLOOKUP( APIF_Import!$M262 &amp; APIF_Import!$D$1,Podesavanja!$AA$3:$AD$24, 4, 0), 0)), ".", ","))</f>
        <v>19401842</v>
      </c>
      <c r="E262" s="364" t="str">
        <f ca="1">IF( ISNA( VLOOKUP( APIF_Import!$M262 &amp; APIF_Import!$E$1,Podesavanja!$AA$3:$AD$24, 4, 0)), "", SUBSTITUTE( VALUE( VLOOKUP( APIF_Import!$C262, INDIRECT( "Lookup_" &amp; APIF_Import!$M262), VLOOKUP( APIF_Import!$M262 &amp; APIF_Import!$E$1,Podesavanja!$AA$3:$AD$24, 4, 0), 0)), ".", ","))</f>
        <v>15061021</v>
      </c>
      <c r="F262" s="364" t="str">
        <f ca="1">IF( ISNA( VLOOKUP( APIF_Import!$M262 &amp; APIF_Import!$F$1,Podesavanja!$AA$3:$AD$24, 4, 0)), "", VLOOKUP( APIF_Import!$C262, INDIRECT( "Lookup_" &amp; APIF_Import!$M262), VLOOKUP( APIF_Import!$M262 &amp; APIF_Import!$F$1,Podesavanja!$AA$3:$AD$24, 4, 0), 0))</f>
        <v/>
      </c>
      <c r="G262" s="364" t="str">
        <f ca="1">IF( ISNA( VLOOKUP( APIF_Import!$M262 &amp; APIF_Import!$G$1,Podesavanja!$AA$3:$AD$24, 4, 0)), "", VLOOKUP( APIF_Import!$C262, INDIRECT( "Lookup_" &amp; APIF_Import!$M262), VLOOKUP( APIF_Import!$M262 &amp; APIF_Import!$G$1,Podesavanja!$AA$3:$AD$24, 4, 0), 0))</f>
        <v/>
      </c>
      <c r="H262" s="364" t="str">
        <f ca="1">IF( ISNA( VLOOKUP( APIF_Import!$M262 &amp; APIF_Import!$H$1,Podesavanja!$AA$3:$AD$24, 4, 0)), "", VLOOKUP( APIF_Import!$C262, INDIRECT( "Lookup_" &amp; APIF_Import!$M262), VLOOKUP( APIF_Import!$M262 &amp; APIF_Import!$H$1,Podesavanja!$AA$3:$AD$24, 4, 0), 0))</f>
        <v/>
      </c>
      <c r="I262" s="364" t="str">
        <f ca="1">IF( ISNA( VLOOKUP( APIF_Import!$M262 &amp; APIF_Import!$I$1,Podesavanja!$AA$3:$AD$24, 4, 0)), "", VLOOKUP( APIF_Import!$C262, INDIRECT( "Lookup_" &amp; APIF_Import!$M262), VLOOKUP( APIF_Import!$M262 &amp; APIF_Import!$I$1,Podesavanja!$AA$3:$AD$24, 4, 0), 0))</f>
        <v/>
      </c>
      <c r="J262" s="364" t="str">
        <f ca="1">IF( ISNA( VLOOKUP( APIF_Import!$M262 &amp; APIF_Import!$J$1,Podesavanja!$AA$3:$AD$24, 4, 0)), "", VLOOKUP( APIF_Import!$C262, INDIRECT( "Lookup_" &amp; APIF_Import!$M262), VLOOKUP( APIF_Import!$M262 &amp; APIF_Import!$J$1,Podesavanja!$AA$3:$AD$24, 4, 0), 0))</f>
        <v/>
      </c>
      <c r="K262" s="364" t="str">
        <f ca="1">IF( ISNA( VLOOKUP( APIF_Import!$M262 &amp; APIF_Import!$K$1,Podesavanja!$AA$3:$AD$24, 4, 0)), "", VLOOKUP( APIF_Import!$C262, INDIRECT( "Lookup_" &amp; APIF_Import!$M262), VLOOKUP( APIF_Import!$M262 &amp; APIF_Import!$K$1,Podesavanja!$AA$3:$AD$24, 4, 0), 0))</f>
        <v/>
      </c>
      <c r="L262" s="8">
        <v>272</v>
      </c>
      <c r="M262" s="8" t="s">
        <v>1374</v>
      </c>
    </row>
    <row r="263" spans="2:13" x14ac:dyDescent="0.2">
      <c r="B263" s="8">
        <f>VLOOKUP( APIF_Import!$M263, Podesavanja!$N$3:$Q$9, 4, 0)</f>
        <v>5</v>
      </c>
      <c r="C263" s="363">
        <f>VLOOKUP( APIF_Import!$L263, Aop!$A$2:$N$415, 4, 0)</f>
        <v>502</v>
      </c>
      <c r="D263" s="364" t="str">
        <f ca="1">IF( ISNA( VLOOKUP( APIF_Import!$M263 &amp; APIF_Import!$D$1,Podesavanja!$AA$3:$AD$24, 4, 0)), "", SUBSTITUTE( VALUE( VLOOKUP( APIF_Import!$C263, INDIRECT( "Lookup_" &amp; APIF_Import!$M263), VLOOKUP( APIF_Import!$M263 &amp; APIF_Import!$D$1,Podesavanja!$AA$3:$AD$24, 4, 0), 0)), ".", ","))</f>
        <v>19343820</v>
      </c>
      <c r="E263" s="364" t="str">
        <f ca="1">IF( ISNA( VLOOKUP( APIF_Import!$M263 &amp; APIF_Import!$E$1,Podesavanja!$AA$3:$AD$24, 4, 0)), "", SUBSTITUTE( VALUE( VLOOKUP( APIF_Import!$C263, INDIRECT( "Lookup_" &amp; APIF_Import!$M263), VLOOKUP( APIF_Import!$M263 &amp; APIF_Import!$E$1,Podesavanja!$AA$3:$AD$24, 4, 0), 0)), ".", ","))</f>
        <v>14976065</v>
      </c>
      <c r="F263" s="364" t="str">
        <f ca="1">IF( ISNA( VLOOKUP( APIF_Import!$M263 &amp; APIF_Import!$F$1,Podesavanja!$AA$3:$AD$24, 4, 0)), "", VLOOKUP( APIF_Import!$C263, INDIRECT( "Lookup_" &amp; APIF_Import!$M263), VLOOKUP( APIF_Import!$M263 &amp; APIF_Import!$F$1,Podesavanja!$AA$3:$AD$24, 4, 0), 0))</f>
        <v/>
      </c>
      <c r="G263" s="364" t="str">
        <f ca="1">IF( ISNA( VLOOKUP( APIF_Import!$M263 &amp; APIF_Import!$G$1,Podesavanja!$AA$3:$AD$24, 4, 0)), "", VLOOKUP( APIF_Import!$C263, INDIRECT( "Lookup_" &amp; APIF_Import!$M263), VLOOKUP( APIF_Import!$M263 &amp; APIF_Import!$G$1,Podesavanja!$AA$3:$AD$24, 4, 0), 0))</f>
        <v/>
      </c>
      <c r="H263" s="364" t="str">
        <f ca="1">IF( ISNA( VLOOKUP( APIF_Import!$M263 &amp; APIF_Import!$H$1,Podesavanja!$AA$3:$AD$24, 4, 0)), "", VLOOKUP( APIF_Import!$C263, INDIRECT( "Lookup_" &amp; APIF_Import!$M263), VLOOKUP( APIF_Import!$M263 &amp; APIF_Import!$H$1,Podesavanja!$AA$3:$AD$24, 4, 0), 0))</f>
        <v/>
      </c>
      <c r="I263" s="364" t="str">
        <f ca="1">IF( ISNA( VLOOKUP( APIF_Import!$M263 &amp; APIF_Import!$I$1,Podesavanja!$AA$3:$AD$24, 4, 0)), "", VLOOKUP( APIF_Import!$C263, INDIRECT( "Lookup_" &amp; APIF_Import!$M263), VLOOKUP( APIF_Import!$M263 &amp; APIF_Import!$I$1,Podesavanja!$AA$3:$AD$24, 4, 0), 0))</f>
        <v/>
      </c>
      <c r="J263" s="364" t="str">
        <f ca="1">IF( ISNA( VLOOKUP( APIF_Import!$M263 &amp; APIF_Import!$J$1,Podesavanja!$AA$3:$AD$24, 4, 0)), "", VLOOKUP( APIF_Import!$C263, INDIRECT( "Lookup_" &amp; APIF_Import!$M263), VLOOKUP( APIF_Import!$M263 &amp; APIF_Import!$J$1,Podesavanja!$AA$3:$AD$24, 4, 0), 0))</f>
        <v/>
      </c>
      <c r="K263" s="364" t="str">
        <f ca="1">IF( ISNA( VLOOKUP( APIF_Import!$M263 &amp; APIF_Import!$K$1,Podesavanja!$AA$3:$AD$24, 4, 0)), "", VLOOKUP( APIF_Import!$C263, INDIRECT( "Lookup_" &amp; APIF_Import!$M263), VLOOKUP( APIF_Import!$M263 &amp; APIF_Import!$K$1,Podesavanja!$AA$3:$AD$24, 4, 0), 0))</f>
        <v/>
      </c>
      <c r="L263" s="8">
        <v>273</v>
      </c>
      <c r="M263" s="8" t="s">
        <v>1374</v>
      </c>
    </row>
    <row r="264" spans="2:13" x14ac:dyDescent="0.2">
      <c r="B264" s="8">
        <f>VLOOKUP( APIF_Import!$M264, Podesavanja!$N$3:$Q$9, 4, 0)</f>
        <v>5</v>
      </c>
      <c r="C264" s="363">
        <f>VLOOKUP( APIF_Import!$L264, Aop!$A$2:$N$415, 4, 0)</f>
        <v>503</v>
      </c>
      <c r="D264" s="364" t="str">
        <f ca="1">IF( ISNA( VLOOKUP( APIF_Import!$M264 &amp; APIF_Import!$D$1,Podesavanja!$AA$3:$AD$24, 4, 0)), "", SUBSTITUTE( VALUE( VLOOKUP( APIF_Import!$C264, INDIRECT( "Lookup_" &amp; APIF_Import!$M264), VLOOKUP( APIF_Import!$M264 &amp; APIF_Import!$D$1,Podesavanja!$AA$3:$AD$24, 4, 0), 0)), ".", ","))</f>
        <v>24268</v>
      </c>
      <c r="E264" s="364" t="str">
        <f ca="1">IF( ISNA( VLOOKUP( APIF_Import!$M264 &amp; APIF_Import!$E$1,Podesavanja!$AA$3:$AD$24, 4, 0)), "", SUBSTITUTE( VALUE( VLOOKUP( APIF_Import!$C264, INDIRECT( "Lookup_" &amp; APIF_Import!$M264), VLOOKUP( APIF_Import!$M264 &amp; APIF_Import!$E$1,Podesavanja!$AA$3:$AD$24, 4, 0), 0)), ".", ","))</f>
        <v>63114</v>
      </c>
      <c r="F264" s="364" t="str">
        <f ca="1">IF( ISNA( VLOOKUP( APIF_Import!$M264 &amp; APIF_Import!$F$1,Podesavanja!$AA$3:$AD$24, 4, 0)), "", VLOOKUP( APIF_Import!$C264, INDIRECT( "Lookup_" &amp; APIF_Import!$M264), VLOOKUP( APIF_Import!$M264 &amp; APIF_Import!$F$1,Podesavanja!$AA$3:$AD$24, 4, 0), 0))</f>
        <v/>
      </c>
      <c r="G264" s="364" t="str">
        <f ca="1">IF( ISNA( VLOOKUP( APIF_Import!$M264 &amp; APIF_Import!$G$1,Podesavanja!$AA$3:$AD$24, 4, 0)), "", VLOOKUP( APIF_Import!$C264, INDIRECT( "Lookup_" &amp; APIF_Import!$M264), VLOOKUP( APIF_Import!$M264 &amp; APIF_Import!$G$1,Podesavanja!$AA$3:$AD$24, 4, 0), 0))</f>
        <v/>
      </c>
      <c r="H264" s="364" t="str">
        <f ca="1">IF( ISNA( VLOOKUP( APIF_Import!$M264 &amp; APIF_Import!$H$1,Podesavanja!$AA$3:$AD$24, 4, 0)), "", VLOOKUP( APIF_Import!$C264, INDIRECT( "Lookup_" &amp; APIF_Import!$M264), VLOOKUP( APIF_Import!$M264 &amp; APIF_Import!$H$1,Podesavanja!$AA$3:$AD$24, 4, 0), 0))</f>
        <v/>
      </c>
      <c r="I264" s="364" t="str">
        <f ca="1">IF( ISNA( VLOOKUP( APIF_Import!$M264 &amp; APIF_Import!$I$1,Podesavanja!$AA$3:$AD$24, 4, 0)), "", VLOOKUP( APIF_Import!$C264, INDIRECT( "Lookup_" &amp; APIF_Import!$M264), VLOOKUP( APIF_Import!$M264 &amp; APIF_Import!$I$1,Podesavanja!$AA$3:$AD$24, 4, 0), 0))</f>
        <v/>
      </c>
      <c r="J264" s="364" t="str">
        <f ca="1">IF( ISNA( VLOOKUP( APIF_Import!$M264 &amp; APIF_Import!$J$1,Podesavanja!$AA$3:$AD$24, 4, 0)), "", VLOOKUP( APIF_Import!$C264, INDIRECT( "Lookup_" &amp; APIF_Import!$M264), VLOOKUP( APIF_Import!$M264 &amp; APIF_Import!$J$1,Podesavanja!$AA$3:$AD$24, 4, 0), 0))</f>
        <v/>
      </c>
      <c r="K264" s="364" t="str">
        <f ca="1">IF( ISNA( VLOOKUP( APIF_Import!$M264 &amp; APIF_Import!$K$1,Podesavanja!$AA$3:$AD$24, 4, 0)), "", VLOOKUP( APIF_Import!$C264, INDIRECT( "Lookup_" &amp; APIF_Import!$M264), VLOOKUP( APIF_Import!$M264 &amp; APIF_Import!$K$1,Podesavanja!$AA$3:$AD$24, 4, 0), 0))</f>
        <v/>
      </c>
      <c r="L264" s="8">
        <v>274</v>
      </c>
      <c r="M264" s="8" t="s">
        <v>1374</v>
      </c>
    </row>
    <row r="265" spans="2:13" x14ac:dyDescent="0.2">
      <c r="B265" s="8">
        <f>VLOOKUP( APIF_Import!$M265, Podesavanja!$N$3:$Q$9, 4, 0)</f>
        <v>5</v>
      </c>
      <c r="C265" s="363">
        <f>VLOOKUP( APIF_Import!$L265, Aop!$A$2:$N$415, 4, 0)</f>
        <v>504</v>
      </c>
      <c r="D265" s="364" t="str">
        <f ca="1">IF( ISNA( VLOOKUP( APIF_Import!$M265 &amp; APIF_Import!$D$1,Podesavanja!$AA$3:$AD$24, 4, 0)), "", SUBSTITUTE( VALUE( VLOOKUP( APIF_Import!$C265, INDIRECT( "Lookup_" &amp; APIF_Import!$M265), VLOOKUP( APIF_Import!$M265 &amp; APIF_Import!$D$1,Podesavanja!$AA$3:$AD$24, 4, 0), 0)), ".", ","))</f>
        <v>33754</v>
      </c>
      <c r="E265" s="364" t="str">
        <f ca="1">IF( ISNA( VLOOKUP( APIF_Import!$M265 &amp; APIF_Import!$E$1,Podesavanja!$AA$3:$AD$24, 4, 0)), "", SUBSTITUTE( VALUE( VLOOKUP( APIF_Import!$C265, INDIRECT( "Lookup_" &amp; APIF_Import!$M265), VLOOKUP( APIF_Import!$M265 &amp; APIF_Import!$E$1,Podesavanja!$AA$3:$AD$24, 4, 0), 0)), ".", ","))</f>
        <v>21842</v>
      </c>
      <c r="F265" s="364" t="str">
        <f ca="1">IF( ISNA( VLOOKUP( APIF_Import!$M265 &amp; APIF_Import!$F$1,Podesavanja!$AA$3:$AD$24, 4, 0)), "", VLOOKUP( APIF_Import!$C265, INDIRECT( "Lookup_" &amp; APIF_Import!$M265), VLOOKUP( APIF_Import!$M265 &amp; APIF_Import!$F$1,Podesavanja!$AA$3:$AD$24, 4, 0), 0))</f>
        <v/>
      </c>
      <c r="G265" s="364" t="str">
        <f ca="1">IF( ISNA( VLOOKUP( APIF_Import!$M265 &amp; APIF_Import!$G$1,Podesavanja!$AA$3:$AD$24, 4, 0)), "", VLOOKUP( APIF_Import!$C265, INDIRECT( "Lookup_" &amp; APIF_Import!$M265), VLOOKUP( APIF_Import!$M265 &amp; APIF_Import!$G$1,Podesavanja!$AA$3:$AD$24, 4, 0), 0))</f>
        <v/>
      </c>
      <c r="H265" s="364" t="str">
        <f ca="1">IF( ISNA( VLOOKUP( APIF_Import!$M265 &amp; APIF_Import!$H$1,Podesavanja!$AA$3:$AD$24, 4, 0)), "", VLOOKUP( APIF_Import!$C265, INDIRECT( "Lookup_" &amp; APIF_Import!$M265), VLOOKUP( APIF_Import!$M265 &amp; APIF_Import!$H$1,Podesavanja!$AA$3:$AD$24, 4, 0), 0))</f>
        <v/>
      </c>
      <c r="I265" s="364" t="str">
        <f ca="1">IF( ISNA( VLOOKUP( APIF_Import!$M265 &amp; APIF_Import!$I$1,Podesavanja!$AA$3:$AD$24, 4, 0)), "", VLOOKUP( APIF_Import!$C265, INDIRECT( "Lookup_" &amp; APIF_Import!$M265), VLOOKUP( APIF_Import!$M265 &amp; APIF_Import!$I$1,Podesavanja!$AA$3:$AD$24, 4, 0), 0))</f>
        <v/>
      </c>
      <c r="J265" s="364" t="str">
        <f ca="1">IF( ISNA( VLOOKUP( APIF_Import!$M265 &amp; APIF_Import!$J$1,Podesavanja!$AA$3:$AD$24, 4, 0)), "", VLOOKUP( APIF_Import!$C265, INDIRECT( "Lookup_" &amp; APIF_Import!$M265), VLOOKUP( APIF_Import!$M265 &amp; APIF_Import!$J$1,Podesavanja!$AA$3:$AD$24, 4, 0), 0))</f>
        <v/>
      </c>
      <c r="K265" s="364" t="str">
        <f ca="1">IF( ISNA( VLOOKUP( APIF_Import!$M265 &amp; APIF_Import!$K$1,Podesavanja!$AA$3:$AD$24, 4, 0)), "", VLOOKUP( APIF_Import!$C265, INDIRECT( "Lookup_" &amp; APIF_Import!$M265), VLOOKUP( APIF_Import!$M265 &amp; APIF_Import!$K$1,Podesavanja!$AA$3:$AD$24, 4, 0), 0))</f>
        <v/>
      </c>
      <c r="L265" s="8">
        <v>275</v>
      </c>
      <c r="M265" s="8" t="s">
        <v>1374</v>
      </c>
    </row>
    <row r="266" spans="2:13" x14ac:dyDescent="0.2">
      <c r="B266" s="8">
        <f>VLOOKUP( APIF_Import!$M266, Podesavanja!$N$3:$Q$9, 4, 0)</f>
        <v>5</v>
      </c>
      <c r="C266" s="363">
        <f>VLOOKUP( APIF_Import!$L266, Aop!$A$2:$N$415, 4, 0)</f>
        <v>505</v>
      </c>
      <c r="D266" s="364" t="str">
        <f ca="1">IF( ISNA( VLOOKUP( APIF_Import!$M266 &amp; APIF_Import!$D$1,Podesavanja!$AA$3:$AD$24, 4, 0)), "", SUBSTITUTE( VALUE( VLOOKUP( APIF_Import!$C266, INDIRECT( "Lookup_" &amp; APIF_Import!$M266), VLOOKUP( APIF_Import!$M266 &amp; APIF_Import!$D$1,Podesavanja!$AA$3:$AD$24, 4, 0), 0)), ".", ","))</f>
        <v>18194606</v>
      </c>
      <c r="E266" s="364" t="str">
        <f ca="1">IF( ISNA( VLOOKUP( APIF_Import!$M266 &amp; APIF_Import!$E$1,Podesavanja!$AA$3:$AD$24, 4, 0)), "", SUBSTITUTE( VALUE( VLOOKUP( APIF_Import!$C266, INDIRECT( "Lookup_" &amp; APIF_Import!$M266), VLOOKUP( APIF_Import!$M266 &amp; APIF_Import!$E$1,Podesavanja!$AA$3:$AD$24, 4, 0), 0)), ".", ","))</f>
        <v>14912633</v>
      </c>
      <c r="F266" s="364" t="str">
        <f ca="1">IF( ISNA( VLOOKUP( APIF_Import!$M266 &amp; APIF_Import!$F$1,Podesavanja!$AA$3:$AD$24, 4, 0)), "", VLOOKUP( APIF_Import!$C266, INDIRECT( "Lookup_" &amp; APIF_Import!$M266), VLOOKUP( APIF_Import!$M266 &amp; APIF_Import!$F$1,Podesavanja!$AA$3:$AD$24, 4, 0), 0))</f>
        <v/>
      </c>
      <c r="G266" s="364" t="str">
        <f ca="1">IF( ISNA( VLOOKUP( APIF_Import!$M266 &amp; APIF_Import!$G$1,Podesavanja!$AA$3:$AD$24, 4, 0)), "", VLOOKUP( APIF_Import!$C266, INDIRECT( "Lookup_" &amp; APIF_Import!$M266), VLOOKUP( APIF_Import!$M266 &amp; APIF_Import!$G$1,Podesavanja!$AA$3:$AD$24, 4, 0), 0))</f>
        <v/>
      </c>
      <c r="H266" s="364" t="str">
        <f ca="1">IF( ISNA( VLOOKUP( APIF_Import!$M266 &amp; APIF_Import!$H$1,Podesavanja!$AA$3:$AD$24, 4, 0)), "", VLOOKUP( APIF_Import!$C266, INDIRECT( "Lookup_" &amp; APIF_Import!$M266), VLOOKUP( APIF_Import!$M266 &amp; APIF_Import!$H$1,Podesavanja!$AA$3:$AD$24, 4, 0), 0))</f>
        <v/>
      </c>
      <c r="I266" s="364" t="str">
        <f ca="1">IF( ISNA( VLOOKUP( APIF_Import!$M266 &amp; APIF_Import!$I$1,Podesavanja!$AA$3:$AD$24, 4, 0)), "", VLOOKUP( APIF_Import!$C266, INDIRECT( "Lookup_" &amp; APIF_Import!$M266), VLOOKUP( APIF_Import!$M266 &amp; APIF_Import!$I$1,Podesavanja!$AA$3:$AD$24, 4, 0), 0))</f>
        <v/>
      </c>
      <c r="J266" s="364" t="str">
        <f ca="1">IF( ISNA( VLOOKUP( APIF_Import!$M266 &amp; APIF_Import!$J$1,Podesavanja!$AA$3:$AD$24, 4, 0)), "", VLOOKUP( APIF_Import!$C266, INDIRECT( "Lookup_" &amp; APIF_Import!$M266), VLOOKUP( APIF_Import!$M266 &amp; APIF_Import!$J$1,Podesavanja!$AA$3:$AD$24, 4, 0), 0))</f>
        <v/>
      </c>
      <c r="K266" s="364" t="str">
        <f ca="1">IF( ISNA( VLOOKUP( APIF_Import!$M266 &amp; APIF_Import!$K$1,Podesavanja!$AA$3:$AD$24, 4, 0)), "", VLOOKUP( APIF_Import!$C266, INDIRECT( "Lookup_" &amp; APIF_Import!$M266), VLOOKUP( APIF_Import!$M266 &amp; APIF_Import!$K$1,Podesavanja!$AA$3:$AD$24, 4, 0), 0))</f>
        <v/>
      </c>
      <c r="L266" s="8">
        <v>276</v>
      </c>
      <c r="M266" s="8" t="s">
        <v>1374</v>
      </c>
    </row>
    <row r="267" spans="2:13" x14ac:dyDescent="0.2">
      <c r="B267" s="8">
        <f>VLOOKUP( APIF_Import!$M267, Podesavanja!$N$3:$Q$9, 4, 0)</f>
        <v>5</v>
      </c>
      <c r="C267" s="363">
        <f>VLOOKUP( APIF_Import!$L267, Aop!$A$2:$N$415, 4, 0)</f>
        <v>506</v>
      </c>
      <c r="D267" s="364" t="str">
        <f ca="1">IF( ISNA( VLOOKUP( APIF_Import!$M267 &amp; APIF_Import!$D$1,Podesavanja!$AA$3:$AD$24, 4, 0)), "", SUBSTITUTE( VALUE( VLOOKUP( APIF_Import!$C267, INDIRECT( "Lookup_" &amp; APIF_Import!$M267), VLOOKUP( APIF_Import!$M267 &amp; APIF_Import!$D$1,Podesavanja!$AA$3:$AD$24, 4, 0), 0)), ".", ","))</f>
        <v>14493112</v>
      </c>
      <c r="E267" s="364" t="str">
        <f ca="1">IF( ISNA( VLOOKUP( APIF_Import!$M267 &amp; APIF_Import!$E$1,Podesavanja!$AA$3:$AD$24, 4, 0)), "", SUBSTITUTE( VALUE( VLOOKUP( APIF_Import!$C267, INDIRECT( "Lookup_" &amp; APIF_Import!$M267), VLOOKUP( APIF_Import!$M267 &amp; APIF_Import!$E$1,Podesavanja!$AA$3:$AD$24, 4, 0), 0)), ".", ","))</f>
        <v>12044949</v>
      </c>
      <c r="F267" s="364" t="str">
        <f ca="1">IF( ISNA( VLOOKUP( APIF_Import!$M267 &amp; APIF_Import!$F$1,Podesavanja!$AA$3:$AD$24, 4, 0)), "", VLOOKUP( APIF_Import!$C267, INDIRECT( "Lookup_" &amp; APIF_Import!$M267), VLOOKUP( APIF_Import!$M267 &amp; APIF_Import!$F$1,Podesavanja!$AA$3:$AD$24, 4, 0), 0))</f>
        <v/>
      </c>
      <c r="G267" s="364" t="str">
        <f ca="1">IF( ISNA( VLOOKUP( APIF_Import!$M267 &amp; APIF_Import!$G$1,Podesavanja!$AA$3:$AD$24, 4, 0)), "", VLOOKUP( APIF_Import!$C267, INDIRECT( "Lookup_" &amp; APIF_Import!$M267), VLOOKUP( APIF_Import!$M267 &amp; APIF_Import!$G$1,Podesavanja!$AA$3:$AD$24, 4, 0), 0))</f>
        <v/>
      </c>
      <c r="H267" s="364" t="str">
        <f ca="1">IF( ISNA( VLOOKUP( APIF_Import!$M267 &amp; APIF_Import!$H$1,Podesavanja!$AA$3:$AD$24, 4, 0)), "", VLOOKUP( APIF_Import!$C267, INDIRECT( "Lookup_" &amp; APIF_Import!$M267), VLOOKUP( APIF_Import!$M267 &amp; APIF_Import!$H$1,Podesavanja!$AA$3:$AD$24, 4, 0), 0))</f>
        <v/>
      </c>
      <c r="I267" s="364" t="str">
        <f ca="1">IF( ISNA( VLOOKUP( APIF_Import!$M267 &amp; APIF_Import!$I$1,Podesavanja!$AA$3:$AD$24, 4, 0)), "", VLOOKUP( APIF_Import!$C267, INDIRECT( "Lookup_" &amp; APIF_Import!$M267), VLOOKUP( APIF_Import!$M267 &amp; APIF_Import!$I$1,Podesavanja!$AA$3:$AD$24, 4, 0), 0))</f>
        <v/>
      </c>
      <c r="J267" s="364" t="str">
        <f ca="1">IF( ISNA( VLOOKUP( APIF_Import!$M267 &amp; APIF_Import!$J$1,Podesavanja!$AA$3:$AD$24, 4, 0)), "", VLOOKUP( APIF_Import!$C267, INDIRECT( "Lookup_" &amp; APIF_Import!$M267), VLOOKUP( APIF_Import!$M267 &amp; APIF_Import!$J$1,Podesavanja!$AA$3:$AD$24, 4, 0), 0))</f>
        <v/>
      </c>
      <c r="K267" s="364" t="str">
        <f ca="1">IF( ISNA( VLOOKUP( APIF_Import!$M267 &amp; APIF_Import!$K$1,Podesavanja!$AA$3:$AD$24, 4, 0)), "", VLOOKUP( APIF_Import!$C267, INDIRECT( "Lookup_" &amp; APIF_Import!$M267), VLOOKUP( APIF_Import!$M267 &amp; APIF_Import!$K$1,Podesavanja!$AA$3:$AD$24, 4, 0), 0))</f>
        <v/>
      </c>
      <c r="L267" s="8">
        <v>277</v>
      </c>
      <c r="M267" s="8" t="s">
        <v>1374</v>
      </c>
    </row>
    <row r="268" spans="2:13" x14ac:dyDescent="0.2">
      <c r="B268" s="8">
        <f>VLOOKUP( APIF_Import!$M268, Podesavanja!$N$3:$Q$9, 4, 0)</f>
        <v>5</v>
      </c>
      <c r="C268" s="363">
        <f>VLOOKUP( APIF_Import!$L268, Aop!$A$2:$N$415, 4, 0)</f>
        <v>507</v>
      </c>
      <c r="D268" s="364" t="str">
        <f ca="1">IF( ISNA( VLOOKUP( APIF_Import!$M268 &amp; APIF_Import!$D$1,Podesavanja!$AA$3:$AD$24, 4, 0)), "", SUBSTITUTE( VALUE( VLOOKUP( APIF_Import!$C268, INDIRECT( "Lookup_" &amp; APIF_Import!$M268), VLOOKUP( APIF_Import!$M268 &amp; APIF_Import!$D$1,Podesavanja!$AA$3:$AD$24, 4, 0), 0)), ".", ","))</f>
        <v>1215931</v>
      </c>
      <c r="E268" s="364" t="str">
        <f ca="1">IF( ISNA( VLOOKUP( APIF_Import!$M268 &amp; APIF_Import!$E$1,Podesavanja!$AA$3:$AD$24, 4, 0)), "", SUBSTITUTE( VALUE( VLOOKUP( APIF_Import!$C268, INDIRECT( "Lookup_" &amp; APIF_Import!$M268), VLOOKUP( APIF_Import!$M268 &amp; APIF_Import!$E$1,Podesavanja!$AA$3:$AD$24, 4, 0), 0)), ".", ","))</f>
        <v>1037444</v>
      </c>
      <c r="F268" s="364" t="str">
        <f ca="1">IF( ISNA( VLOOKUP( APIF_Import!$M268 &amp; APIF_Import!$F$1,Podesavanja!$AA$3:$AD$24, 4, 0)), "", VLOOKUP( APIF_Import!$C268, INDIRECT( "Lookup_" &amp; APIF_Import!$M268), VLOOKUP( APIF_Import!$M268 &amp; APIF_Import!$F$1,Podesavanja!$AA$3:$AD$24, 4, 0), 0))</f>
        <v/>
      </c>
      <c r="G268" s="364" t="str">
        <f ca="1">IF( ISNA( VLOOKUP( APIF_Import!$M268 &amp; APIF_Import!$G$1,Podesavanja!$AA$3:$AD$24, 4, 0)), "", VLOOKUP( APIF_Import!$C268, INDIRECT( "Lookup_" &amp; APIF_Import!$M268), VLOOKUP( APIF_Import!$M268 &amp; APIF_Import!$G$1,Podesavanja!$AA$3:$AD$24, 4, 0), 0))</f>
        <v/>
      </c>
      <c r="H268" s="364" t="str">
        <f ca="1">IF( ISNA( VLOOKUP( APIF_Import!$M268 &amp; APIF_Import!$H$1,Podesavanja!$AA$3:$AD$24, 4, 0)), "", VLOOKUP( APIF_Import!$C268, INDIRECT( "Lookup_" &amp; APIF_Import!$M268), VLOOKUP( APIF_Import!$M268 &amp; APIF_Import!$H$1,Podesavanja!$AA$3:$AD$24, 4, 0), 0))</f>
        <v/>
      </c>
      <c r="I268" s="364" t="str">
        <f ca="1">IF( ISNA( VLOOKUP( APIF_Import!$M268 &amp; APIF_Import!$I$1,Podesavanja!$AA$3:$AD$24, 4, 0)), "", VLOOKUP( APIF_Import!$C268, INDIRECT( "Lookup_" &amp; APIF_Import!$M268), VLOOKUP( APIF_Import!$M268 &amp; APIF_Import!$I$1,Podesavanja!$AA$3:$AD$24, 4, 0), 0))</f>
        <v/>
      </c>
      <c r="J268" s="364" t="str">
        <f ca="1">IF( ISNA( VLOOKUP( APIF_Import!$M268 &amp; APIF_Import!$J$1,Podesavanja!$AA$3:$AD$24, 4, 0)), "", VLOOKUP( APIF_Import!$C268, INDIRECT( "Lookup_" &amp; APIF_Import!$M268), VLOOKUP( APIF_Import!$M268 &amp; APIF_Import!$J$1,Podesavanja!$AA$3:$AD$24, 4, 0), 0))</f>
        <v/>
      </c>
      <c r="K268" s="364" t="str">
        <f ca="1">IF( ISNA( VLOOKUP( APIF_Import!$M268 &amp; APIF_Import!$K$1,Podesavanja!$AA$3:$AD$24, 4, 0)), "", VLOOKUP( APIF_Import!$C268, INDIRECT( "Lookup_" &amp; APIF_Import!$M268), VLOOKUP( APIF_Import!$M268 &amp; APIF_Import!$K$1,Podesavanja!$AA$3:$AD$24, 4, 0), 0))</f>
        <v/>
      </c>
      <c r="L268" s="8">
        <v>278</v>
      </c>
      <c r="M268" s="8" t="s">
        <v>1374</v>
      </c>
    </row>
    <row r="269" spans="2:13" x14ac:dyDescent="0.2">
      <c r="B269" s="8">
        <f>VLOOKUP( APIF_Import!$M269, Podesavanja!$N$3:$Q$9, 4, 0)</f>
        <v>5</v>
      </c>
      <c r="C269" s="363">
        <f>VLOOKUP( APIF_Import!$L269, Aop!$A$2:$N$415, 4, 0)</f>
        <v>508</v>
      </c>
      <c r="D269" s="364" t="str">
        <f ca="1">IF( ISNA( VLOOKUP( APIF_Import!$M269 &amp; APIF_Import!$D$1,Podesavanja!$AA$3:$AD$24, 4, 0)), "", SUBSTITUTE( VALUE( VLOOKUP( APIF_Import!$C269, INDIRECT( "Lookup_" &amp; APIF_Import!$M269), VLOOKUP( APIF_Import!$M269 &amp; APIF_Import!$D$1,Podesavanja!$AA$3:$AD$24, 4, 0), 0)), ".", ","))</f>
        <v>94643</v>
      </c>
      <c r="E269" s="364" t="str">
        <f ca="1">IF( ISNA( VLOOKUP( APIF_Import!$M269 &amp; APIF_Import!$E$1,Podesavanja!$AA$3:$AD$24, 4, 0)), "", SUBSTITUTE( VALUE( VLOOKUP( APIF_Import!$C269, INDIRECT( "Lookup_" &amp; APIF_Import!$M269), VLOOKUP( APIF_Import!$M269 &amp; APIF_Import!$E$1,Podesavanja!$AA$3:$AD$24, 4, 0), 0)), ".", ","))</f>
        <v>113571</v>
      </c>
      <c r="F269" s="364" t="str">
        <f ca="1">IF( ISNA( VLOOKUP( APIF_Import!$M269 &amp; APIF_Import!$F$1,Podesavanja!$AA$3:$AD$24, 4, 0)), "", VLOOKUP( APIF_Import!$C269, INDIRECT( "Lookup_" &amp; APIF_Import!$M269), VLOOKUP( APIF_Import!$M269 &amp; APIF_Import!$F$1,Podesavanja!$AA$3:$AD$24, 4, 0), 0))</f>
        <v/>
      </c>
      <c r="G269" s="364" t="str">
        <f ca="1">IF( ISNA( VLOOKUP( APIF_Import!$M269 &amp; APIF_Import!$G$1,Podesavanja!$AA$3:$AD$24, 4, 0)), "", VLOOKUP( APIF_Import!$C269, INDIRECT( "Lookup_" &amp; APIF_Import!$M269), VLOOKUP( APIF_Import!$M269 &amp; APIF_Import!$G$1,Podesavanja!$AA$3:$AD$24, 4, 0), 0))</f>
        <v/>
      </c>
      <c r="H269" s="364" t="str">
        <f ca="1">IF( ISNA( VLOOKUP( APIF_Import!$M269 &amp; APIF_Import!$H$1,Podesavanja!$AA$3:$AD$24, 4, 0)), "", VLOOKUP( APIF_Import!$C269, INDIRECT( "Lookup_" &amp; APIF_Import!$M269), VLOOKUP( APIF_Import!$M269 &amp; APIF_Import!$H$1,Podesavanja!$AA$3:$AD$24, 4, 0), 0))</f>
        <v/>
      </c>
      <c r="I269" s="364" t="str">
        <f ca="1">IF( ISNA( VLOOKUP( APIF_Import!$M269 &amp; APIF_Import!$I$1,Podesavanja!$AA$3:$AD$24, 4, 0)), "", VLOOKUP( APIF_Import!$C269, INDIRECT( "Lookup_" &amp; APIF_Import!$M269), VLOOKUP( APIF_Import!$M269 &amp; APIF_Import!$I$1,Podesavanja!$AA$3:$AD$24, 4, 0), 0))</f>
        <v/>
      </c>
      <c r="J269" s="364" t="str">
        <f ca="1">IF( ISNA( VLOOKUP( APIF_Import!$M269 &amp; APIF_Import!$J$1,Podesavanja!$AA$3:$AD$24, 4, 0)), "", VLOOKUP( APIF_Import!$C269, INDIRECT( "Lookup_" &amp; APIF_Import!$M269), VLOOKUP( APIF_Import!$M269 &amp; APIF_Import!$J$1,Podesavanja!$AA$3:$AD$24, 4, 0), 0))</f>
        <v/>
      </c>
      <c r="K269" s="364" t="str">
        <f ca="1">IF( ISNA( VLOOKUP( APIF_Import!$M269 &amp; APIF_Import!$K$1,Podesavanja!$AA$3:$AD$24, 4, 0)), "", VLOOKUP( APIF_Import!$C269, INDIRECT( "Lookup_" &amp; APIF_Import!$M269), VLOOKUP( APIF_Import!$M269 &amp; APIF_Import!$K$1,Podesavanja!$AA$3:$AD$24, 4, 0), 0))</f>
        <v/>
      </c>
      <c r="L269" s="8">
        <v>279</v>
      </c>
      <c r="M269" s="8" t="s">
        <v>1374</v>
      </c>
    </row>
    <row r="270" spans="2:13" x14ac:dyDescent="0.2">
      <c r="B270" s="8">
        <f>VLOOKUP( APIF_Import!$M270, Podesavanja!$N$3:$Q$9, 4, 0)</f>
        <v>5</v>
      </c>
      <c r="C270" s="363">
        <f>VLOOKUP( APIF_Import!$L270, Aop!$A$2:$N$415, 4, 0)</f>
        <v>509</v>
      </c>
      <c r="D270" s="364" t="str">
        <f ca="1">IF( ISNA( VLOOKUP( APIF_Import!$M270 &amp; APIF_Import!$D$1,Podesavanja!$AA$3:$AD$24, 4, 0)), "", SUBSTITUTE( VALUE( VLOOKUP( APIF_Import!$C270, INDIRECT( "Lookup_" &amp; APIF_Import!$M270), VLOOKUP( APIF_Import!$M270 &amp; APIF_Import!$D$1,Podesavanja!$AA$3:$AD$24, 4, 0), 0)), ".", ","))</f>
        <v>4862</v>
      </c>
      <c r="E270" s="364" t="str">
        <f ca="1">IF( ISNA( VLOOKUP( APIF_Import!$M270 &amp; APIF_Import!$E$1,Podesavanja!$AA$3:$AD$24, 4, 0)), "", SUBSTITUTE( VALUE( VLOOKUP( APIF_Import!$C270, INDIRECT( "Lookup_" &amp; APIF_Import!$M270), VLOOKUP( APIF_Import!$M270 &amp; APIF_Import!$E$1,Podesavanja!$AA$3:$AD$24, 4, 0), 0)), ".", ","))</f>
        <v>19882</v>
      </c>
      <c r="F270" s="364" t="str">
        <f ca="1">IF( ISNA( VLOOKUP( APIF_Import!$M270 &amp; APIF_Import!$F$1,Podesavanja!$AA$3:$AD$24, 4, 0)), "", VLOOKUP( APIF_Import!$C270, INDIRECT( "Lookup_" &amp; APIF_Import!$M270), VLOOKUP( APIF_Import!$M270 &amp; APIF_Import!$F$1,Podesavanja!$AA$3:$AD$24, 4, 0), 0))</f>
        <v/>
      </c>
      <c r="G270" s="364" t="str">
        <f ca="1">IF( ISNA( VLOOKUP( APIF_Import!$M270 &amp; APIF_Import!$G$1,Podesavanja!$AA$3:$AD$24, 4, 0)), "", VLOOKUP( APIF_Import!$C270, INDIRECT( "Lookup_" &amp; APIF_Import!$M270), VLOOKUP( APIF_Import!$M270 &amp; APIF_Import!$G$1,Podesavanja!$AA$3:$AD$24, 4, 0), 0))</f>
        <v/>
      </c>
      <c r="H270" s="364" t="str">
        <f ca="1">IF( ISNA( VLOOKUP( APIF_Import!$M270 &amp; APIF_Import!$H$1,Podesavanja!$AA$3:$AD$24, 4, 0)), "", VLOOKUP( APIF_Import!$C270, INDIRECT( "Lookup_" &amp; APIF_Import!$M270), VLOOKUP( APIF_Import!$M270 &amp; APIF_Import!$H$1,Podesavanja!$AA$3:$AD$24, 4, 0), 0))</f>
        <v/>
      </c>
      <c r="I270" s="364" t="str">
        <f ca="1">IF( ISNA( VLOOKUP( APIF_Import!$M270 &amp; APIF_Import!$I$1,Podesavanja!$AA$3:$AD$24, 4, 0)), "", VLOOKUP( APIF_Import!$C270, INDIRECT( "Lookup_" &amp; APIF_Import!$M270), VLOOKUP( APIF_Import!$M270 &amp; APIF_Import!$I$1,Podesavanja!$AA$3:$AD$24, 4, 0), 0))</f>
        <v/>
      </c>
      <c r="J270" s="364" t="str">
        <f ca="1">IF( ISNA( VLOOKUP( APIF_Import!$M270 &amp; APIF_Import!$J$1,Podesavanja!$AA$3:$AD$24, 4, 0)), "", VLOOKUP( APIF_Import!$C270, INDIRECT( "Lookup_" &amp; APIF_Import!$M270), VLOOKUP( APIF_Import!$M270 &amp; APIF_Import!$J$1,Podesavanja!$AA$3:$AD$24, 4, 0), 0))</f>
        <v/>
      </c>
      <c r="K270" s="364" t="str">
        <f ca="1">IF( ISNA( VLOOKUP( APIF_Import!$M270 &amp; APIF_Import!$K$1,Podesavanja!$AA$3:$AD$24, 4, 0)), "", VLOOKUP( APIF_Import!$C270, INDIRECT( "Lookup_" &amp; APIF_Import!$M270), VLOOKUP( APIF_Import!$M270 &amp; APIF_Import!$K$1,Podesavanja!$AA$3:$AD$24, 4, 0), 0))</f>
        <v/>
      </c>
      <c r="L270" s="8">
        <v>280</v>
      </c>
      <c r="M270" s="8" t="s">
        <v>1374</v>
      </c>
    </row>
    <row r="271" spans="2:13" x14ac:dyDescent="0.2">
      <c r="B271" s="8">
        <f>VLOOKUP( APIF_Import!$M271, Podesavanja!$N$3:$Q$9, 4, 0)</f>
        <v>5</v>
      </c>
      <c r="C271" s="363">
        <f>VLOOKUP( APIF_Import!$L271, Aop!$A$2:$N$415, 4, 0)</f>
        <v>510</v>
      </c>
      <c r="D271" s="364" t="str">
        <f ca="1">IF( ISNA( VLOOKUP( APIF_Import!$M271 &amp; APIF_Import!$D$1,Podesavanja!$AA$3:$AD$24, 4, 0)), "", SUBSTITUTE( VALUE( VLOOKUP( APIF_Import!$C271, INDIRECT( "Lookup_" &amp; APIF_Import!$M271), VLOOKUP( APIF_Import!$M271 &amp; APIF_Import!$D$1,Podesavanja!$AA$3:$AD$24, 4, 0), 0)), ".", ","))</f>
        <v>2386058</v>
      </c>
      <c r="E271" s="364" t="str">
        <f ca="1">IF( ISNA( VLOOKUP( APIF_Import!$M271 &amp; APIF_Import!$E$1,Podesavanja!$AA$3:$AD$24, 4, 0)), "", SUBSTITUTE( VALUE( VLOOKUP( APIF_Import!$C271, INDIRECT( "Lookup_" &amp; APIF_Import!$M271), VLOOKUP( APIF_Import!$M271 &amp; APIF_Import!$E$1,Podesavanja!$AA$3:$AD$24, 4, 0), 0)), ".", ","))</f>
        <v>1696787</v>
      </c>
      <c r="F271" s="364" t="str">
        <f ca="1">IF( ISNA( VLOOKUP( APIF_Import!$M271 &amp; APIF_Import!$F$1,Podesavanja!$AA$3:$AD$24, 4, 0)), "", VLOOKUP( APIF_Import!$C271, INDIRECT( "Lookup_" &amp; APIF_Import!$M271), VLOOKUP( APIF_Import!$M271 &amp; APIF_Import!$F$1,Podesavanja!$AA$3:$AD$24, 4, 0), 0))</f>
        <v/>
      </c>
      <c r="G271" s="364" t="str">
        <f ca="1">IF( ISNA( VLOOKUP( APIF_Import!$M271 &amp; APIF_Import!$G$1,Podesavanja!$AA$3:$AD$24, 4, 0)), "", VLOOKUP( APIF_Import!$C271, INDIRECT( "Lookup_" &amp; APIF_Import!$M271), VLOOKUP( APIF_Import!$M271 &amp; APIF_Import!$G$1,Podesavanja!$AA$3:$AD$24, 4, 0), 0))</f>
        <v/>
      </c>
      <c r="H271" s="364" t="str">
        <f ca="1">IF( ISNA( VLOOKUP( APIF_Import!$M271 &amp; APIF_Import!$H$1,Podesavanja!$AA$3:$AD$24, 4, 0)), "", VLOOKUP( APIF_Import!$C271, INDIRECT( "Lookup_" &amp; APIF_Import!$M271), VLOOKUP( APIF_Import!$M271 &amp; APIF_Import!$H$1,Podesavanja!$AA$3:$AD$24, 4, 0), 0))</f>
        <v/>
      </c>
      <c r="I271" s="364" t="str">
        <f ca="1">IF( ISNA( VLOOKUP( APIF_Import!$M271 &amp; APIF_Import!$I$1,Podesavanja!$AA$3:$AD$24, 4, 0)), "", VLOOKUP( APIF_Import!$C271, INDIRECT( "Lookup_" &amp; APIF_Import!$M271), VLOOKUP( APIF_Import!$M271 &amp; APIF_Import!$I$1,Podesavanja!$AA$3:$AD$24, 4, 0), 0))</f>
        <v/>
      </c>
      <c r="J271" s="364" t="str">
        <f ca="1">IF( ISNA( VLOOKUP( APIF_Import!$M271 &amp; APIF_Import!$J$1,Podesavanja!$AA$3:$AD$24, 4, 0)), "", VLOOKUP( APIF_Import!$C271, INDIRECT( "Lookup_" &amp; APIF_Import!$M271), VLOOKUP( APIF_Import!$M271 &amp; APIF_Import!$J$1,Podesavanja!$AA$3:$AD$24, 4, 0), 0))</f>
        <v/>
      </c>
      <c r="K271" s="364" t="str">
        <f ca="1">IF( ISNA( VLOOKUP( APIF_Import!$M271 &amp; APIF_Import!$K$1,Podesavanja!$AA$3:$AD$24, 4, 0)), "", VLOOKUP( APIF_Import!$C271, INDIRECT( "Lookup_" &amp; APIF_Import!$M271), VLOOKUP( APIF_Import!$M271 &amp; APIF_Import!$K$1,Podesavanja!$AA$3:$AD$24, 4, 0), 0))</f>
        <v/>
      </c>
      <c r="L271" s="8">
        <v>281</v>
      </c>
      <c r="M271" s="8" t="s">
        <v>1374</v>
      </c>
    </row>
    <row r="272" spans="2:13" x14ac:dyDescent="0.2">
      <c r="B272" s="8">
        <f>VLOOKUP( APIF_Import!$M272, Podesavanja!$N$3:$Q$9, 4, 0)</f>
        <v>5</v>
      </c>
      <c r="C272" s="363">
        <f>VLOOKUP( APIF_Import!$L272, Aop!$A$2:$N$415, 4, 0)</f>
        <v>511</v>
      </c>
      <c r="D272" s="364" t="str">
        <f ca="1">IF( ISNA( VLOOKUP( APIF_Import!$M272 &amp; APIF_Import!$D$1,Podesavanja!$AA$3:$AD$24, 4, 0)), "", SUBSTITUTE( VALUE( VLOOKUP( APIF_Import!$C272, INDIRECT( "Lookup_" &amp; APIF_Import!$M272), VLOOKUP( APIF_Import!$M272 &amp; APIF_Import!$D$1,Podesavanja!$AA$3:$AD$24, 4, 0), 0)), ".", ","))</f>
        <v>1207236</v>
      </c>
      <c r="E272" s="364" t="str">
        <f ca="1">IF( ISNA( VLOOKUP( APIF_Import!$M272 &amp; APIF_Import!$E$1,Podesavanja!$AA$3:$AD$24, 4, 0)), "", SUBSTITUTE( VALUE( VLOOKUP( APIF_Import!$C272, INDIRECT( "Lookup_" &amp; APIF_Import!$M272), VLOOKUP( APIF_Import!$M272 &amp; APIF_Import!$E$1,Podesavanja!$AA$3:$AD$24, 4, 0), 0)), ".", ","))</f>
        <v>148388</v>
      </c>
      <c r="F272" s="364" t="str">
        <f ca="1">IF( ISNA( VLOOKUP( APIF_Import!$M272 &amp; APIF_Import!$F$1,Podesavanja!$AA$3:$AD$24, 4, 0)), "", VLOOKUP( APIF_Import!$C272, INDIRECT( "Lookup_" &amp; APIF_Import!$M272), VLOOKUP( APIF_Import!$M272 &amp; APIF_Import!$F$1,Podesavanja!$AA$3:$AD$24, 4, 0), 0))</f>
        <v/>
      </c>
      <c r="G272" s="364" t="str">
        <f ca="1">IF( ISNA( VLOOKUP( APIF_Import!$M272 &amp; APIF_Import!$G$1,Podesavanja!$AA$3:$AD$24, 4, 0)), "", VLOOKUP( APIF_Import!$C272, INDIRECT( "Lookup_" &amp; APIF_Import!$M272), VLOOKUP( APIF_Import!$M272 &amp; APIF_Import!$G$1,Podesavanja!$AA$3:$AD$24, 4, 0), 0))</f>
        <v/>
      </c>
      <c r="H272" s="364" t="str">
        <f ca="1">IF( ISNA( VLOOKUP( APIF_Import!$M272 &amp; APIF_Import!$H$1,Podesavanja!$AA$3:$AD$24, 4, 0)), "", VLOOKUP( APIF_Import!$C272, INDIRECT( "Lookup_" &amp; APIF_Import!$M272), VLOOKUP( APIF_Import!$M272 &amp; APIF_Import!$H$1,Podesavanja!$AA$3:$AD$24, 4, 0), 0))</f>
        <v/>
      </c>
      <c r="I272" s="364" t="str">
        <f ca="1">IF( ISNA( VLOOKUP( APIF_Import!$M272 &amp; APIF_Import!$I$1,Podesavanja!$AA$3:$AD$24, 4, 0)), "", VLOOKUP( APIF_Import!$C272, INDIRECT( "Lookup_" &amp; APIF_Import!$M272), VLOOKUP( APIF_Import!$M272 &amp; APIF_Import!$I$1,Podesavanja!$AA$3:$AD$24, 4, 0), 0))</f>
        <v/>
      </c>
      <c r="J272" s="364" t="str">
        <f ca="1">IF( ISNA( VLOOKUP( APIF_Import!$M272 &amp; APIF_Import!$J$1,Podesavanja!$AA$3:$AD$24, 4, 0)), "", VLOOKUP( APIF_Import!$C272, INDIRECT( "Lookup_" &amp; APIF_Import!$M272), VLOOKUP( APIF_Import!$M272 &amp; APIF_Import!$J$1,Podesavanja!$AA$3:$AD$24, 4, 0), 0))</f>
        <v/>
      </c>
      <c r="K272" s="364" t="str">
        <f ca="1">IF( ISNA( VLOOKUP( APIF_Import!$M272 &amp; APIF_Import!$K$1,Podesavanja!$AA$3:$AD$24, 4, 0)), "", VLOOKUP( APIF_Import!$C272, INDIRECT( "Lookup_" &amp; APIF_Import!$M272), VLOOKUP( APIF_Import!$M272 &amp; APIF_Import!$K$1,Podesavanja!$AA$3:$AD$24, 4, 0), 0))</f>
        <v/>
      </c>
      <c r="L272" s="8">
        <v>282</v>
      </c>
      <c r="M272" s="8" t="s">
        <v>1374</v>
      </c>
    </row>
    <row r="273" spans="2:13" x14ac:dyDescent="0.2">
      <c r="B273" s="8">
        <f>VLOOKUP( APIF_Import!$M273, Podesavanja!$N$3:$Q$9, 4, 0)</f>
        <v>5</v>
      </c>
      <c r="C273" s="363">
        <f>VLOOKUP( APIF_Import!$L273, Aop!$A$2:$N$415, 4, 0)</f>
        <v>512</v>
      </c>
      <c r="D273" s="364" t="str">
        <f ca="1">IF( ISNA( VLOOKUP( APIF_Import!$M273 &amp; APIF_Import!$D$1,Podesavanja!$AA$3:$AD$24, 4, 0)), "", SUBSTITUTE( VALUE( VLOOKUP( APIF_Import!$C273, INDIRECT( "Lookup_" &amp; APIF_Import!$M273), VLOOKUP( APIF_Import!$M273 &amp; APIF_Import!$D$1,Podesavanja!$AA$3:$AD$24, 4, 0), 0)), ".", ","))</f>
        <v>0</v>
      </c>
      <c r="E273" s="364" t="str">
        <f ca="1">IF( ISNA( VLOOKUP( APIF_Import!$M273 &amp; APIF_Import!$E$1,Podesavanja!$AA$3:$AD$24, 4, 0)), "", SUBSTITUTE( VALUE( VLOOKUP( APIF_Import!$C273, INDIRECT( "Lookup_" &amp; APIF_Import!$M273), VLOOKUP( APIF_Import!$M273 &amp; APIF_Import!$E$1,Podesavanja!$AA$3:$AD$24, 4, 0), 0)), ".", ","))</f>
        <v>0</v>
      </c>
      <c r="F273" s="364" t="str">
        <f ca="1">IF( ISNA( VLOOKUP( APIF_Import!$M273 &amp; APIF_Import!$F$1,Podesavanja!$AA$3:$AD$24, 4, 0)), "", VLOOKUP( APIF_Import!$C273, INDIRECT( "Lookup_" &amp; APIF_Import!$M273), VLOOKUP( APIF_Import!$M273 &amp; APIF_Import!$F$1,Podesavanja!$AA$3:$AD$24, 4, 0), 0))</f>
        <v/>
      </c>
      <c r="G273" s="364" t="str">
        <f ca="1">IF( ISNA( VLOOKUP( APIF_Import!$M273 &amp; APIF_Import!$G$1,Podesavanja!$AA$3:$AD$24, 4, 0)), "", VLOOKUP( APIF_Import!$C273, INDIRECT( "Lookup_" &amp; APIF_Import!$M273), VLOOKUP( APIF_Import!$M273 &amp; APIF_Import!$G$1,Podesavanja!$AA$3:$AD$24, 4, 0), 0))</f>
        <v/>
      </c>
      <c r="H273" s="364" t="str">
        <f ca="1">IF( ISNA( VLOOKUP( APIF_Import!$M273 &amp; APIF_Import!$H$1,Podesavanja!$AA$3:$AD$24, 4, 0)), "", VLOOKUP( APIF_Import!$C273, INDIRECT( "Lookup_" &amp; APIF_Import!$M273), VLOOKUP( APIF_Import!$M273 &amp; APIF_Import!$H$1,Podesavanja!$AA$3:$AD$24, 4, 0), 0))</f>
        <v/>
      </c>
      <c r="I273" s="364" t="str">
        <f ca="1">IF( ISNA( VLOOKUP( APIF_Import!$M273 &amp; APIF_Import!$I$1,Podesavanja!$AA$3:$AD$24, 4, 0)), "", VLOOKUP( APIF_Import!$C273, INDIRECT( "Lookup_" &amp; APIF_Import!$M273), VLOOKUP( APIF_Import!$M273 &amp; APIF_Import!$I$1,Podesavanja!$AA$3:$AD$24, 4, 0), 0))</f>
        <v/>
      </c>
      <c r="J273" s="364" t="str">
        <f ca="1">IF( ISNA( VLOOKUP( APIF_Import!$M273 &amp; APIF_Import!$J$1,Podesavanja!$AA$3:$AD$24, 4, 0)), "", VLOOKUP( APIF_Import!$C273, INDIRECT( "Lookup_" &amp; APIF_Import!$M273), VLOOKUP( APIF_Import!$M273 &amp; APIF_Import!$J$1,Podesavanja!$AA$3:$AD$24, 4, 0), 0))</f>
        <v/>
      </c>
      <c r="K273" s="364" t="str">
        <f ca="1">IF( ISNA( VLOOKUP( APIF_Import!$M273 &amp; APIF_Import!$K$1,Podesavanja!$AA$3:$AD$24, 4, 0)), "", VLOOKUP( APIF_Import!$C273, INDIRECT( "Lookup_" &amp; APIF_Import!$M273), VLOOKUP( APIF_Import!$M273 &amp; APIF_Import!$K$1,Podesavanja!$AA$3:$AD$24, 4, 0), 0))</f>
        <v/>
      </c>
      <c r="L273" s="8">
        <v>283</v>
      </c>
      <c r="M273" s="8" t="s">
        <v>1374</v>
      </c>
    </row>
    <row r="274" spans="2:13" x14ac:dyDescent="0.2">
      <c r="B274" s="8">
        <f>VLOOKUP( APIF_Import!$M274, Podesavanja!$N$3:$Q$9, 4, 0)</f>
        <v>5</v>
      </c>
      <c r="C274" s="363">
        <f>VLOOKUP( APIF_Import!$L274, Aop!$A$2:$N$415, 4, 0)</f>
        <v>513</v>
      </c>
      <c r="D274" s="364" t="str">
        <f ca="1">IF( ISNA( VLOOKUP( APIF_Import!$M274 &amp; APIF_Import!$D$1,Podesavanja!$AA$3:$AD$24, 4, 0)), "", SUBSTITUTE( VALUE( VLOOKUP( APIF_Import!$C274, INDIRECT( "Lookup_" &amp; APIF_Import!$M274), VLOOKUP( APIF_Import!$M274 &amp; APIF_Import!$D$1,Podesavanja!$AA$3:$AD$24, 4, 0), 0)), ".", ","))</f>
        <v>62034</v>
      </c>
      <c r="E274" s="364" t="str">
        <f ca="1">IF( ISNA( VLOOKUP( APIF_Import!$M274 &amp; APIF_Import!$E$1,Podesavanja!$AA$3:$AD$24, 4, 0)), "", SUBSTITUTE( VALUE( VLOOKUP( APIF_Import!$C274, INDIRECT( "Lookup_" &amp; APIF_Import!$M274), VLOOKUP( APIF_Import!$M274 &amp; APIF_Import!$E$1,Podesavanja!$AA$3:$AD$24, 4, 0), 0)), ".", ","))</f>
        <v>14465</v>
      </c>
      <c r="F274" s="364" t="str">
        <f ca="1">IF( ISNA( VLOOKUP( APIF_Import!$M274 &amp; APIF_Import!$F$1,Podesavanja!$AA$3:$AD$24, 4, 0)), "", VLOOKUP( APIF_Import!$C274, INDIRECT( "Lookup_" &amp; APIF_Import!$M274), VLOOKUP( APIF_Import!$M274 &amp; APIF_Import!$F$1,Podesavanja!$AA$3:$AD$24, 4, 0), 0))</f>
        <v/>
      </c>
      <c r="G274" s="364" t="str">
        <f ca="1">IF( ISNA( VLOOKUP( APIF_Import!$M274 &amp; APIF_Import!$G$1,Podesavanja!$AA$3:$AD$24, 4, 0)), "", VLOOKUP( APIF_Import!$C274, INDIRECT( "Lookup_" &amp; APIF_Import!$M274), VLOOKUP( APIF_Import!$M274 &amp; APIF_Import!$G$1,Podesavanja!$AA$3:$AD$24, 4, 0), 0))</f>
        <v/>
      </c>
      <c r="H274" s="364" t="str">
        <f ca="1">IF( ISNA( VLOOKUP( APIF_Import!$M274 &amp; APIF_Import!$H$1,Podesavanja!$AA$3:$AD$24, 4, 0)), "", VLOOKUP( APIF_Import!$C274, INDIRECT( "Lookup_" &amp; APIF_Import!$M274), VLOOKUP( APIF_Import!$M274 &amp; APIF_Import!$H$1,Podesavanja!$AA$3:$AD$24, 4, 0), 0))</f>
        <v/>
      </c>
      <c r="I274" s="364" t="str">
        <f ca="1">IF( ISNA( VLOOKUP( APIF_Import!$M274 &amp; APIF_Import!$I$1,Podesavanja!$AA$3:$AD$24, 4, 0)), "", VLOOKUP( APIF_Import!$C274, INDIRECT( "Lookup_" &amp; APIF_Import!$M274), VLOOKUP( APIF_Import!$M274 &amp; APIF_Import!$I$1,Podesavanja!$AA$3:$AD$24, 4, 0), 0))</f>
        <v/>
      </c>
      <c r="J274" s="364" t="str">
        <f ca="1">IF( ISNA( VLOOKUP( APIF_Import!$M274 &amp; APIF_Import!$J$1,Podesavanja!$AA$3:$AD$24, 4, 0)), "", VLOOKUP( APIF_Import!$C274, INDIRECT( "Lookup_" &amp; APIF_Import!$M274), VLOOKUP( APIF_Import!$M274 &amp; APIF_Import!$J$1,Podesavanja!$AA$3:$AD$24, 4, 0), 0))</f>
        <v/>
      </c>
      <c r="K274" s="364" t="str">
        <f ca="1">IF( ISNA( VLOOKUP( APIF_Import!$M274 &amp; APIF_Import!$K$1,Podesavanja!$AA$3:$AD$24, 4, 0)), "", VLOOKUP( APIF_Import!$C274, INDIRECT( "Lookup_" &amp; APIF_Import!$M274), VLOOKUP( APIF_Import!$M274 &amp; APIF_Import!$K$1,Podesavanja!$AA$3:$AD$24, 4, 0), 0))</f>
        <v/>
      </c>
      <c r="L274" s="8">
        <v>285</v>
      </c>
      <c r="M274" s="8" t="s">
        <v>1374</v>
      </c>
    </row>
    <row r="275" spans="2:13" x14ac:dyDescent="0.2">
      <c r="B275" s="8">
        <f>VLOOKUP( APIF_Import!$M275, Podesavanja!$N$3:$Q$9, 4, 0)</f>
        <v>5</v>
      </c>
      <c r="C275" s="363">
        <f>VLOOKUP( APIF_Import!$L275, Aop!$A$2:$N$415, 4, 0)</f>
        <v>514</v>
      </c>
      <c r="D275" s="364" t="str">
        <f ca="1">IF( ISNA( VLOOKUP( APIF_Import!$M275 &amp; APIF_Import!$D$1,Podesavanja!$AA$3:$AD$24, 4, 0)), "", SUBSTITUTE( VALUE( VLOOKUP( APIF_Import!$C275, INDIRECT( "Lookup_" &amp; APIF_Import!$M275), VLOOKUP( APIF_Import!$M275 &amp; APIF_Import!$D$1,Podesavanja!$AA$3:$AD$24, 4, 0), 0)), ".", ","))</f>
        <v>0</v>
      </c>
      <c r="E275" s="364" t="str">
        <f ca="1">IF( ISNA( VLOOKUP( APIF_Import!$M275 &amp; APIF_Import!$E$1,Podesavanja!$AA$3:$AD$24, 4, 0)), "", SUBSTITUTE( VALUE( VLOOKUP( APIF_Import!$C275, INDIRECT( "Lookup_" &amp; APIF_Import!$M275), VLOOKUP( APIF_Import!$M275 &amp; APIF_Import!$E$1,Podesavanja!$AA$3:$AD$24, 4, 0), 0)), ".", ","))</f>
        <v>0</v>
      </c>
      <c r="F275" s="364" t="str">
        <f ca="1">IF( ISNA( VLOOKUP( APIF_Import!$M275 &amp; APIF_Import!$F$1,Podesavanja!$AA$3:$AD$24, 4, 0)), "", VLOOKUP( APIF_Import!$C275, INDIRECT( "Lookup_" &amp; APIF_Import!$M275), VLOOKUP( APIF_Import!$M275 &amp; APIF_Import!$F$1,Podesavanja!$AA$3:$AD$24, 4, 0), 0))</f>
        <v/>
      </c>
      <c r="G275" s="364" t="str">
        <f ca="1">IF( ISNA( VLOOKUP( APIF_Import!$M275 &amp; APIF_Import!$G$1,Podesavanja!$AA$3:$AD$24, 4, 0)), "", VLOOKUP( APIF_Import!$C275, INDIRECT( "Lookup_" &amp; APIF_Import!$M275), VLOOKUP( APIF_Import!$M275 &amp; APIF_Import!$G$1,Podesavanja!$AA$3:$AD$24, 4, 0), 0))</f>
        <v/>
      </c>
      <c r="H275" s="364" t="str">
        <f ca="1">IF( ISNA( VLOOKUP( APIF_Import!$M275 &amp; APIF_Import!$H$1,Podesavanja!$AA$3:$AD$24, 4, 0)), "", VLOOKUP( APIF_Import!$C275, INDIRECT( "Lookup_" &amp; APIF_Import!$M275), VLOOKUP( APIF_Import!$M275 &amp; APIF_Import!$H$1,Podesavanja!$AA$3:$AD$24, 4, 0), 0))</f>
        <v/>
      </c>
      <c r="I275" s="364" t="str">
        <f ca="1">IF( ISNA( VLOOKUP( APIF_Import!$M275 &amp; APIF_Import!$I$1,Podesavanja!$AA$3:$AD$24, 4, 0)), "", VLOOKUP( APIF_Import!$C275, INDIRECT( "Lookup_" &amp; APIF_Import!$M275), VLOOKUP( APIF_Import!$M275 &amp; APIF_Import!$I$1,Podesavanja!$AA$3:$AD$24, 4, 0), 0))</f>
        <v/>
      </c>
      <c r="J275" s="364" t="str">
        <f ca="1">IF( ISNA( VLOOKUP( APIF_Import!$M275 &amp; APIF_Import!$J$1,Podesavanja!$AA$3:$AD$24, 4, 0)), "", VLOOKUP( APIF_Import!$C275, INDIRECT( "Lookup_" &amp; APIF_Import!$M275), VLOOKUP( APIF_Import!$M275 &amp; APIF_Import!$J$1,Podesavanja!$AA$3:$AD$24, 4, 0), 0))</f>
        <v/>
      </c>
      <c r="K275" s="364" t="str">
        <f ca="1">IF( ISNA( VLOOKUP( APIF_Import!$M275 &amp; APIF_Import!$K$1,Podesavanja!$AA$3:$AD$24, 4, 0)), "", VLOOKUP( APIF_Import!$C275, INDIRECT( "Lookup_" &amp; APIF_Import!$M275), VLOOKUP( APIF_Import!$M275 &amp; APIF_Import!$K$1,Podesavanja!$AA$3:$AD$24, 4, 0), 0))</f>
        <v/>
      </c>
      <c r="L275" s="8">
        <v>286</v>
      </c>
      <c r="M275" s="8" t="s">
        <v>1374</v>
      </c>
    </row>
    <row r="276" spans="2:13" x14ac:dyDescent="0.2">
      <c r="B276" s="8">
        <f>VLOOKUP( APIF_Import!$M276, Podesavanja!$N$3:$Q$9, 4, 0)</f>
        <v>5</v>
      </c>
      <c r="C276" s="363">
        <f>VLOOKUP( APIF_Import!$L276, Aop!$A$2:$N$415, 4, 0)</f>
        <v>515</v>
      </c>
      <c r="D276" s="364" t="str">
        <f ca="1">IF( ISNA( VLOOKUP( APIF_Import!$M276 &amp; APIF_Import!$D$1,Podesavanja!$AA$3:$AD$24, 4, 0)), "", SUBSTITUTE( VALUE( VLOOKUP( APIF_Import!$C276, INDIRECT( "Lookup_" &amp; APIF_Import!$M276), VLOOKUP( APIF_Import!$M276 &amp; APIF_Import!$D$1,Podesavanja!$AA$3:$AD$24, 4, 0), 0)), ".", ","))</f>
        <v>0</v>
      </c>
      <c r="E276" s="364" t="str">
        <f ca="1">IF( ISNA( VLOOKUP( APIF_Import!$M276 &amp; APIF_Import!$E$1,Podesavanja!$AA$3:$AD$24, 4, 0)), "", SUBSTITUTE( VALUE( VLOOKUP( APIF_Import!$C276, INDIRECT( "Lookup_" &amp; APIF_Import!$M276), VLOOKUP( APIF_Import!$M276 &amp; APIF_Import!$E$1,Podesavanja!$AA$3:$AD$24, 4, 0), 0)), ".", ","))</f>
        <v>0</v>
      </c>
      <c r="F276" s="364" t="str">
        <f ca="1">IF( ISNA( VLOOKUP( APIF_Import!$M276 &amp; APIF_Import!$F$1,Podesavanja!$AA$3:$AD$24, 4, 0)), "", VLOOKUP( APIF_Import!$C276, INDIRECT( "Lookup_" &amp; APIF_Import!$M276), VLOOKUP( APIF_Import!$M276 &amp; APIF_Import!$F$1,Podesavanja!$AA$3:$AD$24, 4, 0), 0))</f>
        <v/>
      </c>
      <c r="G276" s="364" t="str">
        <f ca="1">IF( ISNA( VLOOKUP( APIF_Import!$M276 &amp; APIF_Import!$G$1,Podesavanja!$AA$3:$AD$24, 4, 0)), "", VLOOKUP( APIF_Import!$C276, INDIRECT( "Lookup_" &amp; APIF_Import!$M276), VLOOKUP( APIF_Import!$M276 &amp; APIF_Import!$G$1,Podesavanja!$AA$3:$AD$24, 4, 0), 0))</f>
        <v/>
      </c>
      <c r="H276" s="364" t="str">
        <f ca="1">IF( ISNA( VLOOKUP( APIF_Import!$M276 &amp; APIF_Import!$H$1,Podesavanja!$AA$3:$AD$24, 4, 0)), "", VLOOKUP( APIF_Import!$C276, INDIRECT( "Lookup_" &amp; APIF_Import!$M276), VLOOKUP( APIF_Import!$M276 &amp; APIF_Import!$H$1,Podesavanja!$AA$3:$AD$24, 4, 0), 0))</f>
        <v/>
      </c>
      <c r="I276" s="364" t="str">
        <f ca="1">IF( ISNA( VLOOKUP( APIF_Import!$M276 &amp; APIF_Import!$I$1,Podesavanja!$AA$3:$AD$24, 4, 0)), "", VLOOKUP( APIF_Import!$C276, INDIRECT( "Lookup_" &amp; APIF_Import!$M276), VLOOKUP( APIF_Import!$M276 &amp; APIF_Import!$I$1,Podesavanja!$AA$3:$AD$24, 4, 0), 0))</f>
        <v/>
      </c>
      <c r="J276" s="364" t="str">
        <f ca="1">IF( ISNA( VLOOKUP( APIF_Import!$M276 &amp; APIF_Import!$J$1,Podesavanja!$AA$3:$AD$24, 4, 0)), "", VLOOKUP( APIF_Import!$C276, INDIRECT( "Lookup_" &amp; APIF_Import!$M276), VLOOKUP( APIF_Import!$M276 &amp; APIF_Import!$J$1,Podesavanja!$AA$3:$AD$24, 4, 0), 0))</f>
        <v/>
      </c>
      <c r="K276" s="364" t="str">
        <f ca="1">IF( ISNA( VLOOKUP( APIF_Import!$M276 &amp; APIF_Import!$K$1,Podesavanja!$AA$3:$AD$24, 4, 0)), "", VLOOKUP( APIF_Import!$C276, INDIRECT( "Lookup_" &amp; APIF_Import!$M276), VLOOKUP( APIF_Import!$M276 &amp; APIF_Import!$K$1,Podesavanja!$AA$3:$AD$24, 4, 0), 0))</f>
        <v/>
      </c>
      <c r="L276" s="8">
        <v>287</v>
      </c>
      <c r="M276" s="8" t="s">
        <v>1374</v>
      </c>
    </row>
    <row r="277" spans="2:13" x14ac:dyDescent="0.2">
      <c r="B277" s="8">
        <f>VLOOKUP( APIF_Import!$M277, Podesavanja!$N$3:$Q$9, 4, 0)</f>
        <v>5</v>
      </c>
      <c r="C277" s="363">
        <f>VLOOKUP( APIF_Import!$L277, Aop!$A$2:$N$415, 4, 0)</f>
        <v>516</v>
      </c>
      <c r="D277" s="364" t="str">
        <f ca="1">IF( ISNA( VLOOKUP( APIF_Import!$M277 &amp; APIF_Import!$D$1,Podesavanja!$AA$3:$AD$24, 4, 0)), "", SUBSTITUTE( VALUE( VLOOKUP( APIF_Import!$C277, INDIRECT( "Lookup_" &amp; APIF_Import!$M277), VLOOKUP( APIF_Import!$M277 &amp; APIF_Import!$D$1,Podesavanja!$AA$3:$AD$24, 4, 0), 0)), ".", ","))</f>
        <v>3755</v>
      </c>
      <c r="E277" s="364" t="str">
        <f ca="1">IF( ISNA( VLOOKUP( APIF_Import!$M277 &amp; APIF_Import!$E$1,Podesavanja!$AA$3:$AD$24, 4, 0)), "", SUBSTITUTE( VALUE( VLOOKUP( APIF_Import!$C277, INDIRECT( "Lookup_" &amp; APIF_Import!$M277), VLOOKUP( APIF_Import!$M277 &amp; APIF_Import!$E$1,Podesavanja!$AA$3:$AD$24, 4, 0), 0)), ".", ","))</f>
        <v>14465</v>
      </c>
      <c r="F277" s="364" t="str">
        <f ca="1">IF( ISNA( VLOOKUP( APIF_Import!$M277 &amp; APIF_Import!$F$1,Podesavanja!$AA$3:$AD$24, 4, 0)), "", VLOOKUP( APIF_Import!$C277, INDIRECT( "Lookup_" &amp; APIF_Import!$M277), VLOOKUP( APIF_Import!$M277 &amp; APIF_Import!$F$1,Podesavanja!$AA$3:$AD$24, 4, 0), 0))</f>
        <v/>
      </c>
      <c r="G277" s="364" t="str">
        <f ca="1">IF( ISNA( VLOOKUP( APIF_Import!$M277 &amp; APIF_Import!$G$1,Podesavanja!$AA$3:$AD$24, 4, 0)), "", VLOOKUP( APIF_Import!$C277, INDIRECT( "Lookup_" &amp; APIF_Import!$M277), VLOOKUP( APIF_Import!$M277 &amp; APIF_Import!$G$1,Podesavanja!$AA$3:$AD$24, 4, 0), 0))</f>
        <v/>
      </c>
      <c r="H277" s="364" t="str">
        <f ca="1">IF( ISNA( VLOOKUP( APIF_Import!$M277 &amp; APIF_Import!$H$1,Podesavanja!$AA$3:$AD$24, 4, 0)), "", VLOOKUP( APIF_Import!$C277, INDIRECT( "Lookup_" &amp; APIF_Import!$M277), VLOOKUP( APIF_Import!$M277 &amp; APIF_Import!$H$1,Podesavanja!$AA$3:$AD$24, 4, 0), 0))</f>
        <v/>
      </c>
      <c r="I277" s="364" t="str">
        <f ca="1">IF( ISNA( VLOOKUP( APIF_Import!$M277 &amp; APIF_Import!$I$1,Podesavanja!$AA$3:$AD$24, 4, 0)), "", VLOOKUP( APIF_Import!$C277, INDIRECT( "Lookup_" &amp; APIF_Import!$M277), VLOOKUP( APIF_Import!$M277 &amp; APIF_Import!$I$1,Podesavanja!$AA$3:$AD$24, 4, 0), 0))</f>
        <v/>
      </c>
      <c r="J277" s="364" t="str">
        <f ca="1">IF( ISNA( VLOOKUP( APIF_Import!$M277 &amp; APIF_Import!$J$1,Podesavanja!$AA$3:$AD$24, 4, 0)), "", VLOOKUP( APIF_Import!$C277, INDIRECT( "Lookup_" &amp; APIF_Import!$M277), VLOOKUP( APIF_Import!$M277 &amp; APIF_Import!$J$1,Podesavanja!$AA$3:$AD$24, 4, 0), 0))</f>
        <v/>
      </c>
      <c r="K277" s="364" t="str">
        <f ca="1">IF( ISNA( VLOOKUP( APIF_Import!$M277 &amp; APIF_Import!$K$1,Podesavanja!$AA$3:$AD$24, 4, 0)), "", VLOOKUP( APIF_Import!$C277, INDIRECT( "Lookup_" &amp; APIF_Import!$M277), VLOOKUP( APIF_Import!$M277 &amp; APIF_Import!$K$1,Podesavanja!$AA$3:$AD$24, 4, 0), 0))</f>
        <v/>
      </c>
      <c r="L277" s="8">
        <v>288</v>
      </c>
      <c r="M277" s="8" t="s">
        <v>1374</v>
      </c>
    </row>
    <row r="278" spans="2:13" x14ac:dyDescent="0.2">
      <c r="B278" s="8">
        <f>VLOOKUP( APIF_Import!$M278, Podesavanja!$N$3:$Q$9, 4, 0)</f>
        <v>5</v>
      </c>
      <c r="C278" s="363">
        <f>VLOOKUP( APIF_Import!$L278, Aop!$A$2:$N$415, 4, 0)</f>
        <v>517</v>
      </c>
      <c r="D278" s="364" t="str">
        <f ca="1">IF( ISNA( VLOOKUP( APIF_Import!$M278 &amp; APIF_Import!$D$1,Podesavanja!$AA$3:$AD$24, 4, 0)), "", SUBSTITUTE( VALUE( VLOOKUP( APIF_Import!$C278, INDIRECT( "Lookup_" &amp; APIF_Import!$M278), VLOOKUP( APIF_Import!$M278 &amp; APIF_Import!$D$1,Podesavanja!$AA$3:$AD$24, 4, 0), 0)), ".", ","))</f>
        <v>0</v>
      </c>
      <c r="E278" s="364" t="str">
        <f ca="1">IF( ISNA( VLOOKUP( APIF_Import!$M278 &amp; APIF_Import!$E$1,Podesavanja!$AA$3:$AD$24, 4, 0)), "", SUBSTITUTE( VALUE( VLOOKUP( APIF_Import!$C278, INDIRECT( "Lookup_" &amp; APIF_Import!$M278), VLOOKUP( APIF_Import!$M278 &amp; APIF_Import!$E$1,Podesavanja!$AA$3:$AD$24, 4, 0), 0)), ".", ","))</f>
        <v>0</v>
      </c>
      <c r="F278" s="364" t="str">
        <f ca="1">IF( ISNA( VLOOKUP( APIF_Import!$M278 &amp; APIF_Import!$F$1,Podesavanja!$AA$3:$AD$24, 4, 0)), "", VLOOKUP( APIF_Import!$C278, INDIRECT( "Lookup_" &amp; APIF_Import!$M278), VLOOKUP( APIF_Import!$M278 &amp; APIF_Import!$F$1,Podesavanja!$AA$3:$AD$24, 4, 0), 0))</f>
        <v/>
      </c>
      <c r="G278" s="364" t="str">
        <f ca="1">IF( ISNA( VLOOKUP( APIF_Import!$M278 &amp; APIF_Import!$G$1,Podesavanja!$AA$3:$AD$24, 4, 0)), "", VLOOKUP( APIF_Import!$C278, INDIRECT( "Lookup_" &amp; APIF_Import!$M278), VLOOKUP( APIF_Import!$M278 &amp; APIF_Import!$G$1,Podesavanja!$AA$3:$AD$24, 4, 0), 0))</f>
        <v/>
      </c>
      <c r="H278" s="364" t="str">
        <f ca="1">IF( ISNA( VLOOKUP( APIF_Import!$M278 &amp; APIF_Import!$H$1,Podesavanja!$AA$3:$AD$24, 4, 0)), "", VLOOKUP( APIF_Import!$C278, INDIRECT( "Lookup_" &amp; APIF_Import!$M278), VLOOKUP( APIF_Import!$M278 &amp; APIF_Import!$H$1,Podesavanja!$AA$3:$AD$24, 4, 0), 0))</f>
        <v/>
      </c>
      <c r="I278" s="364" t="str">
        <f ca="1">IF( ISNA( VLOOKUP( APIF_Import!$M278 &amp; APIF_Import!$I$1,Podesavanja!$AA$3:$AD$24, 4, 0)), "", VLOOKUP( APIF_Import!$C278, INDIRECT( "Lookup_" &amp; APIF_Import!$M278), VLOOKUP( APIF_Import!$M278 &amp; APIF_Import!$I$1,Podesavanja!$AA$3:$AD$24, 4, 0), 0))</f>
        <v/>
      </c>
      <c r="J278" s="364" t="str">
        <f ca="1">IF( ISNA( VLOOKUP( APIF_Import!$M278 &amp; APIF_Import!$J$1,Podesavanja!$AA$3:$AD$24, 4, 0)), "", VLOOKUP( APIF_Import!$C278, INDIRECT( "Lookup_" &amp; APIF_Import!$M278), VLOOKUP( APIF_Import!$M278 &amp; APIF_Import!$J$1,Podesavanja!$AA$3:$AD$24, 4, 0), 0))</f>
        <v/>
      </c>
      <c r="K278" s="364" t="str">
        <f ca="1">IF( ISNA( VLOOKUP( APIF_Import!$M278 &amp; APIF_Import!$K$1,Podesavanja!$AA$3:$AD$24, 4, 0)), "", VLOOKUP( APIF_Import!$C278, INDIRECT( "Lookup_" &amp; APIF_Import!$M278), VLOOKUP( APIF_Import!$M278 &amp; APIF_Import!$K$1,Podesavanja!$AA$3:$AD$24, 4, 0), 0))</f>
        <v/>
      </c>
      <c r="L278" s="8">
        <v>289</v>
      </c>
      <c r="M278" s="8" t="s">
        <v>1374</v>
      </c>
    </row>
    <row r="279" spans="2:13" x14ac:dyDescent="0.2">
      <c r="B279" s="8">
        <f>VLOOKUP( APIF_Import!$M279, Podesavanja!$N$3:$Q$9, 4, 0)</f>
        <v>5</v>
      </c>
      <c r="C279" s="363">
        <f>VLOOKUP( APIF_Import!$L279, Aop!$A$2:$N$415, 4, 0)</f>
        <v>518</v>
      </c>
      <c r="D279" s="364" t="str">
        <f ca="1">IF( ISNA( VLOOKUP( APIF_Import!$M279 &amp; APIF_Import!$D$1,Podesavanja!$AA$3:$AD$24, 4, 0)), "", SUBSTITUTE( VALUE( VLOOKUP( APIF_Import!$C279, INDIRECT( "Lookup_" &amp; APIF_Import!$M279), VLOOKUP( APIF_Import!$M279 &amp; APIF_Import!$D$1,Podesavanja!$AA$3:$AD$24, 4, 0), 0)), ".", ","))</f>
        <v>58279</v>
      </c>
      <c r="E279" s="364" t="str">
        <f ca="1">IF( ISNA( VLOOKUP( APIF_Import!$M279 &amp; APIF_Import!$E$1,Podesavanja!$AA$3:$AD$24, 4, 0)), "", SUBSTITUTE( VALUE( VLOOKUP( APIF_Import!$C279, INDIRECT( "Lookup_" &amp; APIF_Import!$M279), VLOOKUP( APIF_Import!$M279 &amp; APIF_Import!$E$1,Podesavanja!$AA$3:$AD$24, 4, 0), 0)), ".", ","))</f>
        <v>0</v>
      </c>
      <c r="F279" s="364" t="str">
        <f ca="1">IF( ISNA( VLOOKUP( APIF_Import!$M279 &amp; APIF_Import!$F$1,Podesavanja!$AA$3:$AD$24, 4, 0)), "", VLOOKUP( APIF_Import!$C279, INDIRECT( "Lookup_" &amp; APIF_Import!$M279), VLOOKUP( APIF_Import!$M279 &amp; APIF_Import!$F$1,Podesavanja!$AA$3:$AD$24, 4, 0), 0))</f>
        <v/>
      </c>
      <c r="G279" s="364" t="str">
        <f ca="1">IF( ISNA( VLOOKUP( APIF_Import!$M279 &amp; APIF_Import!$G$1,Podesavanja!$AA$3:$AD$24, 4, 0)), "", VLOOKUP( APIF_Import!$C279, INDIRECT( "Lookup_" &amp; APIF_Import!$M279), VLOOKUP( APIF_Import!$M279 &amp; APIF_Import!$G$1,Podesavanja!$AA$3:$AD$24, 4, 0), 0))</f>
        <v/>
      </c>
      <c r="H279" s="364" t="str">
        <f ca="1">IF( ISNA( VLOOKUP( APIF_Import!$M279 &amp; APIF_Import!$H$1,Podesavanja!$AA$3:$AD$24, 4, 0)), "", VLOOKUP( APIF_Import!$C279, INDIRECT( "Lookup_" &amp; APIF_Import!$M279), VLOOKUP( APIF_Import!$M279 &amp; APIF_Import!$H$1,Podesavanja!$AA$3:$AD$24, 4, 0), 0))</f>
        <v/>
      </c>
      <c r="I279" s="364" t="str">
        <f ca="1">IF( ISNA( VLOOKUP( APIF_Import!$M279 &amp; APIF_Import!$I$1,Podesavanja!$AA$3:$AD$24, 4, 0)), "", VLOOKUP( APIF_Import!$C279, INDIRECT( "Lookup_" &amp; APIF_Import!$M279), VLOOKUP( APIF_Import!$M279 &amp; APIF_Import!$I$1,Podesavanja!$AA$3:$AD$24, 4, 0), 0))</f>
        <v/>
      </c>
      <c r="J279" s="364" t="str">
        <f ca="1">IF( ISNA( VLOOKUP( APIF_Import!$M279 &amp; APIF_Import!$J$1,Podesavanja!$AA$3:$AD$24, 4, 0)), "", VLOOKUP( APIF_Import!$C279, INDIRECT( "Lookup_" &amp; APIF_Import!$M279), VLOOKUP( APIF_Import!$M279 &amp; APIF_Import!$J$1,Podesavanja!$AA$3:$AD$24, 4, 0), 0))</f>
        <v/>
      </c>
      <c r="K279" s="364" t="str">
        <f ca="1">IF( ISNA( VLOOKUP( APIF_Import!$M279 &amp; APIF_Import!$K$1,Podesavanja!$AA$3:$AD$24, 4, 0)), "", VLOOKUP( APIF_Import!$C279, INDIRECT( "Lookup_" &amp; APIF_Import!$M279), VLOOKUP( APIF_Import!$M279 &amp; APIF_Import!$K$1,Podesavanja!$AA$3:$AD$24, 4, 0), 0))</f>
        <v/>
      </c>
      <c r="L279" s="8">
        <v>290</v>
      </c>
      <c r="M279" s="8" t="s">
        <v>1374</v>
      </c>
    </row>
    <row r="280" spans="2:13" x14ac:dyDescent="0.2">
      <c r="B280" s="8">
        <f>VLOOKUP( APIF_Import!$M280, Podesavanja!$N$3:$Q$9, 4, 0)</f>
        <v>5</v>
      </c>
      <c r="C280" s="363">
        <f>VLOOKUP( APIF_Import!$L280, Aop!$A$2:$N$415, 4, 0)</f>
        <v>519</v>
      </c>
      <c r="D280" s="364" t="str">
        <f ca="1">IF( ISNA( VLOOKUP( APIF_Import!$M280 &amp; APIF_Import!$D$1,Podesavanja!$AA$3:$AD$24, 4, 0)), "", SUBSTITUTE( VALUE( VLOOKUP( APIF_Import!$C280, INDIRECT( "Lookup_" &amp; APIF_Import!$M280), VLOOKUP( APIF_Import!$M280 &amp; APIF_Import!$D$1,Podesavanja!$AA$3:$AD$24, 4, 0), 0)), ".", ","))</f>
        <v>0</v>
      </c>
      <c r="E280" s="364" t="str">
        <f ca="1">IF( ISNA( VLOOKUP( APIF_Import!$M280 &amp; APIF_Import!$E$1,Podesavanja!$AA$3:$AD$24, 4, 0)), "", SUBSTITUTE( VALUE( VLOOKUP( APIF_Import!$C280, INDIRECT( "Lookup_" &amp; APIF_Import!$M280), VLOOKUP( APIF_Import!$M280 &amp; APIF_Import!$E$1,Podesavanja!$AA$3:$AD$24, 4, 0), 0)), ".", ","))</f>
        <v>0</v>
      </c>
      <c r="F280" s="364" t="str">
        <f ca="1">IF( ISNA( VLOOKUP( APIF_Import!$M280 &amp; APIF_Import!$F$1,Podesavanja!$AA$3:$AD$24, 4, 0)), "", VLOOKUP( APIF_Import!$C280, INDIRECT( "Lookup_" &amp; APIF_Import!$M280), VLOOKUP( APIF_Import!$M280 &amp; APIF_Import!$F$1,Podesavanja!$AA$3:$AD$24, 4, 0), 0))</f>
        <v/>
      </c>
      <c r="G280" s="364" t="str">
        <f ca="1">IF( ISNA( VLOOKUP( APIF_Import!$M280 &amp; APIF_Import!$G$1,Podesavanja!$AA$3:$AD$24, 4, 0)), "", VLOOKUP( APIF_Import!$C280, INDIRECT( "Lookup_" &amp; APIF_Import!$M280), VLOOKUP( APIF_Import!$M280 &amp; APIF_Import!$G$1,Podesavanja!$AA$3:$AD$24, 4, 0), 0))</f>
        <v/>
      </c>
      <c r="H280" s="364" t="str">
        <f ca="1">IF( ISNA( VLOOKUP( APIF_Import!$M280 &amp; APIF_Import!$H$1,Podesavanja!$AA$3:$AD$24, 4, 0)), "", VLOOKUP( APIF_Import!$C280, INDIRECT( "Lookup_" &amp; APIF_Import!$M280), VLOOKUP( APIF_Import!$M280 &amp; APIF_Import!$H$1,Podesavanja!$AA$3:$AD$24, 4, 0), 0))</f>
        <v/>
      </c>
      <c r="I280" s="364" t="str">
        <f ca="1">IF( ISNA( VLOOKUP( APIF_Import!$M280 &amp; APIF_Import!$I$1,Podesavanja!$AA$3:$AD$24, 4, 0)), "", VLOOKUP( APIF_Import!$C280, INDIRECT( "Lookup_" &amp; APIF_Import!$M280), VLOOKUP( APIF_Import!$M280 &amp; APIF_Import!$I$1,Podesavanja!$AA$3:$AD$24, 4, 0), 0))</f>
        <v/>
      </c>
      <c r="J280" s="364" t="str">
        <f ca="1">IF( ISNA( VLOOKUP( APIF_Import!$M280 &amp; APIF_Import!$J$1,Podesavanja!$AA$3:$AD$24, 4, 0)), "", VLOOKUP( APIF_Import!$C280, INDIRECT( "Lookup_" &amp; APIF_Import!$M280), VLOOKUP( APIF_Import!$M280 &amp; APIF_Import!$J$1,Podesavanja!$AA$3:$AD$24, 4, 0), 0))</f>
        <v/>
      </c>
      <c r="K280" s="364" t="str">
        <f ca="1">IF( ISNA( VLOOKUP( APIF_Import!$M280 &amp; APIF_Import!$K$1,Podesavanja!$AA$3:$AD$24, 4, 0)), "", VLOOKUP( APIF_Import!$C280, INDIRECT( "Lookup_" &amp; APIF_Import!$M280), VLOOKUP( APIF_Import!$M280 &amp; APIF_Import!$K$1,Podesavanja!$AA$3:$AD$24, 4, 0), 0))</f>
        <v/>
      </c>
      <c r="L280" s="8">
        <v>291</v>
      </c>
      <c r="M280" s="8" t="s">
        <v>1374</v>
      </c>
    </row>
    <row r="281" spans="2:13" x14ac:dyDescent="0.2">
      <c r="B281" s="8">
        <f>VLOOKUP( APIF_Import!$M281, Podesavanja!$N$3:$Q$9, 4, 0)</f>
        <v>5</v>
      </c>
      <c r="C281" s="363">
        <f>VLOOKUP( APIF_Import!$L281, Aop!$A$2:$N$415, 4, 0)</f>
        <v>520</v>
      </c>
      <c r="D281" s="364" t="str">
        <f ca="1">IF( ISNA( VLOOKUP( APIF_Import!$M281 &amp; APIF_Import!$D$1,Podesavanja!$AA$3:$AD$24, 4, 0)), "", SUBSTITUTE( VALUE( VLOOKUP( APIF_Import!$C281, INDIRECT( "Lookup_" &amp; APIF_Import!$M281), VLOOKUP( APIF_Import!$M281 &amp; APIF_Import!$D$1,Podesavanja!$AA$3:$AD$24, 4, 0), 0)), ".", ","))</f>
        <v>335629</v>
      </c>
      <c r="E281" s="364" t="str">
        <f ca="1">IF( ISNA( VLOOKUP( APIF_Import!$M281 &amp; APIF_Import!$E$1,Podesavanja!$AA$3:$AD$24, 4, 0)), "", SUBSTITUTE( VALUE( VLOOKUP( APIF_Import!$C281, INDIRECT( "Lookup_" &amp; APIF_Import!$M281), VLOOKUP( APIF_Import!$M281 &amp; APIF_Import!$E$1,Podesavanja!$AA$3:$AD$24, 4, 0), 0)), ".", ","))</f>
        <v>93322</v>
      </c>
      <c r="F281" s="364" t="str">
        <f ca="1">IF( ISNA( VLOOKUP( APIF_Import!$M281 &amp; APIF_Import!$F$1,Podesavanja!$AA$3:$AD$24, 4, 0)), "", VLOOKUP( APIF_Import!$C281, INDIRECT( "Lookup_" &amp; APIF_Import!$M281), VLOOKUP( APIF_Import!$M281 &amp; APIF_Import!$F$1,Podesavanja!$AA$3:$AD$24, 4, 0), 0))</f>
        <v/>
      </c>
      <c r="G281" s="364" t="str">
        <f ca="1">IF( ISNA( VLOOKUP( APIF_Import!$M281 &amp; APIF_Import!$G$1,Podesavanja!$AA$3:$AD$24, 4, 0)), "", VLOOKUP( APIF_Import!$C281, INDIRECT( "Lookup_" &amp; APIF_Import!$M281), VLOOKUP( APIF_Import!$M281 &amp; APIF_Import!$G$1,Podesavanja!$AA$3:$AD$24, 4, 0), 0))</f>
        <v/>
      </c>
      <c r="H281" s="364" t="str">
        <f ca="1">IF( ISNA( VLOOKUP( APIF_Import!$M281 &amp; APIF_Import!$H$1,Podesavanja!$AA$3:$AD$24, 4, 0)), "", VLOOKUP( APIF_Import!$C281, INDIRECT( "Lookup_" &amp; APIF_Import!$M281), VLOOKUP( APIF_Import!$M281 &amp; APIF_Import!$H$1,Podesavanja!$AA$3:$AD$24, 4, 0), 0))</f>
        <v/>
      </c>
      <c r="I281" s="364" t="str">
        <f ca="1">IF( ISNA( VLOOKUP( APIF_Import!$M281 &amp; APIF_Import!$I$1,Podesavanja!$AA$3:$AD$24, 4, 0)), "", VLOOKUP( APIF_Import!$C281, INDIRECT( "Lookup_" &amp; APIF_Import!$M281), VLOOKUP( APIF_Import!$M281 &amp; APIF_Import!$I$1,Podesavanja!$AA$3:$AD$24, 4, 0), 0))</f>
        <v/>
      </c>
      <c r="J281" s="364" t="str">
        <f ca="1">IF( ISNA( VLOOKUP( APIF_Import!$M281 &amp; APIF_Import!$J$1,Podesavanja!$AA$3:$AD$24, 4, 0)), "", VLOOKUP( APIF_Import!$C281, INDIRECT( "Lookup_" &amp; APIF_Import!$M281), VLOOKUP( APIF_Import!$M281 &amp; APIF_Import!$J$1,Podesavanja!$AA$3:$AD$24, 4, 0), 0))</f>
        <v/>
      </c>
      <c r="K281" s="364" t="str">
        <f ca="1">IF( ISNA( VLOOKUP( APIF_Import!$M281 &amp; APIF_Import!$K$1,Podesavanja!$AA$3:$AD$24, 4, 0)), "", VLOOKUP( APIF_Import!$C281, INDIRECT( "Lookup_" &amp; APIF_Import!$M281), VLOOKUP( APIF_Import!$M281 &amp; APIF_Import!$K$1,Podesavanja!$AA$3:$AD$24, 4, 0), 0))</f>
        <v/>
      </c>
      <c r="L281" s="8">
        <v>292</v>
      </c>
      <c r="M281" s="8" t="s">
        <v>1374</v>
      </c>
    </row>
    <row r="282" spans="2:13" x14ac:dyDescent="0.2">
      <c r="B282" s="8">
        <f>VLOOKUP( APIF_Import!$M282, Podesavanja!$N$3:$Q$9, 4, 0)</f>
        <v>5</v>
      </c>
      <c r="C282" s="363">
        <f>VLOOKUP( APIF_Import!$L282, Aop!$A$2:$N$415, 4, 0)</f>
        <v>521</v>
      </c>
      <c r="D282" s="364" t="str">
        <f ca="1">IF( ISNA( VLOOKUP( APIF_Import!$M282 &amp; APIF_Import!$D$1,Podesavanja!$AA$3:$AD$24, 4, 0)), "", SUBSTITUTE( VALUE( VLOOKUP( APIF_Import!$C282, INDIRECT( "Lookup_" &amp; APIF_Import!$M282), VLOOKUP( APIF_Import!$M282 &amp; APIF_Import!$D$1,Podesavanja!$AA$3:$AD$24, 4, 0), 0)), ".", ","))</f>
        <v>0</v>
      </c>
      <c r="E282" s="364" t="str">
        <f ca="1">IF( ISNA( VLOOKUP( APIF_Import!$M282 &amp; APIF_Import!$E$1,Podesavanja!$AA$3:$AD$24, 4, 0)), "", SUBSTITUTE( VALUE( VLOOKUP( APIF_Import!$C282, INDIRECT( "Lookup_" &amp; APIF_Import!$M282), VLOOKUP( APIF_Import!$M282 &amp; APIF_Import!$E$1,Podesavanja!$AA$3:$AD$24, 4, 0), 0)), ".", ","))</f>
        <v>0</v>
      </c>
      <c r="F282" s="364" t="str">
        <f ca="1">IF( ISNA( VLOOKUP( APIF_Import!$M282 &amp; APIF_Import!$F$1,Podesavanja!$AA$3:$AD$24, 4, 0)), "", VLOOKUP( APIF_Import!$C282, INDIRECT( "Lookup_" &amp; APIF_Import!$M282), VLOOKUP( APIF_Import!$M282 &amp; APIF_Import!$F$1,Podesavanja!$AA$3:$AD$24, 4, 0), 0))</f>
        <v/>
      </c>
      <c r="G282" s="364" t="str">
        <f ca="1">IF( ISNA( VLOOKUP( APIF_Import!$M282 &amp; APIF_Import!$G$1,Podesavanja!$AA$3:$AD$24, 4, 0)), "", VLOOKUP( APIF_Import!$C282, INDIRECT( "Lookup_" &amp; APIF_Import!$M282), VLOOKUP( APIF_Import!$M282 &amp; APIF_Import!$G$1,Podesavanja!$AA$3:$AD$24, 4, 0), 0))</f>
        <v/>
      </c>
      <c r="H282" s="364" t="str">
        <f ca="1">IF( ISNA( VLOOKUP( APIF_Import!$M282 &amp; APIF_Import!$H$1,Podesavanja!$AA$3:$AD$24, 4, 0)), "", VLOOKUP( APIF_Import!$C282, INDIRECT( "Lookup_" &amp; APIF_Import!$M282), VLOOKUP( APIF_Import!$M282 &amp; APIF_Import!$H$1,Podesavanja!$AA$3:$AD$24, 4, 0), 0))</f>
        <v/>
      </c>
      <c r="I282" s="364" t="str">
        <f ca="1">IF( ISNA( VLOOKUP( APIF_Import!$M282 &amp; APIF_Import!$I$1,Podesavanja!$AA$3:$AD$24, 4, 0)), "", VLOOKUP( APIF_Import!$C282, INDIRECT( "Lookup_" &amp; APIF_Import!$M282), VLOOKUP( APIF_Import!$M282 &amp; APIF_Import!$I$1,Podesavanja!$AA$3:$AD$24, 4, 0), 0))</f>
        <v/>
      </c>
      <c r="J282" s="364" t="str">
        <f ca="1">IF( ISNA( VLOOKUP( APIF_Import!$M282 &amp; APIF_Import!$J$1,Podesavanja!$AA$3:$AD$24, 4, 0)), "", VLOOKUP( APIF_Import!$C282, INDIRECT( "Lookup_" &amp; APIF_Import!$M282), VLOOKUP( APIF_Import!$M282 &amp; APIF_Import!$J$1,Podesavanja!$AA$3:$AD$24, 4, 0), 0))</f>
        <v/>
      </c>
      <c r="K282" s="364" t="str">
        <f ca="1">IF( ISNA( VLOOKUP( APIF_Import!$M282 &amp; APIF_Import!$K$1,Podesavanja!$AA$3:$AD$24, 4, 0)), "", VLOOKUP( APIF_Import!$C282, INDIRECT( "Lookup_" &amp; APIF_Import!$M282), VLOOKUP( APIF_Import!$M282 &amp; APIF_Import!$K$1,Podesavanja!$AA$3:$AD$24, 4, 0), 0))</f>
        <v/>
      </c>
      <c r="L282" s="8">
        <v>293</v>
      </c>
      <c r="M282" s="8" t="s">
        <v>1374</v>
      </c>
    </row>
    <row r="283" spans="2:13" x14ac:dyDescent="0.2">
      <c r="B283" s="8">
        <f>VLOOKUP( APIF_Import!$M283, Podesavanja!$N$3:$Q$9, 4, 0)</f>
        <v>5</v>
      </c>
      <c r="C283" s="363">
        <f>VLOOKUP( APIF_Import!$L283, Aop!$A$2:$N$415, 4, 0)</f>
        <v>522</v>
      </c>
      <c r="D283" s="364" t="str">
        <f ca="1">IF( ISNA( VLOOKUP( APIF_Import!$M283 &amp; APIF_Import!$D$1,Podesavanja!$AA$3:$AD$24, 4, 0)), "", SUBSTITUTE( VALUE( VLOOKUP( APIF_Import!$C283, INDIRECT( "Lookup_" &amp; APIF_Import!$M283), VLOOKUP( APIF_Import!$M283 &amp; APIF_Import!$D$1,Podesavanja!$AA$3:$AD$24, 4, 0), 0)), ".", ","))</f>
        <v>0</v>
      </c>
      <c r="E283" s="364" t="str">
        <f ca="1">IF( ISNA( VLOOKUP( APIF_Import!$M283 &amp; APIF_Import!$E$1,Podesavanja!$AA$3:$AD$24, 4, 0)), "", SUBSTITUTE( VALUE( VLOOKUP( APIF_Import!$C283, INDIRECT( "Lookup_" &amp; APIF_Import!$M283), VLOOKUP( APIF_Import!$M283 &amp; APIF_Import!$E$1,Podesavanja!$AA$3:$AD$24, 4, 0), 0)), ".", ","))</f>
        <v>0</v>
      </c>
      <c r="F283" s="364" t="str">
        <f ca="1">IF( ISNA( VLOOKUP( APIF_Import!$M283 &amp; APIF_Import!$F$1,Podesavanja!$AA$3:$AD$24, 4, 0)), "", VLOOKUP( APIF_Import!$C283, INDIRECT( "Lookup_" &amp; APIF_Import!$M283), VLOOKUP( APIF_Import!$M283 &amp; APIF_Import!$F$1,Podesavanja!$AA$3:$AD$24, 4, 0), 0))</f>
        <v/>
      </c>
      <c r="G283" s="364" t="str">
        <f ca="1">IF( ISNA( VLOOKUP( APIF_Import!$M283 &amp; APIF_Import!$G$1,Podesavanja!$AA$3:$AD$24, 4, 0)), "", VLOOKUP( APIF_Import!$C283, INDIRECT( "Lookup_" &amp; APIF_Import!$M283), VLOOKUP( APIF_Import!$M283 &amp; APIF_Import!$G$1,Podesavanja!$AA$3:$AD$24, 4, 0), 0))</f>
        <v/>
      </c>
      <c r="H283" s="364" t="str">
        <f ca="1">IF( ISNA( VLOOKUP( APIF_Import!$M283 &amp; APIF_Import!$H$1,Podesavanja!$AA$3:$AD$24, 4, 0)), "", VLOOKUP( APIF_Import!$C283, INDIRECT( "Lookup_" &amp; APIF_Import!$M283), VLOOKUP( APIF_Import!$M283 &amp; APIF_Import!$H$1,Podesavanja!$AA$3:$AD$24, 4, 0), 0))</f>
        <v/>
      </c>
      <c r="I283" s="364" t="str">
        <f ca="1">IF( ISNA( VLOOKUP( APIF_Import!$M283 &amp; APIF_Import!$I$1,Podesavanja!$AA$3:$AD$24, 4, 0)), "", VLOOKUP( APIF_Import!$C283, INDIRECT( "Lookup_" &amp; APIF_Import!$M283), VLOOKUP( APIF_Import!$M283 &amp; APIF_Import!$I$1,Podesavanja!$AA$3:$AD$24, 4, 0), 0))</f>
        <v/>
      </c>
      <c r="J283" s="364" t="str">
        <f ca="1">IF( ISNA( VLOOKUP( APIF_Import!$M283 &amp; APIF_Import!$J$1,Podesavanja!$AA$3:$AD$24, 4, 0)), "", VLOOKUP( APIF_Import!$C283, INDIRECT( "Lookup_" &amp; APIF_Import!$M283), VLOOKUP( APIF_Import!$M283 &amp; APIF_Import!$J$1,Podesavanja!$AA$3:$AD$24, 4, 0), 0))</f>
        <v/>
      </c>
      <c r="K283" s="364" t="str">
        <f ca="1">IF( ISNA( VLOOKUP( APIF_Import!$M283 &amp; APIF_Import!$K$1,Podesavanja!$AA$3:$AD$24, 4, 0)), "", VLOOKUP( APIF_Import!$C283, INDIRECT( "Lookup_" &amp; APIF_Import!$M283), VLOOKUP( APIF_Import!$M283 &amp; APIF_Import!$K$1,Podesavanja!$AA$3:$AD$24, 4, 0), 0))</f>
        <v/>
      </c>
      <c r="L283" s="8">
        <v>294</v>
      </c>
      <c r="M283" s="8" t="s">
        <v>1374</v>
      </c>
    </row>
    <row r="284" spans="2:13" x14ac:dyDescent="0.2">
      <c r="B284" s="8">
        <f>VLOOKUP( APIF_Import!$M284, Podesavanja!$N$3:$Q$9, 4, 0)</f>
        <v>5</v>
      </c>
      <c r="C284" s="363">
        <f>VLOOKUP( APIF_Import!$L284, Aop!$A$2:$N$415, 4, 0)</f>
        <v>523</v>
      </c>
      <c r="D284" s="364" t="str">
        <f ca="1">IF( ISNA( VLOOKUP( APIF_Import!$M284 &amp; APIF_Import!$D$1,Podesavanja!$AA$3:$AD$24, 4, 0)), "", SUBSTITUTE( VALUE( VLOOKUP( APIF_Import!$C284, INDIRECT( "Lookup_" &amp; APIF_Import!$M284), VLOOKUP( APIF_Import!$M284 &amp; APIF_Import!$D$1,Podesavanja!$AA$3:$AD$24, 4, 0), 0)), ".", ","))</f>
        <v>335629</v>
      </c>
      <c r="E284" s="364" t="str">
        <f ca="1">IF( ISNA( VLOOKUP( APIF_Import!$M284 &amp; APIF_Import!$E$1,Podesavanja!$AA$3:$AD$24, 4, 0)), "", SUBSTITUTE( VALUE( VLOOKUP( APIF_Import!$C284, INDIRECT( "Lookup_" &amp; APIF_Import!$M284), VLOOKUP( APIF_Import!$M284 &amp; APIF_Import!$E$1,Podesavanja!$AA$3:$AD$24, 4, 0), 0)), ".", ","))</f>
        <v>93322</v>
      </c>
      <c r="F284" s="364" t="str">
        <f ca="1">IF( ISNA( VLOOKUP( APIF_Import!$M284 &amp; APIF_Import!$F$1,Podesavanja!$AA$3:$AD$24, 4, 0)), "", VLOOKUP( APIF_Import!$C284, INDIRECT( "Lookup_" &amp; APIF_Import!$M284), VLOOKUP( APIF_Import!$M284 &amp; APIF_Import!$F$1,Podesavanja!$AA$3:$AD$24, 4, 0), 0))</f>
        <v/>
      </c>
      <c r="G284" s="364" t="str">
        <f ca="1">IF( ISNA( VLOOKUP( APIF_Import!$M284 &amp; APIF_Import!$G$1,Podesavanja!$AA$3:$AD$24, 4, 0)), "", VLOOKUP( APIF_Import!$C284, INDIRECT( "Lookup_" &amp; APIF_Import!$M284), VLOOKUP( APIF_Import!$M284 &amp; APIF_Import!$G$1,Podesavanja!$AA$3:$AD$24, 4, 0), 0))</f>
        <v/>
      </c>
      <c r="H284" s="364" t="str">
        <f ca="1">IF( ISNA( VLOOKUP( APIF_Import!$M284 &amp; APIF_Import!$H$1,Podesavanja!$AA$3:$AD$24, 4, 0)), "", VLOOKUP( APIF_Import!$C284, INDIRECT( "Lookup_" &amp; APIF_Import!$M284), VLOOKUP( APIF_Import!$M284 &amp; APIF_Import!$H$1,Podesavanja!$AA$3:$AD$24, 4, 0), 0))</f>
        <v/>
      </c>
      <c r="I284" s="364" t="str">
        <f ca="1">IF( ISNA( VLOOKUP( APIF_Import!$M284 &amp; APIF_Import!$I$1,Podesavanja!$AA$3:$AD$24, 4, 0)), "", VLOOKUP( APIF_Import!$C284, INDIRECT( "Lookup_" &amp; APIF_Import!$M284), VLOOKUP( APIF_Import!$M284 &amp; APIF_Import!$I$1,Podesavanja!$AA$3:$AD$24, 4, 0), 0))</f>
        <v/>
      </c>
      <c r="J284" s="364" t="str">
        <f ca="1">IF( ISNA( VLOOKUP( APIF_Import!$M284 &amp; APIF_Import!$J$1,Podesavanja!$AA$3:$AD$24, 4, 0)), "", VLOOKUP( APIF_Import!$C284, INDIRECT( "Lookup_" &amp; APIF_Import!$M284), VLOOKUP( APIF_Import!$M284 &amp; APIF_Import!$J$1,Podesavanja!$AA$3:$AD$24, 4, 0), 0))</f>
        <v/>
      </c>
      <c r="K284" s="364" t="str">
        <f ca="1">IF( ISNA( VLOOKUP( APIF_Import!$M284 &amp; APIF_Import!$K$1,Podesavanja!$AA$3:$AD$24, 4, 0)), "", VLOOKUP( APIF_Import!$C284, INDIRECT( "Lookup_" &amp; APIF_Import!$M284), VLOOKUP( APIF_Import!$M284 &amp; APIF_Import!$K$1,Podesavanja!$AA$3:$AD$24, 4, 0), 0))</f>
        <v/>
      </c>
      <c r="L284" s="8">
        <v>295</v>
      </c>
      <c r="M284" s="8" t="s">
        <v>1374</v>
      </c>
    </row>
    <row r="285" spans="2:13" x14ac:dyDescent="0.2">
      <c r="B285" s="8">
        <f>VLOOKUP( APIF_Import!$M285, Podesavanja!$N$3:$Q$9, 4, 0)</f>
        <v>5</v>
      </c>
      <c r="C285" s="363">
        <f>VLOOKUP( APIF_Import!$L285, Aop!$A$2:$N$415, 4, 0)</f>
        <v>524</v>
      </c>
      <c r="D285" s="364" t="str">
        <f ca="1">IF( ISNA( VLOOKUP( APIF_Import!$M285 &amp; APIF_Import!$D$1,Podesavanja!$AA$3:$AD$24, 4, 0)), "", SUBSTITUTE( VALUE( VLOOKUP( APIF_Import!$C285, INDIRECT( "Lookup_" &amp; APIF_Import!$M285), VLOOKUP( APIF_Import!$M285 &amp; APIF_Import!$D$1,Podesavanja!$AA$3:$AD$24, 4, 0), 0)), ".", ","))</f>
        <v>0</v>
      </c>
      <c r="E285" s="364" t="str">
        <f ca="1">IF( ISNA( VLOOKUP( APIF_Import!$M285 &amp; APIF_Import!$E$1,Podesavanja!$AA$3:$AD$24, 4, 0)), "", SUBSTITUTE( VALUE( VLOOKUP( APIF_Import!$C285, INDIRECT( "Lookup_" &amp; APIF_Import!$M285), VLOOKUP( APIF_Import!$M285 &amp; APIF_Import!$E$1,Podesavanja!$AA$3:$AD$24, 4, 0), 0)), ".", ","))</f>
        <v>0</v>
      </c>
      <c r="F285" s="364" t="str">
        <f ca="1">IF( ISNA( VLOOKUP( APIF_Import!$M285 &amp; APIF_Import!$F$1,Podesavanja!$AA$3:$AD$24, 4, 0)), "", VLOOKUP( APIF_Import!$C285, INDIRECT( "Lookup_" &amp; APIF_Import!$M285), VLOOKUP( APIF_Import!$M285 &amp; APIF_Import!$F$1,Podesavanja!$AA$3:$AD$24, 4, 0), 0))</f>
        <v/>
      </c>
      <c r="G285" s="364" t="str">
        <f ca="1">IF( ISNA( VLOOKUP( APIF_Import!$M285 &amp; APIF_Import!$G$1,Podesavanja!$AA$3:$AD$24, 4, 0)), "", VLOOKUP( APIF_Import!$C285, INDIRECT( "Lookup_" &amp; APIF_Import!$M285), VLOOKUP( APIF_Import!$M285 &amp; APIF_Import!$G$1,Podesavanja!$AA$3:$AD$24, 4, 0), 0))</f>
        <v/>
      </c>
      <c r="H285" s="364" t="str">
        <f ca="1">IF( ISNA( VLOOKUP( APIF_Import!$M285 &amp; APIF_Import!$H$1,Podesavanja!$AA$3:$AD$24, 4, 0)), "", VLOOKUP( APIF_Import!$C285, INDIRECT( "Lookup_" &amp; APIF_Import!$M285), VLOOKUP( APIF_Import!$M285 &amp; APIF_Import!$H$1,Podesavanja!$AA$3:$AD$24, 4, 0), 0))</f>
        <v/>
      </c>
      <c r="I285" s="364" t="str">
        <f ca="1">IF( ISNA( VLOOKUP( APIF_Import!$M285 &amp; APIF_Import!$I$1,Podesavanja!$AA$3:$AD$24, 4, 0)), "", VLOOKUP( APIF_Import!$C285, INDIRECT( "Lookup_" &amp; APIF_Import!$M285), VLOOKUP( APIF_Import!$M285 &amp; APIF_Import!$I$1,Podesavanja!$AA$3:$AD$24, 4, 0), 0))</f>
        <v/>
      </c>
      <c r="J285" s="364" t="str">
        <f ca="1">IF( ISNA( VLOOKUP( APIF_Import!$M285 &amp; APIF_Import!$J$1,Podesavanja!$AA$3:$AD$24, 4, 0)), "", VLOOKUP( APIF_Import!$C285, INDIRECT( "Lookup_" &amp; APIF_Import!$M285), VLOOKUP( APIF_Import!$M285 &amp; APIF_Import!$J$1,Podesavanja!$AA$3:$AD$24, 4, 0), 0))</f>
        <v/>
      </c>
      <c r="K285" s="364" t="str">
        <f ca="1">IF( ISNA( VLOOKUP( APIF_Import!$M285 &amp; APIF_Import!$K$1,Podesavanja!$AA$3:$AD$24, 4, 0)), "", VLOOKUP( APIF_Import!$C285, INDIRECT( "Lookup_" &amp; APIF_Import!$M285), VLOOKUP( APIF_Import!$M285 &amp; APIF_Import!$K$1,Podesavanja!$AA$3:$AD$24, 4, 0), 0))</f>
        <v/>
      </c>
      <c r="L285" s="8">
        <v>296</v>
      </c>
      <c r="M285" s="8" t="s">
        <v>1374</v>
      </c>
    </row>
    <row r="286" spans="2:13" x14ac:dyDescent="0.2">
      <c r="B286" s="8">
        <f>VLOOKUP( APIF_Import!$M286, Podesavanja!$N$3:$Q$9, 4, 0)</f>
        <v>5</v>
      </c>
      <c r="C286" s="363">
        <f>VLOOKUP( APIF_Import!$L286, Aop!$A$2:$N$415, 4, 0)</f>
        <v>525</v>
      </c>
      <c r="D286" s="364" t="str">
        <f ca="1">IF( ISNA( VLOOKUP( APIF_Import!$M286 &amp; APIF_Import!$D$1,Podesavanja!$AA$3:$AD$24, 4, 0)), "", SUBSTITUTE( VALUE( VLOOKUP( APIF_Import!$C286, INDIRECT( "Lookup_" &amp; APIF_Import!$M286), VLOOKUP( APIF_Import!$M286 &amp; APIF_Import!$D$1,Podesavanja!$AA$3:$AD$24, 4, 0), 0)), ".", ","))</f>
        <v>0</v>
      </c>
      <c r="E286" s="364" t="str">
        <f ca="1">IF( ISNA( VLOOKUP( APIF_Import!$M286 &amp; APIF_Import!$E$1,Podesavanja!$AA$3:$AD$24, 4, 0)), "", SUBSTITUTE( VALUE( VLOOKUP( APIF_Import!$C286, INDIRECT( "Lookup_" &amp; APIF_Import!$M286), VLOOKUP( APIF_Import!$M286 &amp; APIF_Import!$E$1,Podesavanja!$AA$3:$AD$24, 4, 0), 0)), ".", ","))</f>
        <v>0</v>
      </c>
      <c r="F286" s="364" t="str">
        <f ca="1">IF( ISNA( VLOOKUP( APIF_Import!$M286 &amp; APIF_Import!$F$1,Podesavanja!$AA$3:$AD$24, 4, 0)), "", VLOOKUP( APIF_Import!$C286, INDIRECT( "Lookup_" &amp; APIF_Import!$M286), VLOOKUP( APIF_Import!$M286 &amp; APIF_Import!$F$1,Podesavanja!$AA$3:$AD$24, 4, 0), 0))</f>
        <v/>
      </c>
      <c r="G286" s="364" t="str">
        <f ca="1">IF( ISNA( VLOOKUP( APIF_Import!$M286 &amp; APIF_Import!$G$1,Podesavanja!$AA$3:$AD$24, 4, 0)), "", VLOOKUP( APIF_Import!$C286, INDIRECT( "Lookup_" &amp; APIF_Import!$M286), VLOOKUP( APIF_Import!$M286 &amp; APIF_Import!$G$1,Podesavanja!$AA$3:$AD$24, 4, 0), 0))</f>
        <v/>
      </c>
      <c r="H286" s="364" t="str">
        <f ca="1">IF( ISNA( VLOOKUP( APIF_Import!$M286 &amp; APIF_Import!$H$1,Podesavanja!$AA$3:$AD$24, 4, 0)), "", VLOOKUP( APIF_Import!$C286, INDIRECT( "Lookup_" &amp; APIF_Import!$M286), VLOOKUP( APIF_Import!$M286 &amp; APIF_Import!$H$1,Podesavanja!$AA$3:$AD$24, 4, 0), 0))</f>
        <v/>
      </c>
      <c r="I286" s="364" t="str">
        <f ca="1">IF( ISNA( VLOOKUP( APIF_Import!$M286 &amp; APIF_Import!$I$1,Podesavanja!$AA$3:$AD$24, 4, 0)), "", VLOOKUP( APIF_Import!$C286, INDIRECT( "Lookup_" &amp; APIF_Import!$M286), VLOOKUP( APIF_Import!$M286 &amp; APIF_Import!$I$1,Podesavanja!$AA$3:$AD$24, 4, 0), 0))</f>
        <v/>
      </c>
      <c r="J286" s="364" t="str">
        <f ca="1">IF( ISNA( VLOOKUP( APIF_Import!$M286 &amp; APIF_Import!$J$1,Podesavanja!$AA$3:$AD$24, 4, 0)), "", VLOOKUP( APIF_Import!$C286, INDIRECT( "Lookup_" &amp; APIF_Import!$M286), VLOOKUP( APIF_Import!$M286 &amp; APIF_Import!$J$1,Podesavanja!$AA$3:$AD$24, 4, 0), 0))</f>
        <v/>
      </c>
      <c r="K286" s="364" t="str">
        <f ca="1">IF( ISNA( VLOOKUP( APIF_Import!$M286 &amp; APIF_Import!$K$1,Podesavanja!$AA$3:$AD$24, 4, 0)), "", VLOOKUP( APIF_Import!$C286, INDIRECT( "Lookup_" &amp; APIF_Import!$M286), VLOOKUP( APIF_Import!$M286 &amp; APIF_Import!$K$1,Podesavanja!$AA$3:$AD$24, 4, 0), 0))</f>
        <v/>
      </c>
      <c r="L286" s="8">
        <v>297</v>
      </c>
      <c r="M286" s="8" t="s">
        <v>1374</v>
      </c>
    </row>
    <row r="287" spans="2:13" x14ac:dyDescent="0.2">
      <c r="B287" s="8">
        <f>VLOOKUP( APIF_Import!$M287, Podesavanja!$N$3:$Q$9, 4, 0)</f>
        <v>5</v>
      </c>
      <c r="C287" s="363">
        <f>VLOOKUP( APIF_Import!$L287, Aop!$A$2:$N$415, 4, 0)</f>
        <v>526</v>
      </c>
      <c r="D287" s="364" t="str">
        <f ca="1">IF( ISNA( VLOOKUP( APIF_Import!$M287 &amp; APIF_Import!$D$1,Podesavanja!$AA$3:$AD$24, 4, 0)), "", SUBSTITUTE( VALUE( VLOOKUP( APIF_Import!$C287, INDIRECT( "Lookup_" &amp; APIF_Import!$M287), VLOOKUP( APIF_Import!$M287 &amp; APIF_Import!$D$1,Podesavanja!$AA$3:$AD$24, 4, 0), 0)), ".", ","))</f>
        <v>273595</v>
      </c>
      <c r="E287" s="364" t="str">
        <f ca="1">IF( ISNA( VLOOKUP( APIF_Import!$M287 &amp; APIF_Import!$E$1,Podesavanja!$AA$3:$AD$24, 4, 0)), "", SUBSTITUTE( VALUE( VLOOKUP( APIF_Import!$C287, INDIRECT( "Lookup_" &amp; APIF_Import!$M287), VLOOKUP( APIF_Import!$M287 &amp; APIF_Import!$E$1,Podesavanja!$AA$3:$AD$24, 4, 0), 0)), ".", ","))</f>
        <v>78857</v>
      </c>
      <c r="F287" s="364" t="str">
        <f ca="1">IF( ISNA( VLOOKUP( APIF_Import!$M287 &amp; APIF_Import!$F$1,Podesavanja!$AA$3:$AD$24, 4, 0)), "", VLOOKUP( APIF_Import!$C287, INDIRECT( "Lookup_" &amp; APIF_Import!$M287), VLOOKUP( APIF_Import!$M287 &amp; APIF_Import!$F$1,Podesavanja!$AA$3:$AD$24, 4, 0), 0))</f>
        <v/>
      </c>
      <c r="G287" s="364" t="str">
        <f ca="1">IF( ISNA( VLOOKUP( APIF_Import!$M287 &amp; APIF_Import!$G$1,Podesavanja!$AA$3:$AD$24, 4, 0)), "", VLOOKUP( APIF_Import!$C287, INDIRECT( "Lookup_" &amp; APIF_Import!$M287), VLOOKUP( APIF_Import!$M287 &amp; APIF_Import!$G$1,Podesavanja!$AA$3:$AD$24, 4, 0), 0))</f>
        <v/>
      </c>
      <c r="H287" s="364" t="str">
        <f ca="1">IF( ISNA( VLOOKUP( APIF_Import!$M287 &amp; APIF_Import!$H$1,Podesavanja!$AA$3:$AD$24, 4, 0)), "", VLOOKUP( APIF_Import!$C287, INDIRECT( "Lookup_" &amp; APIF_Import!$M287), VLOOKUP( APIF_Import!$M287 &amp; APIF_Import!$H$1,Podesavanja!$AA$3:$AD$24, 4, 0), 0))</f>
        <v/>
      </c>
      <c r="I287" s="364" t="str">
        <f ca="1">IF( ISNA( VLOOKUP( APIF_Import!$M287 &amp; APIF_Import!$I$1,Podesavanja!$AA$3:$AD$24, 4, 0)), "", VLOOKUP( APIF_Import!$C287, INDIRECT( "Lookup_" &amp; APIF_Import!$M287), VLOOKUP( APIF_Import!$M287 &amp; APIF_Import!$I$1,Podesavanja!$AA$3:$AD$24, 4, 0), 0))</f>
        <v/>
      </c>
      <c r="J287" s="364" t="str">
        <f ca="1">IF( ISNA( VLOOKUP( APIF_Import!$M287 &amp; APIF_Import!$J$1,Podesavanja!$AA$3:$AD$24, 4, 0)), "", VLOOKUP( APIF_Import!$C287, INDIRECT( "Lookup_" &amp; APIF_Import!$M287), VLOOKUP( APIF_Import!$M287 &amp; APIF_Import!$J$1,Podesavanja!$AA$3:$AD$24, 4, 0), 0))</f>
        <v/>
      </c>
      <c r="K287" s="364" t="str">
        <f ca="1">IF( ISNA( VLOOKUP( APIF_Import!$M287 &amp; APIF_Import!$K$1,Podesavanja!$AA$3:$AD$24, 4, 0)), "", VLOOKUP( APIF_Import!$C287, INDIRECT( "Lookup_" &amp; APIF_Import!$M287), VLOOKUP( APIF_Import!$M287 &amp; APIF_Import!$K$1,Podesavanja!$AA$3:$AD$24, 4, 0), 0))</f>
        <v/>
      </c>
      <c r="L287" s="8">
        <v>298</v>
      </c>
      <c r="M287" s="8" t="s">
        <v>1374</v>
      </c>
    </row>
    <row r="288" spans="2:13" x14ac:dyDescent="0.2">
      <c r="B288" s="8">
        <f>VLOOKUP( APIF_Import!$M288, Podesavanja!$N$3:$Q$9, 4, 0)</f>
        <v>5</v>
      </c>
      <c r="C288" s="363">
        <f>VLOOKUP( APIF_Import!$L288, Aop!$A$2:$N$415, 4, 0)</f>
        <v>527</v>
      </c>
      <c r="D288" s="364" t="str">
        <f ca="1">IF( ISNA( VLOOKUP( APIF_Import!$M288 &amp; APIF_Import!$D$1,Podesavanja!$AA$3:$AD$24, 4, 0)), "", SUBSTITUTE( VALUE( VLOOKUP( APIF_Import!$C288, INDIRECT( "Lookup_" &amp; APIF_Import!$M288), VLOOKUP( APIF_Import!$M288 &amp; APIF_Import!$D$1,Podesavanja!$AA$3:$AD$24, 4, 0), 0)), ".", ","))</f>
        <v>14395363</v>
      </c>
      <c r="E288" s="364" t="str">
        <f ca="1">IF( ISNA( VLOOKUP( APIF_Import!$M288 &amp; APIF_Import!$E$1,Podesavanja!$AA$3:$AD$24, 4, 0)), "", SUBSTITUTE( VALUE( VLOOKUP( APIF_Import!$C288, INDIRECT( "Lookup_" &amp; APIF_Import!$M288), VLOOKUP( APIF_Import!$M288 &amp; APIF_Import!$E$1,Podesavanja!$AA$3:$AD$24, 4, 0), 0)), ".", ","))</f>
        <v>13544086</v>
      </c>
      <c r="F288" s="364" t="str">
        <f ca="1">IF( ISNA( VLOOKUP( APIF_Import!$M288 &amp; APIF_Import!$F$1,Podesavanja!$AA$3:$AD$24, 4, 0)), "", VLOOKUP( APIF_Import!$C288, INDIRECT( "Lookup_" &amp; APIF_Import!$M288), VLOOKUP( APIF_Import!$M288 &amp; APIF_Import!$F$1,Podesavanja!$AA$3:$AD$24, 4, 0), 0))</f>
        <v/>
      </c>
      <c r="G288" s="364" t="str">
        <f ca="1">IF( ISNA( VLOOKUP( APIF_Import!$M288 &amp; APIF_Import!$G$1,Podesavanja!$AA$3:$AD$24, 4, 0)), "", VLOOKUP( APIF_Import!$C288, INDIRECT( "Lookup_" &amp; APIF_Import!$M288), VLOOKUP( APIF_Import!$M288 &amp; APIF_Import!$G$1,Podesavanja!$AA$3:$AD$24, 4, 0), 0))</f>
        <v/>
      </c>
      <c r="H288" s="364" t="str">
        <f ca="1">IF( ISNA( VLOOKUP( APIF_Import!$M288 &amp; APIF_Import!$H$1,Podesavanja!$AA$3:$AD$24, 4, 0)), "", VLOOKUP( APIF_Import!$C288, INDIRECT( "Lookup_" &amp; APIF_Import!$M288), VLOOKUP( APIF_Import!$M288 &amp; APIF_Import!$H$1,Podesavanja!$AA$3:$AD$24, 4, 0), 0))</f>
        <v/>
      </c>
      <c r="I288" s="364" t="str">
        <f ca="1">IF( ISNA( VLOOKUP( APIF_Import!$M288 &amp; APIF_Import!$I$1,Podesavanja!$AA$3:$AD$24, 4, 0)), "", VLOOKUP( APIF_Import!$C288, INDIRECT( "Lookup_" &amp; APIF_Import!$M288), VLOOKUP( APIF_Import!$M288 &amp; APIF_Import!$I$1,Podesavanja!$AA$3:$AD$24, 4, 0), 0))</f>
        <v/>
      </c>
      <c r="J288" s="364" t="str">
        <f ca="1">IF( ISNA( VLOOKUP( APIF_Import!$M288 &amp; APIF_Import!$J$1,Podesavanja!$AA$3:$AD$24, 4, 0)), "", VLOOKUP( APIF_Import!$C288, INDIRECT( "Lookup_" &amp; APIF_Import!$M288), VLOOKUP( APIF_Import!$M288 &amp; APIF_Import!$J$1,Podesavanja!$AA$3:$AD$24, 4, 0), 0))</f>
        <v/>
      </c>
      <c r="K288" s="364" t="str">
        <f ca="1">IF( ISNA( VLOOKUP( APIF_Import!$M288 &amp; APIF_Import!$K$1,Podesavanja!$AA$3:$AD$24, 4, 0)), "", VLOOKUP( APIF_Import!$C288, INDIRECT( "Lookup_" &amp; APIF_Import!$M288), VLOOKUP( APIF_Import!$M288 &amp; APIF_Import!$K$1,Podesavanja!$AA$3:$AD$24, 4, 0), 0))</f>
        <v/>
      </c>
      <c r="L288" s="8">
        <v>300</v>
      </c>
      <c r="M288" s="8" t="s">
        <v>1374</v>
      </c>
    </row>
    <row r="289" spans="2:13" x14ac:dyDescent="0.2">
      <c r="B289" s="8">
        <f>VLOOKUP( APIF_Import!$M289, Podesavanja!$N$3:$Q$9, 4, 0)</f>
        <v>5</v>
      </c>
      <c r="C289" s="363">
        <f>VLOOKUP( APIF_Import!$L289, Aop!$A$2:$N$415, 4, 0)</f>
        <v>528</v>
      </c>
      <c r="D289" s="364" t="str">
        <f ca="1">IF( ISNA( VLOOKUP( APIF_Import!$M289 &amp; APIF_Import!$D$1,Podesavanja!$AA$3:$AD$24, 4, 0)), "", SUBSTITUTE( VALUE( VLOOKUP( APIF_Import!$C289, INDIRECT( "Lookup_" &amp; APIF_Import!$M289), VLOOKUP( APIF_Import!$M289 &amp; APIF_Import!$D$1,Podesavanja!$AA$3:$AD$24, 4, 0), 0)), ".", ","))</f>
        <v>0</v>
      </c>
      <c r="E289" s="364" t="str">
        <f ca="1">IF( ISNA( VLOOKUP( APIF_Import!$M289 &amp; APIF_Import!$E$1,Podesavanja!$AA$3:$AD$24, 4, 0)), "", SUBSTITUTE( VALUE( VLOOKUP( APIF_Import!$C289, INDIRECT( "Lookup_" &amp; APIF_Import!$M289), VLOOKUP( APIF_Import!$M289 &amp; APIF_Import!$E$1,Podesavanja!$AA$3:$AD$24, 4, 0), 0)), ".", ","))</f>
        <v>0</v>
      </c>
      <c r="F289" s="364" t="str">
        <f ca="1">IF( ISNA( VLOOKUP( APIF_Import!$M289 &amp; APIF_Import!$F$1,Podesavanja!$AA$3:$AD$24, 4, 0)), "", VLOOKUP( APIF_Import!$C289, INDIRECT( "Lookup_" &amp; APIF_Import!$M289), VLOOKUP( APIF_Import!$M289 &amp; APIF_Import!$F$1,Podesavanja!$AA$3:$AD$24, 4, 0), 0))</f>
        <v/>
      </c>
      <c r="G289" s="364" t="str">
        <f ca="1">IF( ISNA( VLOOKUP( APIF_Import!$M289 &amp; APIF_Import!$G$1,Podesavanja!$AA$3:$AD$24, 4, 0)), "", VLOOKUP( APIF_Import!$C289, INDIRECT( "Lookup_" &amp; APIF_Import!$M289), VLOOKUP( APIF_Import!$M289 &amp; APIF_Import!$G$1,Podesavanja!$AA$3:$AD$24, 4, 0), 0))</f>
        <v/>
      </c>
      <c r="H289" s="364" t="str">
        <f ca="1">IF( ISNA( VLOOKUP( APIF_Import!$M289 &amp; APIF_Import!$H$1,Podesavanja!$AA$3:$AD$24, 4, 0)), "", VLOOKUP( APIF_Import!$C289, INDIRECT( "Lookup_" &amp; APIF_Import!$M289), VLOOKUP( APIF_Import!$M289 &amp; APIF_Import!$H$1,Podesavanja!$AA$3:$AD$24, 4, 0), 0))</f>
        <v/>
      </c>
      <c r="I289" s="364" t="str">
        <f ca="1">IF( ISNA( VLOOKUP( APIF_Import!$M289 &amp; APIF_Import!$I$1,Podesavanja!$AA$3:$AD$24, 4, 0)), "", VLOOKUP( APIF_Import!$C289, INDIRECT( "Lookup_" &amp; APIF_Import!$M289), VLOOKUP( APIF_Import!$M289 &amp; APIF_Import!$I$1,Podesavanja!$AA$3:$AD$24, 4, 0), 0))</f>
        <v/>
      </c>
      <c r="J289" s="364" t="str">
        <f ca="1">IF( ISNA( VLOOKUP( APIF_Import!$M289 &amp; APIF_Import!$J$1,Podesavanja!$AA$3:$AD$24, 4, 0)), "", VLOOKUP( APIF_Import!$C289, INDIRECT( "Lookup_" &amp; APIF_Import!$M289), VLOOKUP( APIF_Import!$M289 &amp; APIF_Import!$J$1,Podesavanja!$AA$3:$AD$24, 4, 0), 0))</f>
        <v/>
      </c>
      <c r="K289" s="364" t="str">
        <f ca="1">IF( ISNA( VLOOKUP( APIF_Import!$M289 &amp; APIF_Import!$K$1,Podesavanja!$AA$3:$AD$24, 4, 0)), "", VLOOKUP( APIF_Import!$C289, INDIRECT( "Lookup_" &amp; APIF_Import!$M289), VLOOKUP( APIF_Import!$M289 &amp; APIF_Import!$K$1,Podesavanja!$AA$3:$AD$24, 4, 0), 0))</f>
        <v/>
      </c>
      <c r="L289" s="8">
        <v>301</v>
      </c>
      <c r="M289" s="8" t="s">
        <v>1374</v>
      </c>
    </row>
    <row r="290" spans="2:13" x14ac:dyDescent="0.2">
      <c r="B290" s="8">
        <f>VLOOKUP( APIF_Import!$M290, Podesavanja!$N$3:$Q$9, 4, 0)</f>
        <v>5</v>
      </c>
      <c r="C290" s="363">
        <f>VLOOKUP( APIF_Import!$L290, Aop!$A$2:$N$415, 4, 0)</f>
        <v>529</v>
      </c>
      <c r="D290" s="364" t="str">
        <f ca="1">IF( ISNA( VLOOKUP( APIF_Import!$M290 &amp; APIF_Import!$D$1,Podesavanja!$AA$3:$AD$24, 4, 0)), "", SUBSTITUTE( VALUE( VLOOKUP( APIF_Import!$C290, INDIRECT( "Lookup_" &amp; APIF_Import!$M290), VLOOKUP( APIF_Import!$M290 &amp; APIF_Import!$D$1,Podesavanja!$AA$3:$AD$24, 4, 0), 0)), ".", ","))</f>
        <v>700000</v>
      </c>
      <c r="E290" s="364" t="str">
        <f ca="1">IF( ISNA( VLOOKUP( APIF_Import!$M290 &amp; APIF_Import!$E$1,Podesavanja!$AA$3:$AD$24, 4, 0)), "", SUBSTITUTE( VALUE( VLOOKUP( APIF_Import!$C290, INDIRECT( "Lookup_" &amp; APIF_Import!$M290), VLOOKUP( APIF_Import!$M290 &amp; APIF_Import!$E$1,Podesavanja!$AA$3:$AD$24, 4, 0), 0)), ".", ","))</f>
        <v>400000</v>
      </c>
      <c r="F290" s="364" t="str">
        <f ca="1">IF( ISNA( VLOOKUP( APIF_Import!$M290 &amp; APIF_Import!$F$1,Podesavanja!$AA$3:$AD$24, 4, 0)), "", VLOOKUP( APIF_Import!$C290, INDIRECT( "Lookup_" &amp; APIF_Import!$M290), VLOOKUP( APIF_Import!$M290 &amp; APIF_Import!$F$1,Podesavanja!$AA$3:$AD$24, 4, 0), 0))</f>
        <v/>
      </c>
      <c r="G290" s="364" t="str">
        <f ca="1">IF( ISNA( VLOOKUP( APIF_Import!$M290 &amp; APIF_Import!$G$1,Podesavanja!$AA$3:$AD$24, 4, 0)), "", VLOOKUP( APIF_Import!$C290, INDIRECT( "Lookup_" &amp; APIF_Import!$M290), VLOOKUP( APIF_Import!$M290 &amp; APIF_Import!$G$1,Podesavanja!$AA$3:$AD$24, 4, 0), 0))</f>
        <v/>
      </c>
      <c r="H290" s="364" t="str">
        <f ca="1">IF( ISNA( VLOOKUP( APIF_Import!$M290 &amp; APIF_Import!$H$1,Podesavanja!$AA$3:$AD$24, 4, 0)), "", VLOOKUP( APIF_Import!$C290, INDIRECT( "Lookup_" &amp; APIF_Import!$M290), VLOOKUP( APIF_Import!$M290 &amp; APIF_Import!$H$1,Podesavanja!$AA$3:$AD$24, 4, 0), 0))</f>
        <v/>
      </c>
      <c r="I290" s="364" t="str">
        <f ca="1">IF( ISNA( VLOOKUP( APIF_Import!$M290 &amp; APIF_Import!$I$1,Podesavanja!$AA$3:$AD$24, 4, 0)), "", VLOOKUP( APIF_Import!$C290, INDIRECT( "Lookup_" &amp; APIF_Import!$M290), VLOOKUP( APIF_Import!$M290 &amp; APIF_Import!$I$1,Podesavanja!$AA$3:$AD$24, 4, 0), 0))</f>
        <v/>
      </c>
      <c r="J290" s="364" t="str">
        <f ca="1">IF( ISNA( VLOOKUP( APIF_Import!$M290 &amp; APIF_Import!$J$1,Podesavanja!$AA$3:$AD$24, 4, 0)), "", VLOOKUP( APIF_Import!$C290, INDIRECT( "Lookup_" &amp; APIF_Import!$M290), VLOOKUP( APIF_Import!$M290 &amp; APIF_Import!$J$1,Podesavanja!$AA$3:$AD$24, 4, 0), 0))</f>
        <v/>
      </c>
      <c r="K290" s="364" t="str">
        <f ca="1">IF( ISNA( VLOOKUP( APIF_Import!$M290 &amp; APIF_Import!$K$1,Podesavanja!$AA$3:$AD$24, 4, 0)), "", VLOOKUP( APIF_Import!$C290, INDIRECT( "Lookup_" &amp; APIF_Import!$M290), VLOOKUP( APIF_Import!$M290 &amp; APIF_Import!$K$1,Podesavanja!$AA$3:$AD$24, 4, 0), 0))</f>
        <v/>
      </c>
      <c r="L290" s="8">
        <v>302</v>
      </c>
      <c r="M290" s="8" t="s">
        <v>1374</v>
      </c>
    </row>
    <row r="291" spans="2:13" x14ac:dyDescent="0.2">
      <c r="B291" s="8">
        <f>VLOOKUP( APIF_Import!$M291, Podesavanja!$N$3:$Q$9, 4, 0)</f>
        <v>5</v>
      </c>
      <c r="C291" s="363">
        <f>VLOOKUP( APIF_Import!$L291, Aop!$A$2:$N$415, 4, 0)</f>
        <v>530</v>
      </c>
      <c r="D291" s="364" t="str">
        <f ca="1">IF( ISNA( VLOOKUP( APIF_Import!$M291 &amp; APIF_Import!$D$1,Podesavanja!$AA$3:$AD$24, 4, 0)), "", SUBSTITUTE( VALUE( VLOOKUP( APIF_Import!$C291, INDIRECT( "Lookup_" &amp; APIF_Import!$M291), VLOOKUP( APIF_Import!$M291 &amp; APIF_Import!$D$1,Podesavanja!$AA$3:$AD$24, 4, 0), 0)), ".", ","))</f>
        <v>13584363</v>
      </c>
      <c r="E291" s="364" t="str">
        <f ca="1">IF( ISNA( VLOOKUP( APIF_Import!$M291 &amp; APIF_Import!$E$1,Podesavanja!$AA$3:$AD$24, 4, 0)), "", SUBSTITUTE( VALUE( VLOOKUP( APIF_Import!$C291, INDIRECT( "Lookup_" &amp; APIF_Import!$M291), VLOOKUP( APIF_Import!$M291 &amp; APIF_Import!$E$1,Podesavanja!$AA$3:$AD$24, 4, 0), 0)), ".", ","))</f>
        <v>13008086</v>
      </c>
      <c r="F291" s="364" t="str">
        <f ca="1">IF( ISNA( VLOOKUP( APIF_Import!$M291 &amp; APIF_Import!$F$1,Podesavanja!$AA$3:$AD$24, 4, 0)), "", VLOOKUP( APIF_Import!$C291, INDIRECT( "Lookup_" &amp; APIF_Import!$M291), VLOOKUP( APIF_Import!$M291 &amp; APIF_Import!$F$1,Podesavanja!$AA$3:$AD$24, 4, 0), 0))</f>
        <v/>
      </c>
      <c r="G291" s="364" t="str">
        <f ca="1">IF( ISNA( VLOOKUP( APIF_Import!$M291 &amp; APIF_Import!$G$1,Podesavanja!$AA$3:$AD$24, 4, 0)), "", VLOOKUP( APIF_Import!$C291, INDIRECT( "Lookup_" &amp; APIF_Import!$M291), VLOOKUP( APIF_Import!$M291 &amp; APIF_Import!$G$1,Podesavanja!$AA$3:$AD$24, 4, 0), 0))</f>
        <v/>
      </c>
      <c r="H291" s="364" t="str">
        <f ca="1">IF( ISNA( VLOOKUP( APIF_Import!$M291 &amp; APIF_Import!$H$1,Podesavanja!$AA$3:$AD$24, 4, 0)), "", VLOOKUP( APIF_Import!$C291, INDIRECT( "Lookup_" &amp; APIF_Import!$M291), VLOOKUP( APIF_Import!$M291 &amp; APIF_Import!$H$1,Podesavanja!$AA$3:$AD$24, 4, 0), 0))</f>
        <v/>
      </c>
      <c r="I291" s="364" t="str">
        <f ca="1">IF( ISNA( VLOOKUP( APIF_Import!$M291 &amp; APIF_Import!$I$1,Podesavanja!$AA$3:$AD$24, 4, 0)), "", VLOOKUP( APIF_Import!$C291, INDIRECT( "Lookup_" &amp; APIF_Import!$M291), VLOOKUP( APIF_Import!$M291 &amp; APIF_Import!$I$1,Podesavanja!$AA$3:$AD$24, 4, 0), 0))</f>
        <v/>
      </c>
      <c r="J291" s="364" t="str">
        <f ca="1">IF( ISNA( VLOOKUP( APIF_Import!$M291 &amp; APIF_Import!$J$1,Podesavanja!$AA$3:$AD$24, 4, 0)), "", VLOOKUP( APIF_Import!$C291, INDIRECT( "Lookup_" &amp; APIF_Import!$M291), VLOOKUP( APIF_Import!$M291 &amp; APIF_Import!$J$1,Podesavanja!$AA$3:$AD$24, 4, 0), 0))</f>
        <v/>
      </c>
      <c r="K291" s="364" t="str">
        <f ca="1">IF( ISNA( VLOOKUP( APIF_Import!$M291 &amp; APIF_Import!$K$1,Podesavanja!$AA$3:$AD$24, 4, 0)), "", VLOOKUP( APIF_Import!$C291, INDIRECT( "Lookup_" &amp; APIF_Import!$M291), VLOOKUP( APIF_Import!$M291 &amp; APIF_Import!$K$1,Podesavanja!$AA$3:$AD$24, 4, 0), 0))</f>
        <v/>
      </c>
      <c r="L291" s="8">
        <v>303</v>
      </c>
      <c r="M291" s="8" t="s">
        <v>1374</v>
      </c>
    </row>
    <row r="292" spans="2:13" x14ac:dyDescent="0.2">
      <c r="B292" s="8">
        <f>VLOOKUP( APIF_Import!$M292, Podesavanja!$N$3:$Q$9, 4, 0)</f>
        <v>5</v>
      </c>
      <c r="C292" s="363">
        <f>VLOOKUP( APIF_Import!$L292, Aop!$A$2:$N$415, 4, 0)</f>
        <v>531</v>
      </c>
      <c r="D292" s="364" t="str">
        <f ca="1">IF( ISNA( VLOOKUP( APIF_Import!$M292 &amp; APIF_Import!$D$1,Podesavanja!$AA$3:$AD$24, 4, 0)), "", SUBSTITUTE( VALUE( VLOOKUP( APIF_Import!$C292, INDIRECT( "Lookup_" &amp; APIF_Import!$M292), VLOOKUP( APIF_Import!$M292 &amp; APIF_Import!$D$1,Podesavanja!$AA$3:$AD$24, 4, 0), 0)), ".", ","))</f>
        <v>111000</v>
      </c>
      <c r="E292" s="364" t="str">
        <f ca="1">IF( ISNA( VLOOKUP( APIF_Import!$M292 &amp; APIF_Import!$E$1,Podesavanja!$AA$3:$AD$24, 4, 0)), "", SUBSTITUTE( VALUE( VLOOKUP( APIF_Import!$C292, INDIRECT( "Lookup_" &amp; APIF_Import!$M292), VLOOKUP( APIF_Import!$M292 &amp; APIF_Import!$E$1,Podesavanja!$AA$3:$AD$24, 4, 0), 0)), ".", ","))</f>
        <v>136000</v>
      </c>
      <c r="F292" s="364" t="str">
        <f ca="1">IF( ISNA( VLOOKUP( APIF_Import!$M292 &amp; APIF_Import!$F$1,Podesavanja!$AA$3:$AD$24, 4, 0)), "", VLOOKUP( APIF_Import!$C292, INDIRECT( "Lookup_" &amp; APIF_Import!$M292), VLOOKUP( APIF_Import!$M292 &amp; APIF_Import!$F$1,Podesavanja!$AA$3:$AD$24, 4, 0), 0))</f>
        <v/>
      </c>
      <c r="G292" s="364" t="str">
        <f ca="1">IF( ISNA( VLOOKUP( APIF_Import!$M292 &amp; APIF_Import!$G$1,Podesavanja!$AA$3:$AD$24, 4, 0)), "", VLOOKUP( APIF_Import!$C292, INDIRECT( "Lookup_" &amp; APIF_Import!$M292), VLOOKUP( APIF_Import!$M292 &amp; APIF_Import!$G$1,Podesavanja!$AA$3:$AD$24, 4, 0), 0))</f>
        <v/>
      </c>
      <c r="H292" s="364" t="str">
        <f ca="1">IF( ISNA( VLOOKUP( APIF_Import!$M292 &amp; APIF_Import!$H$1,Podesavanja!$AA$3:$AD$24, 4, 0)), "", VLOOKUP( APIF_Import!$C292, INDIRECT( "Lookup_" &amp; APIF_Import!$M292), VLOOKUP( APIF_Import!$M292 &amp; APIF_Import!$H$1,Podesavanja!$AA$3:$AD$24, 4, 0), 0))</f>
        <v/>
      </c>
      <c r="I292" s="364" t="str">
        <f ca="1">IF( ISNA( VLOOKUP( APIF_Import!$M292 &amp; APIF_Import!$I$1,Podesavanja!$AA$3:$AD$24, 4, 0)), "", VLOOKUP( APIF_Import!$C292, INDIRECT( "Lookup_" &amp; APIF_Import!$M292), VLOOKUP( APIF_Import!$M292 &amp; APIF_Import!$I$1,Podesavanja!$AA$3:$AD$24, 4, 0), 0))</f>
        <v/>
      </c>
      <c r="J292" s="364" t="str">
        <f ca="1">IF( ISNA( VLOOKUP( APIF_Import!$M292 &amp; APIF_Import!$J$1,Podesavanja!$AA$3:$AD$24, 4, 0)), "", VLOOKUP( APIF_Import!$C292, INDIRECT( "Lookup_" &amp; APIF_Import!$M292), VLOOKUP( APIF_Import!$M292 &amp; APIF_Import!$J$1,Podesavanja!$AA$3:$AD$24, 4, 0), 0))</f>
        <v/>
      </c>
      <c r="K292" s="364" t="str">
        <f ca="1">IF( ISNA( VLOOKUP( APIF_Import!$M292 &amp; APIF_Import!$K$1,Podesavanja!$AA$3:$AD$24, 4, 0)), "", VLOOKUP( APIF_Import!$C292, INDIRECT( "Lookup_" &amp; APIF_Import!$M292), VLOOKUP( APIF_Import!$M292 &amp; APIF_Import!$K$1,Podesavanja!$AA$3:$AD$24, 4, 0), 0))</f>
        <v/>
      </c>
      <c r="L292" s="8">
        <v>304</v>
      </c>
      <c r="M292" s="8" t="s">
        <v>1374</v>
      </c>
    </row>
    <row r="293" spans="2:13" x14ac:dyDescent="0.2">
      <c r="B293" s="8">
        <f>VLOOKUP( APIF_Import!$M293, Podesavanja!$N$3:$Q$9, 4, 0)</f>
        <v>5</v>
      </c>
      <c r="C293" s="363">
        <f>VLOOKUP( APIF_Import!$L293, Aop!$A$2:$N$415, 4, 0)</f>
        <v>532</v>
      </c>
      <c r="D293" s="364" t="str">
        <f ca="1">IF( ISNA( VLOOKUP( APIF_Import!$M293 &amp; APIF_Import!$D$1,Podesavanja!$AA$3:$AD$24, 4, 0)), "", SUBSTITUTE( VALUE( VLOOKUP( APIF_Import!$C293, INDIRECT( "Lookup_" &amp; APIF_Import!$M293), VLOOKUP( APIF_Import!$M293 &amp; APIF_Import!$D$1,Podesavanja!$AA$3:$AD$24, 4, 0), 0)), ".", ","))</f>
        <v>15118393</v>
      </c>
      <c r="E293" s="364" t="str">
        <f ca="1">IF( ISNA( VLOOKUP( APIF_Import!$M293 &amp; APIF_Import!$E$1,Podesavanja!$AA$3:$AD$24, 4, 0)), "", SUBSTITUTE( VALUE( VLOOKUP( APIF_Import!$C293, INDIRECT( "Lookup_" &amp; APIF_Import!$M293), VLOOKUP( APIF_Import!$M293 &amp; APIF_Import!$E$1,Podesavanja!$AA$3:$AD$24, 4, 0), 0)), ".", ","))</f>
        <v>13605636</v>
      </c>
      <c r="F293" s="364" t="str">
        <f ca="1">IF( ISNA( VLOOKUP( APIF_Import!$M293 &amp; APIF_Import!$F$1,Podesavanja!$AA$3:$AD$24, 4, 0)), "", VLOOKUP( APIF_Import!$C293, INDIRECT( "Lookup_" &amp; APIF_Import!$M293), VLOOKUP( APIF_Import!$M293 &amp; APIF_Import!$F$1,Podesavanja!$AA$3:$AD$24, 4, 0), 0))</f>
        <v/>
      </c>
      <c r="G293" s="364" t="str">
        <f ca="1">IF( ISNA( VLOOKUP( APIF_Import!$M293 &amp; APIF_Import!$G$1,Podesavanja!$AA$3:$AD$24, 4, 0)), "", VLOOKUP( APIF_Import!$C293, INDIRECT( "Lookup_" &amp; APIF_Import!$M293), VLOOKUP( APIF_Import!$M293 &amp; APIF_Import!$G$1,Podesavanja!$AA$3:$AD$24, 4, 0), 0))</f>
        <v/>
      </c>
      <c r="H293" s="364" t="str">
        <f ca="1">IF( ISNA( VLOOKUP( APIF_Import!$M293 &amp; APIF_Import!$H$1,Podesavanja!$AA$3:$AD$24, 4, 0)), "", VLOOKUP( APIF_Import!$C293, INDIRECT( "Lookup_" &amp; APIF_Import!$M293), VLOOKUP( APIF_Import!$M293 &amp; APIF_Import!$H$1,Podesavanja!$AA$3:$AD$24, 4, 0), 0))</f>
        <v/>
      </c>
      <c r="I293" s="364" t="str">
        <f ca="1">IF( ISNA( VLOOKUP( APIF_Import!$M293 &amp; APIF_Import!$I$1,Podesavanja!$AA$3:$AD$24, 4, 0)), "", VLOOKUP( APIF_Import!$C293, INDIRECT( "Lookup_" &amp; APIF_Import!$M293), VLOOKUP( APIF_Import!$M293 &amp; APIF_Import!$I$1,Podesavanja!$AA$3:$AD$24, 4, 0), 0))</f>
        <v/>
      </c>
      <c r="J293" s="364" t="str">
        <f ca="1">IF( ISNA( VLOOKUP( APIF_Import!$M293 &amp; APIF_Import!$J$1,Podesavanja!$AA$3:$AD$24, 4, 0)), "", VLOOKUP( APIF_Import!$C293, INDIRECT( "Lookup_" &amp; APIF_Import!$M293), VLOOKUP( APIF_Import!$M293 &amp; APIF_Import!$J$1,Podesavanja!$AA$3:$AD$24, 4, 0), 0))</f>
        <v/>
      </c>
      <c r="K293" s="364" t="str">
        <f ca="1">IF( ISNA( VLOOKUP( APIF_Import!$M293 &amp; APIF_Import!$K$1,Podesavanja!$AA$3:$AD$24, 4, 0)), "", VLOOKUP( APIF_Import!$C293, INDIRECT( "Lookup_" &amp; APIF_Import!$M293), VLOOKUP( APIF_Import!$M293 &amp; APIF_Import!$K$1,Podesavanja!$AA$3:$AD$24, 4, 0), 0))</f>
        <v/>
      </c>
      <c r="L293" s="8">
        <v>305</v>
      </c>
      <c r="M293" s="8" t="s">
        <v>1374</v>
      </c>
    </row>
    <row r="294" spans="2:13" x14ac:dyDescent="0.2">
      <c r="B294" s="8">
        <f>VLOOKUP( APIF_Import!$M294, Podesavanja!$N$3:$Q$9, 4, 0)</f>
        <v>5</v>
      </c>
      <c r="C294" s="363">
        <f>VLOOKUP( APIF_Import!$L294, Aop!$A$2:$N$415, 4, 0)</f>
        <v>533</v>
      </c>
      <c r="D294" s="364" t="str">
        <f ca="1">IF( ISNA( VLOOKUP( APIF_Import!$M294 &amp; APIF_Import!$D$1,Podesavanja!$AA$3:$AD$24, 4, 0)), "", SUBSTITUTE( VALUE( VLOOKUP( APIF_Import!$C294, INDIRECT( "Lookup_" &amp; APIF_Import!$M294), VLOOKUP( APIF_Import!$M294 &amp; APIF_Import!$D$1,Podesavanja!$AA$3:$AD$24, 4, 0), 0)), ".", ","))</f>
        <v>0</v>
      </c>
      <c r="E294" s="364" t="str">
        <f ca="1">IF( ISNA( VLOOKUP( APIF_Import!$M294 &amp; APIF_Import!$E$1,Podesavanja!$AA$3:$AD$24, 4, 0)), "", SUBSTITUTE( VALUE( VLOOKUP( APIF_Import!$C294, INDIRECT( "Lookup_" &amp; APIF_Import!$M294), VLOOKUP( APIF_Import!$M294 &amp; APIF_Import!$E$1,Podesavanja!$AA$3:$AD$24, 4, 0), 0)), ".", ","))</f>
        <v>0</v>
      </c>
      <c r="F294" s="364" t="str">
        <f ca="1">IF( ISNA( VLOOKUP( APIF_Import!$M294 &amp; APIF_Import!$F$1,Podesavanja!$AA$3:$AD$24, 4, 0)), "", VLOOKUP( APIF_Import!$C294, INDIRECT( "Lookup_" &amp; APIF_Import!$M294), VLOOKUP( APIF_Import!$M294 &amp; APIF_Import!$F$1,Podesavanja!$AA$3:$AD$24, 4, 0), 0))</f>
        <v/>
      </c>
      <c r="G294" s="364" t="str">
        <f ca="1">IF( ISNA( VLOOKUP( APIF_Import!$M294 &amp; APIF_Import!$G$1,Podesavanja!$AA$3:$AD$24, 4, 0)), "", VLOOKUP( APIF_Import!$C294, INDIRECT( "Lookup_" &amp; APIF_Import!$M294), VLOOKUP( APIF_Import!$M294 &amp; APIF_Import!$G$1,Podesavanja!$AA$3:$AD$24, 4, 0), 0))</f>
        <v/>
      </c>
      <c r="H294" s="364" t="str">
        <f ca="1">IF( ISNA( VLOOKUP( APIF_Import!$M294 &amp; APIF_Import!$H$1,Podesavanja!$AA$3:$AD$24, 4, 0)), "", VLOOKUP( APIF_Import!$C294, INDIRECT( "Lookup_" &amp; APIF_Import!$M294), VLOOKUP( APIF_Import!$M294 &amp; APIF_Import!$H$1,Podesavanja!$AA$3:$AD$24, 4, 0), 0))</f>
        <v/>
      </c>
      <c r="I294" s="364" t="str">
        <f ca="1">IF( ISNA( VLOOKUP( APIF_Import!$M294 &amp; APIF_Import!$I$1,Podesavanja!$AA$3:$AD$24, 4, 0)), "", VLOOKUP( APIF_Import!$C294, INDIRECT( "Lookup_" &amp; APIF_Import!$M294), VLOOKUP( APIF_Import!$M294 &amp; APIF_Import!$I$1,Podesavanja!$AA$3:$AD$24, 4, 0), 0))</f>
        <v/>
      </c>
      <c r="J294" s="364" t="str">
        <f ca="1">IF( ISNA( VLOOKUP( APIF_Import!$M294 &amp; APIF_Import!$J$1,Podesavanja!$AA$3:$AD$24, 4, 0)), "", VLOOKUP( APIF_Import!$C294, INDIRECT( "Lookup_" &amp; APIF_Import!$M294), VLOOKUP( APIF_Import!$M294 &amp; APIF_Import!$J$1,Podesavanja!$AA$3:$AD$24, 4, 0), 0))</f>
        <v/>
      </c>
      <c r="K294" s="364" t="str">
        <f ca="1">IF( ISNA( VLOOKUP( APIF_Import!$M294 &amp; APIF_Import!$K$1,Podesavanja!$AA$3:$AD$24, 4, 0)), "", VLOOKUP( APIF_Import!$C294, INDIRECT( "Lookup_" &amp; APIF_Import!$M294), VLOOKUP( APIF_Import!$M294 &amp; APIF_Import!$K$1,Podesavanja!$AA$3:$AD$24, 4, 0), 0))</f>
        <v/>
      </c>
      <c r="L294" s="8">
        <v>306</v>
      </c>
      <c r="M294" s="8" t="s">
        <v>1374</v>
      </c>
    </row>
    <row r="295" spans="2:13" x14ac:dyDescent="0.2">
      <c r="B295" s="8">
        <f>VLOOKUP( APIF_Import!$M295, Podesavanja!$N$3:$Q$9, 4, 0)</f>
        <v>5</v>
      </c>
      <c r="C295" s="363">
        <f>VLOOKUP( APIF_Import!$L295, Aop!$A$2:$N$415, 4, 0)</f>
        <v>534</v>
      </c>
      <c r="D295" s="364" t="str">
        <f ca="1">IF( ISNA( VLOOKUP( APIF_Import!$M295 &amp; APIF_Import!$D$1,Podesavanja!$AA$3:$AD$24, 4, 0)), "", SUBSTITUTE( VALUE( VLOOKUP( APIF_Import!$C295, INDIRECT( "Lookup_" &amp; APIF_Import!$M295), VLOOKUP( APIF_Import!$M295 &amp; APIF_Import!$D$1,Podesavanja!$AA$3:$AD$24, 4, 0), 0)), ".", ","))</f>
        <v>659509</v>
      </c>
      <c r="E295" s="364" t="str">
        <f ca="1">IF( ISNA( VLOOKUP( APIF_Import!$M295 &amp; APIF_Import!$E$1,Podesavanja!$AA$3:$AD$24, 4, 0)), "", SUBSTITUTE( VALUE( VLOOKUP( APIF_Import!$C295, INDIRECT( "Lookup_" &amp; APIF_Import!$M295), VLOOKUP( APIF_Import!$M295 &amp; APIF_Import!$E$1,Podesavanja!$AA$3:$AD$24, 4, 0), 0)), ".", ","))</f>
        <v>436567</v>
      </c>
      <c r="F295" s="364" t="str">
        <f ca="1">IF( ISNA( VLOOKUP( APIF_Import!$M295 &amp; APIF_Import!$F$1,Podesavanja!$AA$3:$AD$24, 4, 0)), "", VLOOKUP( APIF_Import!$C295, INDIRECT( "Lookup_" &amp; APIF_Import!$M295), VLOOKUP( APIF_Import!$M295 &amp; APIF_Import!$F$1,Podesavanja!$AA$3:$AD$24, 4, 0), 0))</f>
        <v/>
      </c>
      <c r="G295" s="364" t="str">
        <f ca="1">IF( ISNA( VLOOKUP( APIF_Import!$M295 &amp; APIF_Import!$G$1,Podesavanja!$AA$3:$AD$24, 4, 0)), "", VLOOKUP( APIF_Import!$C295, INDIRECT( "Lookup_" &amp; APIF_Import!$M295), VLOOKUP( APIF_Import!$M295 &amp; APIF_Import!$G$1,Podesavanja!$AA$3:$AD$24, 4, 0), 0))</f>
        <v/>
      </c>
      <c r="H295" s="364" t="str">
        <f ca="1">IF( ISNA( VLOOKUP( APIF_Import!$M295 &amp; APIF_Import!$H$1,Podesavanja!$AA$3:$AD$24, 4, 0)), "", VLOOKUP( APIF_Import!$C295, INDIRECT( "Lookup_" &amp; APIF_Import!$M295), VLOOKUP( APIF_Import!$M295 &amp; APIF_Import!$H$1,Podesavanja!$AA$3:$AD$24, 4, 0), 0))</f>
        <v/>
      </c>
      <c r="I295" s="364" t="str">
        <f ca="1">IF( ISNA( VLOOKUP( APIF_Import!$M295 &amp; APIF_Import!$I$1,Podesavanja!$AA$3:$AD$24, 4, 0)), "", VLOOKUP( APIF_Import!$C295, INDIRECT( "Lookup_" &amp; APIF_Import!$M295), VLOOKUP( APIF_Import!$M295 &amp; APIF_Import!$I$1,Podesavanja!$AA$3:$AD$24, 4, 0), 0))</f>
        <v/>
      </c>
      <c r="J295" s="364" t="str">
        <f ca="1">IF( ISNA( VLOOKUP( APIF_Import!$M295 &amp; APIF_Import!$J$1,Podesavanja!$AA$3:$AD$24, 4, 0)), "", VLOOKUP( APIF_Import!$C295, INDIRECT( "Lookup_" &amp; APIF_Import!$M295), VLOOKUP( APIF_Import!$M295 &amp; APIF_Import!$J$1,Podesavanja!$AA$3:$AD$24, 4, 0), 0))</f>
        <v/>
      </c>
      <c r="K295" s="364" t="str">
        <f ca="1">IF( ISNA( VLOOKUP( APIF_Import!$M295 &amp; APIF_Import!$K$1,Podesavanja!$AA$3:$AD$24, 4, 0)), "", VLOOKUP( APIF_Import!$C295, INDIRECT( "Lookup_" &amp; APIF_Import!$M295), VLOOKUP( APIF_Import!$M295 &amp; APIF_Import!$K$1,Podesavanja!$AA$3:$AD$24, 4, 0), 0))</f>
        <v/>
      </c>
      <c r="L295" s="8">
        <v>307</v>
      </c>
      <c r="M295" s="8" t="s">
        <v>1374</v>
      </c>
    </row>
    <row r="296" spans="2:13" x14ac:dyDescent="0.2">
      <c r="B296" s="8">
        <f>VLOOKUP( APIF_Import!$M296, Podesavanja!$N$3:$Q$9, 4, 0)</f>
        <v>5</v>
      </c>
      <c r="C296" s="363">
        <f>VLOOKUP( APIF_Import!$L296, Aop!$A$2:$N$415, 4, 0)</f>
        <v>535</v>
      </c>
      <c r="D296" s="364" t="str">
        <f ca="1">IF( ISNA( VLOOKUP( APIF_Import!$M296 &amp; APIF_Import!$D$1,Podesavanja!$AA$3:$AD$24, 4, 0)), "", SUBSTITUTE( VALUE( VLOOKUP( APIF_Import!$C296, INDIRECT( "Lookup_" &amp; APIF_Import!$M296), VLOOKUP( APIF_Import!$M296 &amp; APIF_Import!$D$1,Podesavanja!$AA$3:$AD$24, 4, 0), 0)), ".", ","))</f>
        <v>14113669</v>
      </c>
      <c r="E296" s="364" t="str">
        <f ca="1">IF( ISNA( VLOOKUP( APIF_Import!$M296 &amp; APIF_Import!$E$1,Podesavanja!$AA$3:$AD$24, 4, 0)), "", SUBSTITUTE( VALUE( VLOOKUP( APIF_Import!$C296, INDIRECT( "Lookup_" &amp; APIF_Import!$M296), VLOOKUP( APIF_Import!$M296 &amp; APIF_Import!$E$1,Podesavanja!$AA$3:$AD$24, 4, 0), 0)), ".", ","))</f>
        <v>12847637</v>
      </c>
      <c r="F296" s="364" t="str">
        <f ca="1">IF( ISNA( VLOOKUP( APIF_Import!$M296 &amp; APIF_Import!$F$1,Podesavanja!$AA$3:$AD$24, 4, 0)), "", VLOOKUP( APIF_Import!$C296, INDIRECT( "Lookup_" &amp; APIF_Import!$M296), VLOOKUP( APIF_Import!$M296 &amp; APIF_Import!$F$1,Podesavanja!$AA$3:$AD$24, 4, 0), 0))</f>
        <v/>
      </c>
      <c r="G296" s="364" t="str">
        <f ca="1">IF( ISNA( VLOOKUP( APIF_Import!$M296 &amp; APIF_Import!$G$1,Podesavanja!$AA$3:$AD$24, 4, 0)), "", VLOOKUP( APIF_Import!$C296, INDIRECT( "Lookup_" &amp; APIF_Import!$M296), VLOOKUP( APIF_Import!$M296 &amp; APIF_Import!$G$1,Podesavanja!$AA$3:$AD$24, 4, 0), 0))</f>
        <v/>
      </c>
      <c r="H296" s="364" t="str">
        <f ca="1">IF( ISNA( VLOOKUP( APIF_Import!$M296 &amp; APIF_Import!$H$1,Podesavanja!$AA$3:$AD$24, 4, 0)), "", VLOOKUP( APIF_Import!$C296, INDIRECT( "Lookup_" &amp; APIF_Import!$M296), VLOOKUP( APIF_Import!$M296 &amp; APIF_Import!$H$1,Podesavanja!$AA$3:$AD$24, 4, 0), 0))</f>
        <v/>
      </c>
      <c r="I296" s="364" t="str">
        <f ca="1">IF( ISNA( VLOOKUP( APIF_Import!$M296 &amp; APIF_Import!$I$1,Podesavanja!$AA$3:$AD$24, 4, 0)), "", VLOOKUP( APIF_Import!$C296, INDIRECT( "Lookup_" &amp; APIF_Import!$M296), VLOOKUP( APIF_Import!$M296 &amp; APIF_Import!$I$1,Podesavanja!$AA$3:$AD$24, 4, 0), 0))</f>
        <v/>
      </c>
      <c r="J296" s="364" t="str">
        <f ca="1">IF( ISNA( VLOOKUP( APIF_Import!$M296 &amp; APIF_Import!$J$1,Podesavanja!$AA$3:$AD$24, 4, 0)), "", VLOOKUP( APIF_Import!$C296, INDIRECT( "Lookup_" &amp; APIF_Import!$M296), VLOOKUP( APIF_Import!$M296 &amp; APIF_Import!$J$1,Podesavanja!$AA$3:$AD$24, 4, 0), 0))</f>
        <v/>
      </c>
      <c r="K296" s="364" t="str">
        <f ca="1">IF( ISNA( VLOOKUP( APIF_Import!$M296 &amp; APIF_Import!$K$1,Podesavanja!$AA$3:$AD$24, 4, 0)), "", VLOOKUP( APIF_Import!$C296, INDIRECT( "Lookup_" &amp; APIF_Import!$M296), VLOOKUP( APIF_Import!$M296 &amp; APIF_Import!$K$1,Podesavanja!$AA$3:$AD$24, 4, 0), 0))</f>
        <v/>
      </c>
      <c r="L296" s="8">
        <v>308</v>
      </c>
      <c r="M296" s="8" t="s">
        <v>1374</v>
      </c>
    </row>
    <row r="297" spans="2:13" x14ac:dyDescent="0.2">
      <c r="B297" s="8">
        <f>VLOOKUP( APIF_Import!$M297, Podesavanja!$N$3:$Q$9, 4, 0)</f>
        <v>5</v>
      </c>
      <c r="C297" s="363">
        <f>VLOOKUP( APIF_Import!$L297, Aop!$A$2:$N$415, 4, 0)</f>
        <v>536</v>
      </c>
      <c r="D297" s="364" t="str">
        <f ca="1">IF( ISNA( VLOOKUP( APIF_Import!$M297 &amp; APIF_Import!$D$1,Podesavanja!$AA$3:$AD$24, 4, 0)), "", SUBSTITUTE( VALUE( VLOOKUP( APIF_Import!$C297, INDIRECT( "Lookup_" &amp; APIF_Import!$M297), VLOOKUP( APIF_Import!$M297 &amp; APIF_Import!$D$1,Podesavanja!$AA$3:$AD$24, 4, 0), 0)), ".", ","))</f>
        <v>158693</v>
      </c>
      <c r="E297" s="364" t="str">
        <f ca="1">IF( ISNA( VLOOKUP( APIF_Import!$M297 &amp; APIF_Import!$E$1,Podesavanja!$AA$3:$AD$24, 4, 0)), "", SUBSTITUTE( VALUE( VLOOKUP( APIF_Import!$C297, INDIRECT( "Lookup_" &amp; APIF_Import!$M297), VLOOKUP( APIF_Import!$M297 &amp; APIF_Import!$E$1,Podesavanja!$AA$3:$AD$24, 4, 0), 0)), ".", ","))</f>
        <v>140255</v>
      </c>
      <c r="F297" s="364" t="str">
        <f ca="1">IF( ISNA( VLOOKUP( APIF_Import!$M297 &amp; APIF_Import!$F$1,Podesavanja!$AA$3:$AD$24, 4, 0)), "", VLOOKUP( APIF_Import!$C297, INDIRECT( "Lookup_" &amp; APIF_Import!$M297), VLOOKUP( APIF_Import!$M297 &amp; APIF_Import!$F$1,Podesavanja!$AA$3:$AD$24, 4, 0), 0))</f>
        <v/>
      </c>
      <c r="G297" s="364" t="str">
        <f ca="1">IF( ISNA( VLOOKUP( APIF_Import!$M297 &amp; APIF_Import!$G$1,Podesavanja!$AA$3:$AD$24, 4, 0)), "", VLOOKUP( APIF_Import!$C297, INDIRECT( "Lookup_" &amp; APIF_Import!$M297), VLOOKUP( APIF_Import!$M297 &amp; APIF_Import!$G$1,Podesavanja!$AA$3:$AD$24, 4, 0), 0))</f>
        <v/>
      </c>
      <c r="H297" s="364" t="str">
        <f ca="1">IF( ISNA( VLOOKUP( APIF_Import!$M297 &amp; APIF_Import!$H$1,Podesavanja!$AA$3:$AD$24, 4, 0)), "", VLOOKUP( APIF_Import!$C297, INDIRECT( "Lookup_" &amp; APIF_Import!$M297), VLOOKUP( APIF_Import!$M297 &amp; APIF_Import!$H$1,Podesavanja!$AA$3:$AD$24, 4, 0), 0))</f>
        <v/>
      </c>
      <c r="I297" s="364" t="str">
        <f ca="1">IF( ISNA( VLOOKUP( APIF_Import!$M297 &amp; APIF_Import!$I$1,Podesavanja!$AA$3:$AD$24, 4, 0)), "", VLOOKUP( APIF_Import!$C297, INDIRECT( "Lookup_" &amp; APIF_Import!$M297), VLOOKUP( APIF_Import!$M297 &amp; APIF_Import!$I$1,Podesavanja!$AA$3:$AD$24, 4, 0), 0))</f>
        <v/>
      </c>
      <c r="J297" s="364" t="str">
        <f ca="1">IF( ISNA( VLOOKUP( APIF_Import!$M297 &amp; APIF_Import!$J$1,Podesavanja!$AA$3:$AD$24, 4, 0)), "", VLOOKUP( APIF_Import!$C297, INDIRECT( "Lookup_" &amp; APIF_Import!$M297), VLOOKUP( APIF_Import!$M297 &amp; APIF_Import!$J$1,Podesavanja!$AA$3:$AD$24, 4, 0), 0))</f>
        <v/>
      </c>
      <c r="K297" s="364" t="str">
        <f ca="1">IF( ISNA( VLOOKUP( APIF_Import!$M297 &amp; APIF_Import!$K$1,Podesavanja!$AA$3:$AD$24, 4, 0)), "", VLOOKUP( APIF_Import!$C297, INDIRECT( "Lookup_" &amp; APIF_Import!$M297), VLOOKUP( APIF_Import!$M297 &amp; APIF_Import!$K$1,Podesavanja!$AA$3:$AD$24, 4, 0), 0))</f>
        <v/>
      </c>
      <c r="L297" s="8">
        <v>309</v>
      </c>
      <c r="M297" s="8" t="s">
        <v>1374</v>
      </c>
    </row>
    <row r="298" spans="2:13" x14ac:dyDescent="0.2">
      <c r="B298" s="8">
        <f>VLOOKUP( APIF_Import!$M298, Podesavanja!$N$3:$Q$9, 4, 0)</f>
        <v>5</v>
      </c>
      <c r="C298" s="363">
        <f>VLOOKUP( APIF_Import!$L298, Aop!$A$2:$N$415, 4, 0)</f>
        <v>537</v>
      </c>
      <c r="D298" s="364" t="str">
        <f ca="1">IF( ISNA( VLOOKUP( APIF_Import!$M298 &amp; APIF_Import!$D$1,Podesavanja!$AA$3:$AD$24, 4, 0)), "", SUBSTITUTE( VALUE( VLOOKUP( APIF_Import!$C298, INDIRECT( "Lookup_" &amp; APIF_Import!$M298), VLOOKUP( APIF_Import!$M298 &amp; APIF_Import!$D$1,Podesavanja!$AA$3:$AD$24, 4, 0), 0)), ".", ","))</f>
        <v>38522</v>
      </c>
      <c r="E298" s="364" t="str">
        <f ca="1">IF( ISNA( VLOOKUP( APIF_Import!$M298 &amp; APIF_Import!$E$1,Podesavanja!$AA$3:$AD$24, 4, 0)), "", SUBSTITUTE( VALUE( VLOOKUP( APIF_Import!$C298, INDIRECT( "Lookup_" &amp; APIF_Import!$M298), VLOOKUP( APIF_Import!$M298 &amp; APIF_Import!$E$1,Podesavanja!$AA$3:$AD$24, 4, 0), 0)), ".", ","))</f>
        <v>47677</v>
      </c>
      <c r="F298" s="364" t="str">
        <f ca="1">IF( ISNA( VLOOKUP( APIF_Import!$M298 &amp; APIF_Import!$F$1,Podesavanja!$AA$3:$AD$24, 4, 0)), "", VLOOKUP( APIF_Import!$C298, INDIRECT( "Lookup_" &amp; APIF_Import!$M298), VLOOKUP( APIF_Import!$M298 &amp; APIF_Import!$F$1,Podesavanja!$AA$3:$AD$24, 4, 0), 0))</f>
        <v/>
      </c>
      <c r="G298" s="364" t="str">
        <f ca="1">IF( ISNA( VLOOKUP( APIF_Import!$M298 &amp; APIF_Import!$G$1,Podesavanja!$AA$3:$AD$24, 4, 0)), "", VLOOKUP( APIF_Import!$C298, INDIRECT( "Lookup_" &amp; APIF_Import!$M298), VLOOKUP( APIF_Import!$M298 &amp; APIF_Import!$G$1,Podesavanja!$AA$3:$AD$24, 4, 0), 0))</f>
        <v/>
      </c>
      <c r="H298" s="364" t="str">
        <f ca="1">IF( ISNA( VLOOKUP( APIF_Import!$M298 &amp; APIF_Import!$H$1,Podesavanja!$AA$3:$AD$24, 4, 0)), "", VLOOKUP( APIF_Import!$C298, INDIRECT( "Lookup_" &amp; APIF_Import!$M298), VLOOKUP( APIF_Import!$M298 &amp; APIF_Import!$H$1,Podesavanja!$AA$3:$AD$24, 4, 0), 0))</f>
        <v/>
      </c>
      <c r="I298" s="364" t="str">
        <f ca="1">IF( ISNA( VLOOKUP( APIF_Import!$M298 &amp; APIF_Import!$I$1,Podesavanja!$AA$3:$AD$24, 4, 0)), "", VLOOKUP( APIF_Import!$C298, INDIRECT( "Lookup_" &amp; APIF_Import!$M298), VLOOKUP( APIF_Import!$M298 &amp; APIF_Import!$I$1,Podesavanja!$AA$3:$AD$24, 4, 0), 0))</f>
        <v/>
      </c>
      <c r="J298" s="364" t="str">
        <f ca="1">IF( ISNA( VLOOKUP( APIF_Import!$M298 &amp; APIF_Import!$J$1,Podesavanja!$AA$3:$AD$24, 4, 0)), "", VLOOKUP( APIF_Import!$C298, INDIRECT( "Lookup_" &amp; APIF_Import!$M298), VLOOKUP( APIF_Import!$M298 &amp; APIF_Import!$J$1,Podesavanja!$AA$3:$AD$24, 4, 0), 0))</f>
        <v/>
      </c>
      <c r="K298" s="364" t="str">
        <f ca="1">IF( ISNA( VLOOKUP( APIF_Import!$M298 &amp; APIF_Import!$K$1,Podesavanja!$AA$3:$AD$24, 4, 0)), "", VLOOKUP( APIF_Import!$C298, INDIRECT( "Lookup_" &amp; APIF_Import!$M298), VLOOKUP( APIF_Import!$M298 &amp; APIF_Import!$K$1,Podesavanja!$AA$3:$AD$24, 4, 0), 0))</f>
        <v/>
      </c>
      <c r="L298" s="8">
        <v>310</v>
      </c>
      <c r="M298" s="8" t="s">
        <v>1374</v>
      </c>
    </row>
    <row r="299" spans="2:13" x14ac:dyDescent="0.2">
      <c r="B299" s="8">
        <f>VLOOKUP( APIF_Import!$M299, Podesavanja!$N$3:$Q$9, 4, 0)</f>
        <v>5</v>
      </c>
      <c r="C299" s="363">
        <f>VLOOKUP( APIF_Import!$L299, Aop!$A$2:$N$415, 4, 0)</f>
        <v>538</v>
      </c>
      <c r="D299" s="364" t="str">
        <f ca="1">IF( ISNA( VLOOKUP( APIF_Import!$M299 &amp; APIF_Import!$D$1,Podesavanja!$AA$3:$AD$24, 4, 0)), "", SUBSTITUTE( VALUE( VLOOKUP( APIF_Import!$C299, INDIRECT( "Lookup_" &amp; APIF_Import!$M299), VLOOKUP( APIF_Import!$M299 &amp; APIF_Import!$D$1,Podesavanja!$AA$3:$AD$24, 4, 0), 0)), ".", ","))</f>
        <v>148000</v>
      </c>
      <c r="E299" s="364" t="str">
        <f ca="1">IF( ISNA( VLOOKUP( APIF_Import!$M299 &amp; APIF_Import!$E$1,Podesavanja!$AA$3:$AD$24, 4, 0)), "", SUBSTITUTE( VALUE( VLOOKUP( APIF_Import!$C299, INDIRECT( "Lookup_" &amp; APIF_Import!$M299), VLOOKUP( APIF_Import!$M299 &amp; APIF_Import!$E$1,Podesavanja!$AA$3:$AD$24, 4, 0), 0)), ".", ","))</f>
        <v>133500</v>
      </c>
      <c r="F299" s="364" t="str">
        <f ca="1">IF( ISNA( VLOOKUP( APIF_Import!$M299 &amp; APIF_Import!$F$1,Podesavanja!$AA$3:$AD$24, 4, 0)), "", VLOOKUP( APIF_Import!$C299, INDIRECT( "Lookup_" &amp; APIF_Import!$M299), VLOOKUP( APIF_Import!$M299 &amp; APIF_Import!$F$1,Podesavanja!$AA$3:$AD$24, 4, 0), 0))</f>
        <v/>
      </c>
      <c r="G299" s="364" t="str">
        <f ca="1">IF( ISNA( VLOOKUP( APIF_Import!$M299 &amp; APIF_Import!$G$1,Podesavanja!$AA$3:$AD$24, 4, 0)), "", VLOOKUP( APIF_Import!$C299, INDIRECT( "Lookup_" &amp; APIF_Import!$M299), VLOOKUP( APIF_Import!$M299 &amp; APIF_Import!$G$1,Podesavanja!$AA$3:$AD$24, 4, 0), 0))</f>
        <v/>
      </c>
      <c r="H299" s="364" t="str">
        <f ca="1">IF( ISNA( VLOOKUP( APIF_Import!$M299 &amp; APIF_Import!$H$1,Podesavanja!$AA$3:$AD$24, 4, 0)), "", VLOOKUP( APIF_Import!$C299, INDIRECT( "Lookup_" &amp; APIF_Import!$M299), VLOOKUP( APIF_Import!$M299 &amp; APIF_Import!$H$1,Podesavanja!$AA$3:$AD$24, 4, 0), 0))</f>
        <v/>
      </c>
      <c r="I299" s="364" t="str">
        <f ca="1">IF( ISNA( VLOOKUP( APIF_Import!$M299 &amp; APIF_Import!$I$1,Podesavanja!$AA$3:$AD$24, 4, 0)), "", VLOOKUP( APIF_Import!$C299, INDIRECT( "Lookup_" &amp; APIF_Import!$M299), VLOOKUP( APIF_Import!$M299 &amp; APIF_Import!$I$1,Podesavanja!$AA$3:$AD$24, 4, 0), 0))</f>
        <v/>
      </c>
      <c r="J299" s="364" t="str">
        <f ca="1">IF( ISNA( VLOOKUP( APIF_Import!$M299 &amp; APIF_Import!$J$1,Podesavanja!$AA$3:$AD$24, 4, 0)), "", VLOOKUP( APIF_Import!$C299, INDIRECT( "Lookup_" &amp; APIF_Import!$M299), VLOOKUP( APIF_Import!$M299 &amp; APIF_Import!$J$1,Podesavanja!$AA$3:$AD$24, 4, 0), 0))</f>
        <v/>
      </c>
      <c r="K299" s="364" t="str">
        <f ca="1">IF( ISNA( VLOOKUP( APIF_Import!$M299 &amp; APIF_Import!$K$1,Podesavanja!$AA$3:$AD$24, 4, 0)), "", VLOOKUP( APIF_Import!$C299, INDIRECT( "Lookup_" &amp; APIF_Import!$M299), VLOOKUP( APIF_Import!$M299 &amp; APIF_Import!$K$1,Podesavanja!$AA$3:$AD$24, 4, 0), 0))</f>
        <v/>
      </c>
      <c r="L299" s="8">
        <v>311</v>
      </c>
      <c r="M299" s="8" t="s">
        <v>1374</v>
      </c>
    </row>
    <row r="300" spans="2:13" x14ac:dyDescent="0.2">
      <c r="B300" s="8">
        <f>VLOOKUP( APIF_Import!$M300, Podesavanja!$N$3:$Q$9, 4, 0)</f>
        <v>5</v>
      </c>
      <c r="C300" s="363">
        <f>VLOOKUP( APIF_Import!$L300, Aop!$A$2:$N$415, 4, 0)</f>
        <v>539</v>
      </c>
      <c r="D300" s="364" t="str">
        <f ca="1">IF( ISNA( VLOOKUP( APIF_Import!$M300 &amp; APIF_Import!$D$1,Podesavanja!$AA$3:$AD$24, 4, 0)), "", SUBSTITUTE( VALUE( VLOOKUP( APIF_Import!$C300, INDIRECT( "Lookup_" &amp; APIF_Import!$M300), VLOOKUP( APIF_Import!$M300 &amp; APIF_Import!$D$1,Podesavanja!$AA$3:$AD$24, 4, 0), 0)), ".", ","))</f>
        <v>0</v>
      </c>
      <c r="E300" s="364" t="str">
        <f ca="1">IF( ISNA( VLOOKUP( APIF_Import!$M300 &amp; APIF_Import!$E$1,Podesavanja!$AA$3:$AD$24, 4, 0)), "", SUBSTITUTE( VALUE( VLOOKUP( APIF_Import!$C300, INDIRECT( "Lookup_" &amp; APIF_Import!$M300), VLOOKUP( APIF_Import!$M300 &amp; APIF_Import!$E$1,Podesavanja!$AA$3:$AD$24, 4, 0), 0)), ".", ","))</f>
        <v>0</v>
      </c>
      <c r="F300" s="364" t="str">
        <f ca="1">IF( ISNA( VLOOKUP( APIF_Import!$M300 &amp; APIF_Import!$F$1,Podesavanja!$AA$3:$AD$24, 4, 0)), "", VLOOKUP( APIF_Import!$C300, INDIRECT( "Lookup_" &amp; APIF_Import!$M300), VLOOKUP( APIF_Import!$M300 &amp; APIF_Import!$F$1,Podesavanja!$AA$3:$AD$24, 4, 0), 0))</f>
        <v/>
      </c>
      <c r="G300" s="364" t="str">
        <f ca="1">IF( ISNA( VLOOKUP( APIF_Import!$M300 &amp; APIF_Import!$G$1,Podesavanja!$AA$3:$AD$24, 4, 0)), "", VLOOKUP( APIF_Import!$C300, INDIRECT( "Lookup_" &amp; APIF_Import!$M300), VLOOKUP( APIF_Import!$M300 &amp; APIF_Import!$G$1,Podesavanja!$AA$3:$AD$24, 4, 0), 0))</f>
        <v/>
      </c>
      <c r="H300" s="364" t="str">
        <f ca="1">IF( ISNA( VLOOKUP( APIF_Import!$M300 &amp; APIF_Import!$H$1,Podesavanja!$AA$3:$AD$24, 4, 0)), "", VLOOKUP( APIF_Import!$C300, INDIRECT( "Lookup_" &amp; APIF_Import!$M300), VLOOKUP( APIF_Import!$M300 &amp; APIF_Import!$H$1,Podesavanja!$AA$3:$AD$24, 4, 0), 0))</f>
        <v/>
      </c>
      <c r="I300" s="364" t="str">
        <f ca="1">IF( ISNA( VLOOKUP( APIF_Import!$M300 &amp; APIF_Import!$I$1,Podesavanja!$AA$3:$AD$24, 4, 0)), "", VLOOKUP( APIF_Import!$C300, INDIRECT( "Lookup_" &amp; APIF_Import!$M300), VLOOKUP( APIF_Import!$M300 &amp; APIF_Import!$I$1,Podesavanja!$AA$3:$AD$24, 4, 0), 0))</f>
        <v/>
      </c>
      <c r="J300" s="364" t="str">
        <f ca="1">IF( ISNA( VLOOKUP( APIF_Import!$M300 &amp; APIF_Import!$J$1,Podesavanja!$AA$3:$AD$24, 4, 0)), "", VLOOKUP( APIF_Import!$C300, INDIRECT( "Lookup_" &amp; APIF_Import!$M300), VLOOKUP( APIF_Import!$M300 &amp; APIF_Import!$J$1,Podesavanja!$AA$3:$AD$24, 4, 0), 0))</f>
        <v/>
      </c>
      <c r="K300" s="364" t="str">
        <f ca="1">IF( ISNA( VLOOKUP( APIF_Import!$M300 &amp; APIF_Import!$K$1,Podesavanja!$AA$3:$AD$24, 4, 0)), "", VLOOKUP( APIF_Import!$C300, INDIRECT( "Lookup_" &amp; APIF_Import!$M300), VLOOKUP( APIF_Import!$M300 &amp; APIF_Import!$K$1,Podesavanja!$AA$3:$AD$24, 4, 0), 0))</f>
        <v/>
      </c>
      <c r="L300" s="8">
        <v>312</v>
      </c>
      <c r="M300" s="8" t="s">
        <v>1374</v>
      </c>
    </row>
    <row r="301" spans="2:13" x14ac:dyDescent="0.2">
      <c r="B301" s="8">
        <f>VLOOKUP( APIF_Import!$M301, Podesavanja!$N$3:$Q$9, 4, 0)</f>
        <v>5</v>
      </c>
      <c r="C301" s="363">
        <f>VLOOKUP( APIF_Import!$L301, Aop!$A$2:$N$415, 4, 0)</f>
        <v>540</v>
      </c>
      <c r="D301" s="364" t="str">
        <f ca="1">IF( ISNA( VLOOKUP( APIF_Import!$M301 &amp; APIF_Import!$D$1,Podesavanja!$AA$3:$AD$24, 4, 0)), "", SUBSTITUTE( VALUE( VLOOKUP( APIF_Import!$C301, INDIRECT( "Lookup_" &amp; APIF_Import!$M301), VLOOKUP( APIF_Import!$M301 &amp; APIF_Import!$D$1,Podesavanja!$AA$3:$AD$24, 4, 0), 0)), ".", ","))</f>
        <v>723030</v>
      </c>
      <c r="E301" s="364" t="str">
        <f ca="1">IF( ISNA( VLOOKUP( APIF_Import!$M301 &amp; APIF_Import!$E$1,Podesavanja!$AA$3:$AD$24, 4, 0)), "", SUBSTITUTE( VALUE( VLOOKUP( APIF_Import!$C301, INDIRECT( "Lookup_" &amp; APIF_Import!$M301), VLOOKUP( APIF_Import!$M301 &amp; APIF_Import!$E$1,Podesavanja!$AA$3:$AD$24, 4, 0), 0)), ".", ","))</f>
        <v>61550</v>
      </c>
      <c r="F301" s="364" t="str">
        <f ca="1">IF( ISNA( VLOOKUP( APIF_Import!$M301 &amp; APIF_Import!$F$1,Podesavanja!$AA$3:$AD$24, 4, 0)), "", VLOOKUP( APIF_Import!$C301, INDIRECT( "Lookup_" &amp; APIF_Import!$M301), VLOOKUP( APIF_Import!$M301 &amp; APIF_Import!$F$1,Podesavanja!$AA$3:$AD$24, 4, 0), 0))</f>
        <v/>
      </c>
      <c r="G301" s="364" t="str">
        <f ca="1">IF( ISNA( VLOOKUP( APIF_Import!$M301 &amp; APIF_Import!$G$1,Podesavanja!$AA$3:$AD$24, 4, 0)), "", VLOOKUP( APIF_Import!$C301, INDIRECT( "Lookup_" &amp; APIF_Import!$M301), VLOOKUP( APIF_Import!$M301 &amp; APIF_Import!$G$1,Podesavanja!$AA$3:$AD$24, 4, 0), 0))</f>
        <v/>
      </c>
      <c r="H301" s="364" t="str">
        <f ca="1">IF( ISNA( VLOOKUP( APIF_Import!$M301 &amp; APIF_Import!$H$1,Podesavanja!$AA$3:$AD$24, 4, 0)), "", VLOOKUP( APIF_Import!$C301, INDIRECT( "Lookup_" &amp; APIF_Import!$M301), VLOOKUP( APIF_Import!$M301 &amp; APIF_Import!$H$1,Podesavanja!$AA$3:$AD$24, 4, 0), 0))</f>
        <v/>
      </c>
      <c r="I301" s="364" t="str">
        <f ca="1">IF( ISNA( VLOOKUP( APIF_Import!$M301 &amp; APIF_Import!$I$1,Podesavanja!$AA$3:$AD$24, 4, 0)), "", VLOOKUP( APIF_Import!$C301, INDIRECT( "Lookup_" &amp; APIF_Import!$M301), VLOOKUP( APIF_Import!$M301 &amp; APIF_Import!$I$1,Podesavanja!$AA$3:$AD$24, 4, 0), 0))</f>
        <v/>
      </c>
      <c r="J301" s="364" t="str">
        <f ca="1">IF( ISNA( VLOOKUP( APIF_Import!$M301 &amp; APIF_Import!$J$1,Podesavanja!$AA$3:$AD$24, 4, 0)), "", VLOOKUP( APIF_Import!$C301, INDIRECT( "Lookup_" &amp; APIF_Import!$M301), VLOOKUP( APIF_Import!$M301 &amp; APIF_Import!$J$1,Podesavanja!$AA$3:$AD$24, 4, 0), 0))</f>
        <v/>
      </c>
      <c r="K301" s="364" t="str">
        <f ca="1">IF( ISNA( VLOOKUP( APIF_Import!$M301 &amp; APIF_Import!$K$1,Podesavanja!$AA$3:$AD$24, 4, 0)), "", VLOOKUP( APIF_Import!$C301, INDIRECT( "Lookup_" &amp; APIF_Import!$M301), VLOOKUP( APIF_Import!$M301 &amp; APIF_Import!$K$1,Podesavanja!$AA$3:$AD$24, 4, 0), 0))</f>
        <v/>
      </c>
      <c r="L301" s="8">
        <v>313</v>
      </c>
      <c r="M301" s="8" t="s">
        <v>1374</v>
      </c>
    </row>
    <row r="302" spans="2:13" x14ac:dyDescent="0.2">
      <c r="B302" s="8">
        <f>VLOOKUP( APIF_Import!$M302, Podesavanja!$N$3:$Q$9, 4, 0)</f>
        <v>5</v>
      </c>
      <c r="C302" s="363">
        <f>VLOOKUP( APIF_Import!$L302, Aop!$A$2:$N$415, 4, 0)</f>
        <v>541</v>
      </c>
      <c r="D302" s="364" t="str">
        <f ca="1">IF( ISNA( VLOOKUP( APIF_Import!$M302 &amp; APIF_Import!$D$1,Podesavanja!$AA$3:$AD$24, 4, 0)), "", SUBSTITUTE( VALUE( VLOOKUP( APIF_Import!$C302, INDIRECT( "Lookup_" &amp; APIF_Import!$M302), VLOOKUP( APIF_Import!$M302 &amp; APIF_Import!$D$1,Podesavanja!$AA$3:$AD$24, 4, 0), 0)), ".", ","))</f>
        <v>33859239</v>
      </c>
      <c r="E302" s="364" t="str">
        <f ca="1">IF( ISNA( VLOOKUP( APIF_Import!$M302 &amp; APIF_Import!$E$1,Podesavanja!$AA$3:$AD$24, 4, 0)), "", SUBSTITUTE( VALUE( VLOOKUP( APIF_Import!$C302, INDIRECT( "Lookup_" &amp; APIF_Import!$M302), VLOOKUP( APIF_Import!$M302 &amp; APIF_Import!$E$1,Podesavanja!$AA$3:$AD$24, 4, 0), 0)), ".", ","))</f>
        <v>28619572</v>
      </c>
      <c r="F302" s="364" t="str">
        <f ca="1">IF( ISNA( VLOOKUP( APIF_Import!$M302 &amp; APIF_Import!$F$1,Podesavanja!$AA$3:$AD$24, 4, 0)), "", VLOOKUP( APIF_Import!$C302, INDIRECT( "Lookup_" &amp; APIF_Import!$M302), VLOOKUP( APIF_Import!$M302 &amp; APIF_Import!$F$1,Podesavanja!$AA$3:$AD$24, 4, 0), 0))</f>
        <v/>
      </c>
      <c r="G302" s="364" t="str">
        <f ca="1">IF( ISNA( VLOOKUP( APIF_Import!$M302 &amp; APIF_Import!$G$1,Podesavanja!$AA$3:$AD$24, 4, 0)), "", VLOOKUP( APIF_Import!$C302, INDIRECT( "Lookup_" &amp; APIF_Import!$M302), VLOOKUP( APIF_Import!$M302 &amp; APIF_Import!$G$1,Podesavanja!$AA$3:$AD$24, 4, 0), 0))</f>
        <v/>
      </c>
      <c r="H302" s="364" t="str">
        <f ca="1">IF( ISNA( VLOOKUP( APIF_Import!$M302 &amp; APIF_Import!$H$1,Podesavanja!$AA$3:$AD$24, 4, 0)), "", VLOOKUP( APIF_Import!$C302, INDIRECT( "Lookup_" &amp; APIF_Import!$M302), VLOOKUP( APIF_Import!$M302 &amp; APIF_Import!$H$1,Podesavanja!$AA$3:$AD$24, 4, 0), 0))</f>
        <v/>
      </c>
      <c r="I302" s="364" t="str">
        <f ca="1">IF( ISNA( VLOOKUP( APIF_Import!$M302 &amp; APIF_Import!$I$1,Podesavanja!$AA$3:$AD$24, 4, 0)), "", VLOOKUP( APIF_Import!$C302, INDIRECT( "Lookup_" &amp; APIF_Import!$M302), VLOOKUP( APIF_Import!$M302 &amp; APIF_Import!$I$1,Podesavanja!$AA$3:$AD$24, 4, 0), 0))</f>
        <v/>
      </c>
      <c r="J302" s="364" t="str">
        <f ca="1">IF( ISNA( VLOOKUP( APIF_Import!$M302 &amp; APIF_Import!$J$1,Podesavanja!$AA$3:$AD$24, 4, 0)), "", VLOOKUP( APIF_Import!$C302, INDIRECT( "Lookup_" &amp; APIF_Import!$M302), VLOOKUP( APIF_Import!$M302 &amp; APIF_Import!$J$1,Podesavanja!$AA$3:$AD$24, 4, 0), 0))</f>
        <v/>
      </c>
      <c r="K302" s="364" t="str">
        <f ca="1">IF( ISNA( VLOOKUP( APIF_Import!$M302 &amp; APIF_Import!$K$1,Podesavanja!$AA$3:$AD$24, 4, 0)), "", VLOOKUP( APIF_Import!$C302, INDIRECT( "Lookup_" &amp; APIF_Import!$M302), VLOOKUP( APIF_Import!$M302 &amp; APIF_Import!$K$1,Podesavanja!$AA$3:$AD$24, 4, 0), 0))</f>
        <v/>
      </c>
      <c r="L302" s="8">
        <v>314</v>
      </c>
      <c r="M302" s="8" t="s">
        <v>1374</v>
      </c>
    </row>
    <row r="303" spans="2:13" x14ac:dyDescent="0.2">
      <c r="B303" s="8">
        <f>VLOOKUP( APIF_Import!$M303, Podesavanja!$N$3:$Q$9, 4, 0)</f>
        <v>5</v>
      </c>
      <c r="C303" s="363">
        <f>VLOOKUP( APIF_Import!$L303, Aop!$A$2:$N$415, 4, 0)</f>
        <v>542</v>
      </c>
      <c r="D303" s="364" t="str">
        <f ca="1">IF( ISNA( VLOOKUP( APIF_Import!$M303 &amp; APIF_Import!$D$1,Podesavanja!$AA$3:$AD$24, 4, 0)), "", SUBSTITUTE( VALUE( VLOOKUP( APIF_Import!$C303, INDIRECT( "Lookup_" &amp; APIF_Import!$M303), VLOOKUP( APIF_Import!$M303 &amp; APIF_Import!$D$1,Podesavanja!$AA$3:$AD$24, 4, 0), 0)), ".", ","))</f>
        <v>33648628</v>
      </c>
      <c r="E303" s="364" t="str">
        <f ca="1">IF( ISNA( VLOOKUP( APIF_Import!$M303 &amp; APIF_Import!$E$1,Podesavanja!$AA$3:$AD$24, 4, 0)), "", SUBSTITUTE( VALUE( VLOOKUP( APIF_Import!$C303, INDIRECT( "Lookup_" &amp; APIF_Import!$M303), VLOOKUP( APIF_Import!$M303 &amp; APIF_Import!$E$1,Podesavanja!$AA$3:$AD$24, 4, 0), 0)), ".", ","))</f>
        <v>28611591</v>
      </c>
      <c r="F303" s="364" t="str">
        <f ca="1">IF( ISNA( VLOOKUP( APIF_Import!$M303 &amp; APIF_Import!$F$1,Podesavanja!$AA$3:$AD$24, 4, 0)), "", VLOOKUP( APIF_Import!$C303, INDIRECT( "Lookup_" &amp; APIF_Import!$M303), VLOOKUP( APIF_Import!$M303 &amp; APIF_Import!$F$1,Podesavanja!$AA$3:$AD$24, 4, 0), 0))</f>
        <v/>
      </c>
      <c r="G303" s="364" t="str">
        <f ca="1">IF( ISNA( VLOOKUP( APIF_Import!$M303 &amp; APIF_Import!$G$1,Podesavanja!$AA$3:$AD$24, 4, 0)), "", VLOOKUP( APIF_Import!$C303, INDIRECT( "Lookup_" &amp; APIF_Import!$M303), VLOOKUP( APIF_Import!$M303 &amp; APIF_Import!$G$1,Podesavanja!$AA$3:$AD$24, 4, 0), 0))</f>
        <v/>
      </c>
      <c r="H303" s="364" t="str">
        <f ca="1">IF( ISNA( VLOOKUP( APIF_Import!$M303 &amp; APIF_Import!$H$1,Podesavanja!$AA$3:$AD$24, 4, 0)), "", VLOOKUP( APIF_Import!$C303, INDIRECT( "Lookup_" &amp; APIF_Import!$M303), VLOOKUP( APIF_Import!$M303 &amp; APIF_Import!$H$1,Podesavanja!$AA$3:$AD$24, 4, 0), 0))</f>
        <v/>
      </c>
      <c r="I303" s="364" t="str">
        <f ca="1">IF( ISNA( VLOOKUP( APIF_Import!$M303 &amp; APIF_Import!$I$1,Podesavanja!$AA$3:$AD$24, 4, 0)), "", VLOOKUP( APIF_Import!$C303, INDIRECT( "Lookup_" &amp; APIF_Import!$M303), VLOOKUP( APIF_Import!$M303 &amp; APIF_Import!$I$1,Podesavanja!$AA$3:$AD$24, 4, 0), 0))</f>
        <v/>
      </c>
      <c r="J303" s="364" t="str">
        <f ca="1">IF( ISNA( VLOOKUP( APIF_Import!$M303 &amp; APIF_Import!$J$1,Podesavanja!$AA$3:$AD$24, 4, 0)), "", VLOOKUP( APIF_Import!$C303, INDIRECT( "Lookup_" &amp; APIF_Import!$M303), VLOOKUP( APIF_Import!$M303 &amp; APIF_Import!$J$1,Podesavanja!$AA$3:$AD$24, 4, 0), 0))</f>
        <v/>
      </c>
      <c r="K303" s="364" t="str">
        <f ca="1">IF( ISNA( VLOOKUP( APIF_Import!$M303 &amp; APIF_Import!$K$1,Podesavanja!$AA$3:$AD$24, 4, 0)), "", VLOOKUP( APIF_Import!$C303, INDIRECT( "Lookup_" &amp; APIF_Import!$M303), VLOOKUP( APIF_Import!$M303 &amp; APIF_Import!$K$1,Podesavanja!$AA$3:$AD$24, 4, 0), 0))</f>
        <v/>
      </c>
      <c r="L303" s="8">
        <v>315</v>
      </c>
      <c r="M303" s="8" t="s">
        <v>1374</v>
      </c>
    </row>
    <row r="304" spans="2:13" x14ac:dyDescent="0.2">
      <c r="B304" s="8">
        <f>VLOOKUP( APIF_Import!$M304, Podesavanja!$N$3:$Q$9, 4, 0)</f>
        <v>5</v>
      </c>
      <c r="C304" s="363">
        <f>VLOOKUP( APIF_Import!$L304, Aop!$A$2:$N$415, 4, 0)</f>
        <v>543</v>
      </c>
      <c r="D304" s="364" t="str">
        <f ca="1">IF( ISNA( VLOOKUP( APIF_Import!$M304 &amp; APIF_Import!$D$1,Podesavanja!$AA$3:$AD$24, 4, 0)), "", SUBSTITUTE( VALUE( VLOOKUP( APIF_Import!$C304, INDIRECT( "Lookup_" &amp; APIF_Import!$M304), VLOOKUP( APIF_Import!$M304 &amp; APIF_Import!$D$1,Podesavanja!$AA$3:$AD$24, 4, 0), 0)), ".", ","))</f>
        <v>210611</v>
      </c>
      <c r="E304" s="364" t="str">
        <f ca="1">IF( ISNA( VLOOKUP( APIF_Import!$M304 &amp; APIF_Import!$E$1,Podesavanja!$AA$3:$AD$24, 4, 0)), "", SUBSTITUTE( VALUE( VLOOKUP( APIF_Import!$C304, INDIRECT( "Lookup_" &amp; APIF_Import!$M304), VLOOKUP( APIF_Import!$M304 &amp; APIF_Import!$E$1,Podesavanja!$AA$3:$AD$24, 4, 0), 0)), ".", ","))</f>
        <v>7981</v>
      </c>
      <c r="F304" s="364" t="str">
        <f ca="1">IF( ISNA( VLOOKUP( APIF_Import!$M304 &amp; APIF_Import!$F$1,Podesavanja!$AA$3:$AD$24, 4, 0)), "", VLOOKUP( APIF_Import!$C304, INDIRECT( "Lookup_" &amp; APIF_Import!$M304), VLOOKUP( APIF_Import!$M304 &amp; APIF_Import!$F$1,Podesavanja!$AA$3:$AD$24, 4, 0), 0))</f>
        <v/>
      </c>
      <c r="G304" s="364" t="str">
        <f ca="1">IF( ISNA( VLOOKUP( APIF_Import!$M304 &amp; APIF_Import!$G$1,Podesavanja!$AA$3:$AD$24, 4, 0)), "", VLOOKUP( APIF_Import!$C304, INDIRECT( "Lookup_" &amp; APIF_Import!$M304), VLOOKUP( APIF_Import!$M304 &amp; APIF_Import!$G$1,Podesavanja!$AA$3:$AD$24, 4, 0), 0))</f>
        <v/>
      </c>
      <c r="H304" s="364" t="str">
        <f ca="1">IF( ISNA( VLOOKUP( APIF_Import!$M304 &amp; APIF_Import!$H$1,Podesavanja!$AA$3:$AD$24, 4, 0)), "", VLOOKUP( APIF_Import!$C304, INDIRECT( "Lookup_" &amp; APIF_Import!$M304), VLOOKUP( APIF_Import!$M304 &amp; APIF_Import!$H$1,Podesavanja!$AA$3:$AD$24, 4, 0), 0))</f>
        <v/>
      </c>
      <c r="I304" s="364" t="str">
        <f ca="1">IF( ISNA( VLOOKUP( APIF_Import!$M304 &amp; APIF_Import!$I$1,Podesavanja!$AA$3:$AD$24, 4, 0)), "", VLOOKUP( APIF_Import!$C304, INDIRECT( "Lookup_" &amp; APIF_Import!$M304), VLOOKUP( APIF_Import!$M304 &amp; APIF_Import!$I$1,Podesavanja!$AA$3:$AD$24, 4, 0), 0))</f>
        <v/>
      </c>
      <c r="J304" s="364" t="str">
        <f ca="1">IF( ISNA( VLOOKUP( APIF_Import!$M304 &amp; APIF_Import!$J$1,Podesavanja!$AA$3:$AD$24, 4, 0)), "", VLOOKUP( APIF_Import!$C304, INDIRECT( "Lookup_" &amp; APIF_Import!$M304), VLOOKUP( APIF_Import!$M304 &amp; APIF_Import!$J$1,Podesavanja!$AA$3:$AD$24, 4, 0), 0))</f>
        <v/>
      </c>
      <c r="K304" s="364" t="str">
        <f ca="1">IF( ISNA( VLOOKUP( APIF_Import!$M304 &amp; APIF_Import!$K$1,Podesavanja!$AA$3:$AD$24, 4, 0)), "", VLOOKUP( APIF_Import!$C304, INDIRECT( "Lookup_" &amp; APIF_Import!$M304), VLOOKUP( APIF_Import!$M304 &amp; APIF_Import!$K$1,Podesavanja!$AA$3:$AD$24, 4, 0), 0))</f>
        <v/>
      </c>
      <c r="L304" s="8">
        <v>316</v>
      </c>
      <c r="M304" s="8" t="s">
        <v>1374</v>
      </c>
    </row>
    <row r="305" spans="2:13" x14ac:dyDescent="0.2">
      <c r="B305" s="8">
        <f>VLOOKUP( APIF_Import!$M305, Podesavanja!$N$3:$Q$9, 4, 0)</f>
        <v>5</v>
      </c>
      <c r="C305" s="363">
        <f>VLOOKUP( APIF_Import!$L305, Aop!$A$2:$N$415, 4, 0)</f>
        <v>544</v>
      </c>
      <c r="D305" s="364" t="str">
        <f ca="1">IF( ISNA( VLOOKUP( APIF_Import!$M305 &amp; APIF_Import!$D$1,Podesavanja!$AA$3:$AD$24, 4, 0)), "", SUBSTITUTE( VALUE( VLOOKUP( APIF_Import!$C305, INDIRECT( "Lookup_" &amp; APIF_Import!$M305), VLOOKUP( APIF_Import!$M305 &amp; APIF_Import!$D$1,Podesavanja!$AA$3:$AD$24, 4, 0), 0)), ".", ","))</f>
        <v>0</v>
      </c>
      <c r="E305" s="364" t="str">
        <f ca="1">IF( ISNA( VLOOKUP( APIF_Import!$M305 &amp; APIF_Import!$E$1,Podesavanja!$AA$3:$AD$24, 4, 0)), "", SUBSTITUTE( VALUE( VLOOKUP( APIF_Import!$C305, INDIRECT( "Lookup_" &amp; APIF_Import!$M305), VLOOKUP( APIF_Import!$M305 &amp; APIF_Import!$E$1,Podesavanja!$AA$3:$AD$24, 4, 0), 0)), ".", ","))</f>
        <v>0</v>
      </c>
      <c r="F305" s="364" t="str">
        <f ca="1">IF( ISNA( VLOOKUP( APIF_Import!$M305 &amp; APIF_Import!$F$1,Podesavanja!$AA$3:$AD$24, 4, 0)), "", VLOOKUP( APIF_Import!$C305, INDIRECT( "Lookup_" &amp; APIF_Import!$M305), VLOOKUP( APIF_Import!$M305 &amp; APIF_Import!$F$1,Podesavanja!$AA$3:$AD$24, 4, 0), 0))</f>
        <v/>
      </c>
      <c r="G305" s="364" t="str">
        <f ca="1">IF( ISNA( VLOOKUP( APIF_Import!$M305 &amp; APIF_Import!$G$1,Podesavanja!$AA$3:$AD$24, 4, 0)), "", VLOOKUP( APIF_Import!$C305, INDIRECT( "Lookup_" &amp; APIF_Import!$M305), VLOOKUP( APIF_Import!$M305 &amp; APIF_Import!$G$1,Podesavanja!$AA$3:$AD$24, 4, 0), 0))</f>
        <v/>
      </c>
      <c r="H305" s="364" t="str">
        <f ca="1">IF( ISNA( VLOOKUP( APIF_Import!$M305 &amp; APIF_Import!$H$1,Podesavanja!$AA$3:$AD$24, 4, 0)), "", VLOOKUP( APIF_Import!$C305, INDIRECT( "Lookup_" &amp; APIF_Import!$M305), VLOOKUP( APIF_Import!$M305 &amp; APIF_Import!$H$1,Podesavanja!$AA$3:$AD$24, 4, 0), 0))</f>
        <v/>
      </c>
      <c r="I305" s="364" t="str">
        <f ca="1">IF( ISNA( VLOOKUP( APIF_Import!$M305 &amp; APIF_Import!$I$1,Podesavanja!$AA$3:$AD$24, 4, 0)), "", VLOOKUP( APIF_Import!$C305, INDIRECT( "Lookup_" &amp; APIF_Import!$M305), VLOOKUP( APIF_Import!$M305 &amp; APIF_Import!$I$1,Podesavanja!$AA$3:$AD$24, 4, 0), 0))</f>
        <v/>
      </c>
      <c r="J305" s="364" t="str">
        <f ca="1">IF( ISNA( VLOOKUP( APIF_Import!$M305 &amp; APIF_Import!$J$1,Podesavanja!$AA$3:$AD$24, 4, 0)), "", VLOOKUP( APIF_Import!$C305, INDIRECT( "Lookup_" &amp; APIF_Import!$M305), VLOOKUP( APIF_Import!$M305 &amp; APIF_Import!$J$1,Podesavanja!$AA$3:$AD$24, 4, 0), 0))</f>
        <v/>
      </c>
      <c r="K305" s="364" t="str">
        <f ca="1">IF( ISNA( VLOOKUP( APIF_Import!$M305 &amp; APIF_Import!$K$1,Podesavanja!$AA$3:$AD$24, 4, 0)), "", VLOOKUP( APIF_Import!$C305, INDIRECT( "Lookup_" &amp; APIF_Import!$M305), VLOOKUP( APIF_Import!$M305 &amp; APIF_Import!$K$1,Podesavanja!$AA$3:$AD$24, 4, 0), 0))</f>
        <v/>
      </c>
      <c r="L305" s="8">
        <v>317</v>
      </c>
      <c r="M305" s="8" t="s">
        <v>1374</v>
      </c>
    </row>
    <row r="306" spans="2:13" x14ac:dyDescent="0.2">
      <c r="B306" s="8">
        <f>VLOOKUP( APIF_Import!$M306, Podesavanja!$N$3:$Q$9, 4, 0)</f>
        <v>5</v>
      </c>
      <c r="C306" s="363">
        <f>VLOOKUP( APIF_Import!$L306, Aop!$A$2:$N$415, 4, 0)</f>
        <v>545</v>
      </c>
      <c r="D306" s="364" t="str">
        <f ca="1">IF( ISNA( VLOOKUP( APIF_Import!$M306 &amp; APIF_Import!$D$1,Podesavanja!$AA$3:$AD$24, 4, 0)), "", SUBSTITUTE( VALUE( VLOOKUP( APIF_Import!$C306, INDIRECT( "Lookup_" &amp; APIF_Import!$M306), VLOOKUP( APIF_Import!$M306 &amp; APIF_Import!$D$1,Podesavanja!$AA$3:$AD$24, 4, 0), 0)), ".", ","))</f>
        <v>26133</v>
      </c>
      <c r="E306" s="364" t="str">
        <f ca="1">IF( ISNA( VLOOKUP( APIF_Import!$M306 &amp; APIF_Import!$E$1,Podesavanja!$AA$3:$AD$24, 4, 0)), "", SUBSTITUTE( VALUE( VLOOKUP( APIF_Import!$C306, INDIRECT( "Lookup_" &amp; APIF_Import!$M306), VLOOKUP( APIF_Import!$M306 &amp; APIF_Import!$E$1,Podesavanja!$AA$3:$AD$24, 4, 0), 0)), ".", ","))</f>
        <v>26318</v>
      </c>
      <c r="F306" s="364" t="str">
        <f ca="1">IF( ISNA( VLOOKUP( APIF_Import!$M306 &amp; APIF_Import!$F$1,Podesavanja!$AA$3:$AD$24, 4, 0)), "", VLOOKUP( APIF_Import!$C306, INDIRECT( "Lookup_" &amp; APIF_Import!$M306), VLOOKUP( APIF_Import!$M306 &amp; APIF_Import!$F$1,Podesavanja!$AA$3:$AD$24, 4, 0), 0))</f>
        <v/>
      </c>
      <c r="G306" s="364" t="str">
        <f ca="1">IF( ISNA( VLOOKUP( APIF_Import!$M306 &amp; APIF_Import!$G$1,Podesavanja!$AA$3:$AD$24, 4, 0)), "", VLOOKUP( APIF_Import!$C306, INDIRECT( "Lookup_" &amp; APIF_Import!$M306), VLOOKUP( APIF_Import!$M306 &amp; APIF_Import!$G$1,Podesavanja!$AA$3:$AD$24, 4, 0), 0))</f>
        <v/>
      </c>
      <c r="H306" s="364" t="str">
        <f ca="1">IF( ISNA( VLOOKUP( APIF_Import!$M306 &amp; APIF_Import!$H$1,Podesavanja!$AA$3:$AD$24, 4, 0)), "", VLOOKUP( APIF_Import!$C306, INDIRECT( "Lookup_" &amp; APIF_Import!$M306), VLOOKUP( APIF_Import!$M306 &amp; APIF_Import!$H$1,Podesavanja!$AA$3:$AD$24, 4, 0), 0))</f>
        <v/>
      </c>
      <c r="I306" s="364" t="str">
        <f ca="1">IF( ISNA( VLOOKUP( APIF_Import!$M306 &amp; APIF_Import!$I$1,Podesavanja!$AA$3:$AD$24, 4, 0)), "", VLOOKUP( APIF_Import!$C306, INDIRECT( "Lookup_" &amp; APIF_Import!$M306), VLOOKUP( APIF_Import!$M306 &amp; APIF_Import!$I$1,Podesavanja!$AA$3:$AD$24, 4, 0), 0))</f>
        <v/>
      </c>
      <c r="J306" s="364" t="str">
        <f ca="1">IF( ISNA( VLOOKUP( APIF_Import!$M306 &amp; APIF_Import!$J$1,Podesavanja!$AA$3:$AD$24, 4, 0)), "", VLOOKUP( APIF_Import!$C306, INDIRECT( "Lookup_" &amp; APIF_Import!$M306), VLOOKUP( APIF_Import!$M306 &amp; APIF_Import!$J$1,Podesavanja!$AA$3:$AD$24, 4, 0), 0))</f>
        <v/>
      </c>
      <c r="K306" s="364" t="str">
        <f ca="1">IF( ISNA( VLOOKUP( APIF_Import!$M306 &amp; APIF_Import!$K$1,Podesavanja!$AA$3:$AD$24, 4, 0)), "", VLOOKUP( APIF_Import!$C306, INDIRECT( "Lookup_" &amp; APIF_Import!$M306), VLOOKUP( APIF_Import!$M306 &amp; APIF_Import!$K$1,Podesavanja!$AA$3:$AD$24, 4, 0), 0))</f>
        <v/>
      </c>
      <c r="L306" s="8">
        <v>318</v>
      </c>
      <c r="M306" s="8" t="s">
        <v>1374</v>
      </c>
    </row>
    <row r="307" spans="2:13" x14ac:dyDescent="0.2">
      <c r="B307" s="8">
        <f>VLOOKUP( APIF_Import!$M307, Podesavanja!$N$3:$Q$9, 4, 0)</f>
        <v>5</v>
      </c>
      <c r="C307" s="363">
        <f>VLOOKUP( APIF_Import!$L307, Aop!$A$2:$N$415, 4, 0)</f>
        <v>546</v>
      </c>
      <c r="D307" s="364" t="str">
        <f ca="1">IF( ISNA( VLOOKUP( APIF_Import!$M307 &amp; APIF_Import!$D$1,Podesavanja!$AA$3:$AD$24, 4, 0)), "", SUBSTITUTE( VALUE( VLOOKUP( APIF_Import!$C307, INDIRECT( "Lookup_" &amp; APIF_Import!$M307), VLOOKUP( APIF_Import!$M307 &amp; APIF_Import!$D$1,Podesavanja!$AA$3:$AD$24, 4, 0), 0)), ".", ","))</f>
        <v>0</v>
      </c>
      <c r="E307" s="364" t="str">
        <f ca="1">IF( ISNA( VLOOKUP( APIF_Import!$M307 &amp; APIF_Import!$E$1,Podesavanja!$AA$3:$AD$24, 4, 0)), "", SUBSTITUTE( VALUE( VLOOKUP( APIF_Import!$C307, INDIRECT( "Lookup_" &amp; APIF_Import!$M307), VLOOKUP( APIF_Import!$M307 &amp; APIF_Import!$E$1,Podesavanja!$AA$3:$AD$24, 4, 0), 0)), ".", ","))</f>
        <v>4076</v>
      </c>
      <c r="F307" s="364" t="str">
        <f ca="1">IF( ISNA( VLOOKUP( APIF_Import!$M307 &amp; APIF_Import!$F$1,Podesavanja!$AA$3:$AD$24, 4, 0)), "", VLOOKUP( APIF_Import!$C307, INDIRECT( "Lookup_" &amp; APIF_Import!$M307), VLOOKUP( APIF_Import!$M307 &amp; APIF_Import!$F$1,Podesavanja!$AA$3:$AD$24, 4, 0), 0))</f>
        <v/>
      </c>
      <c r="G307" s="364" t="str">
        <f ca="1">IF( ISNA( VLOOKUP( APIF_Import!$M307 &amp; APIF_Import!$G$1,Podesavanja!$AA$3:$AD$24, 4, 0)), "", VLOOKUP( APIF_Import!$C307, INDIRECT( "Lookup_" &amp; APIF_Import!$M307), VLOOKUP( APIF_Import!$M307 &amp; APIF_Import!$G$1,Podesavanja!$AA$3:$AD$24, 4, 0), 0))</f>
        <v/>
      </c>
      <c r="H307" s="364" t="str">
        <f ca="1">IF( ISNA( VLOOKUP( APIF_Import!$M307 &amp; APIF_Import!$H$1,Podesavanja!$AA$3:$AD$24, 4, 0)), "", VLOOKUP( APIF_Import!$C307, INDIRECT( "Lookup_" &amp; APIF_Import!$M307), VLOOKUP( APIF_Import!$M307 &amp; APIF_Import!$H$1,Podesavanja!$AA$3:$AD$24, 4, 0), 0))</f>
        <v/>
      </c>
      <c r="I307" s="364" t="str">
        <f ca="1">IF( ISNA( VLOOKUP( APIF_Import!$M307 &amp; APIF_Import!$I$1,Podesavanja!$AA$3:$AD$24, 4, 0)), "", VLOOKUP( APIF_Import!$C307, INDIRECT( "Lookup_" &amp; APIF_Import!$M307), VLOOKUP( APIF_Import!$M307 &amp; APIF_Import!$I$1,Podesavanja!$AA$3:$AD$24, 4, 0), 0))</f>
        <v/>
      </c>
      <c r="J307" s="364" t="str">
        <f ca="1">IF( ISNA( VLOOKUP( APIF_Import!$M307 &amp; APIF_Import!$J$1,Podesavanja!$AA$3:$AD$24, 4, 0)), "", VLOOKUP( APIF_Import!$C307, INDIRECT( "Lookup_" &amp; APIF_Import!$M307), VLOOKUP( APIF_Import!$M307 &amp; APIF_Import!$J$1,Podesavanja!$AA$3:$AD$24, 4, 0), 0))</f>
        <v/>
      </c>
      <c r="K307" s="364" t="str">
        <f ca="1">IF( ISNA( VLOOKUP( APIF_Import!$M307 &amp; APIF_Import!$K$1,Podesavanja!$AA$3:$AD$24, 4, 0)), "", VLOOKUP( APIF_Import!$C307, INDIRECT( "Lookup_" &amp; APIF_Import!$M307), VLOOKUP( APIF_Import!$M307 &amp; APIF_Import!$K$1,Podesavanja!$AA$3:$AD$24, 4, 0), 0))</f>
        <v/>
      </c>
      <c r="L307" s="8">
        <v>319</v>
      </c>
      <c r="M307" s="8" t="s">
        <v>1374</v>
      </c>
    </row>
    <row r="308" spans="2:13" x14ac:dyDescent="0.2">
      <c r="B308" s="8">
        <f>VLOOKUP( APIF_Import!$M308, Podesavanja!$N$3:$Q$9, 4, 0)</f>
        <v>5</v>
      </c>
      <c r="C308" s="363">
        <f>VLOOKUP( APIF_Import!$L308, Aop!$A$2:$N$415, 4, 0)</f>
        <v>547</v>
      </c>
      <c r="D308" s="364" t="str">
        <f ca="1">IF( ISNA( VLOOKUP( APIF_Import!$M308 &amp; APIF_Import!$D$1,Podesavanja!$AA$3:$AD$24, 4, 0)), "", SUBSTITUTE( VALUE( VLOOKUP( APIF_Import!$C308, INDIRECT( "Lookup_" &amp; APIF_Import!$M308), VLOOKUP( APIF_Import!$M308 &amp; APIF_Import!$D$1,Podesavanja!$AA$3:$AD$24, 4, 0), 0)), ".", ","))</f>
        <v>8192</v>
      </c>
      <c r="E308" s="364" t="str">
        <f ca="1">IF( ISNA( VLOOKUP( APIF_Import!$M308 &amp; APIF_Import!$E$1,Podesavanja!$AA$3:$AD$24, 4, 0)), "", SUBSTITUTE( VALUE( VLOOKUP( APIF_Import!$C308, INDIRECT( "Lookup_" &amp; APIF_Import!$M308), VLOOKUP( APIF_Import!$M308 &amp; APIF_Import!$E$1,Podesavanja!$AA$3:$AD$24, 4, 0), 0)), ".", ","))</f>
        <v>12242</v>
      </c>
      <c r="F308" s="364" t="str">
        <f ca="1">IF( ISNA( VLOOKUP( APIF_Import!$M308 &amp; APIF_Import!$F$1,Podesavanja!$AA$3:$AD$24, 4, 0)), "", VLOOKUP( APIF_Import!$C308, INDIRECT( "Lookup_" &amp; APIF_Import!$M308), VLOOKUP( APIF_Import!$M308 &amp; APIF_Import!$F$1,Podesavanja!$AA$3:$AD$24, 4, 0), 0))</f>
        <v/>
      </c>
      <c r="G308" s="364" t="str">
        <f ca="1">IF( ISNA( VLOOKUP( APIF_Import!$M308 &amp; APIF_Import!$G$1,Podesavanja!$AA$3:$AD$24, 4, 0)), "", VLOOKUP( APIF_Import!$C308, INDIRECT( "Lookup_" &amp; APIF_Import!$M308), VLOOKUP( APIF_Import!$M308 &amp; APIF_Import!$G$1,Podesavanja!$AA$3:$AD$24, 4, 0), 0))</f>
        <v/>
      </c>
      <c r="H308" s="364" t="str">
        <f ca="1">IF( ISNA( VLOOKUP( APIF_Import!$M308 &amp; APIF_Import!$H$1,Podesavanja!$AA$3:$AD$24, 4, 0)), "", VLOOKUP( APIF_Import!$C308, INDIRECT( "Lookup_" &amp; APIF_Import!$M308), VLOOKUP( APIF_Import!$M308 &amp; APIF_Import!$H$1,Podesavanja!$AA$3:$AD$24, 4, 0), 0))</f>
        <v/>
      </c>
      <c r="I308" s="364" t="str">
        <f ca="1">IF( ISNA( VLOOKUP( APIF_Import!$M308 &amp; APIF_Import!$I$1,Podesavanja!$AA$3:$AD$24, 4, 0)), "", VLOOKUP( APIF_Import!$C308, INDIRECT( "Lookup_" &amp; APIF_Import!$M308), VLOOKUP( APIF_Import!$M308 &amp; APIF_Import!$I$1,Podesavanja!$AA$3:$AD$24, 4, 0), 0))</f>
        <v/>
      </c>
      <c r="J308" s="364" t="str">
        <f ca="1">IF( ISNA( VLOOKUP( APIF_Import!$M308 &amp; APIF_Import!$J$1,Podesavanja!$AA$3:$AD$24, 4, 0)), "", VLOOKUP( APIF_Import!$C308, INDIRECT( "Lookup_" &amp; APIF_Import!$M308), VLOOKUP( APIF_Import!$M308 &amp; APIF_Import!$J$1,Podesavanja!$AA$3:$AD$24, 4, 0), 0))</f>
        <v/>
      </c>
      <c r="K308" s="364" t="str">
        <f ca="1">IF( ISNA( VLOOKUP( APIF_Import!$M308 &amp; APIF_Import!$K$1,Podesavanja!$AA$3:$AD$24, 4, 0)), "", VLOOKUP( APIF_Import!$C308, INDIRECT( "Lookup_" &amp; APIF_Import!$M308), VLOOKUP( APIF_Import!$M308 &amp; APIF_Import!$K$1,Podesavanja!$AA$3:$AD$24, 4, 0), 0))</f>
        <v/>
      </c>
      <c r="L308" s="8">
        <v>320</v>
      </c>
      <c r="M308" s="8" t="s">
        <v>1374</v>
      </c>
    </row>
    <row r="309" spans="2:13" x14ac:dyDescent="0.2">
      <c r="B309" s="8">
        <f>VLOOKUP( APIF_Import!$M309, Podesavanja!$N$3:$Q$9, 4, 0)</f>
        <v>5</v>
      </c>
      <c r="C309" s="363">
        <f>VLOOKUP( APIF_Import!$L309, Aop!$A$2:$N$415, 4, 0)</f>
        <v>548</v>
      </c>
      <c r="D309" s="364" t="str">
        <f ca="1">IF( ISNA( VLOOKUP( APIF_Import!$M309 &amp; APIF_Import!$D$1,Podesavanja!$AA$3:$AD$24, 4, 0)), "", SUBSTITUTE( VALUE( VLOOKUP( APIF_Import!$C309, INDIRECT( "Lookup_" &amp; APIF_Import!$M309), VLOOKUP( APIF_Import!$M309 &amp; APIF_Import!$D$1,Podesavanja!$AA$3:$AD$24, 4, 0), 0)), ".", ","))</f>
        <v>228552</v>
      </c>
      <c r="E309" s="364" t="str">
        <f ca="1">IF( ISNA( VLOOKUP( APIF_Import!$M309 &amp; APIF_Import!$E$1,Podesavanja!$AA$3:$AD$24, 4, 0)), "", SUBSTITUTE( VALUE( VLOOKUP( APIF_Import!$C309, INDIRECT( "Lookup_" &amp; APIF_Import!$M309), VLOOKUP( APIF_Import!$M309 &amp; APIF_Import!$E$1,Podesavanja!$AA$3:$AD$24, 4, 0), 0)), ".", ","))</f>
        <v>26133</v>
      </c>
      <c r="F309" s="364" t="str">
        <f ca="1">IF( ISNA( VLOOKUP( APIF_Import!$M309 &amp; APIF_Import!$F$1,Podesavanja!$AA$3:$AD$24, 4, 0)), "", VLOOKUP( APIF_Import!$C309, INDIRECT( "Lookup_" &amp; APIF_Import!$M309), VLOOKUP( APIF_Import!$M309 &amp; APIF_Import!$F$1,Podesavanja!$AA$3:$AD$24, 4, 0), 0))</f>
        <v/>
      </c>
      <c r="G309" s="364" t="str">
        <f ca="1">IF( ISNA( VLOOKUP( APIF_Import!$M309 &amp; APIF_Import!$G$1,Podesavanja!$AA$3:$AD$24, 4, 0)), "", VLOOKUP( APIF_Import!$C309, INDIRECT( "Lookup_" &amp; APIF_Import!$M309), VLOOKUP( APIF_Import!$M309 &amp; APIF_Import!$G$1,Podesavanja!$AA$3:$AD$24, 4, 0), 0))</f>
        <v/>
      </c>
      <c r="H309" s="364" t="str">
        <f ca="1">IF( ISNA( VLOOKUP( APIF_Import!$M309 &amp; APIF_Import!$H$1,Podesavanja!$AA$3:$AD$24, 4, 0)), "", VLOOKUP( APIF_Import!$C309, INDIRECT( "Lookup_" &amp; APIF_Import!$M309), VLOOKUP( APIF_Import!$M309 &amp; APIF_Import!$H$1,Podesavanja!$AA$3:$AD$24, 4, 0), 0))</f>
        <v/>
      </c>
      <c r="I309" s="364" t="str">
        <f ca="1">IF( ISNA( VLOOKUP( APIF_Import!$M309 &amp; APIF_Import!$I$1,Podesavanja!$AA$3:$AD$24, 4, 0)), "", VLOOKUP( APIF_Import!$C309, INDIRECT( "Lookup_" &amp; APIF_Import!$M309), VLOOKUP( APIF_Import!$M309 &amp; APIF_Import!$I$1,Podesavanja!$AA$3:$AD$24, 4, 0), 0))</f>
        <v/>
      </c>
      <c r="J309" s="364" t="str">
        <f ca="1">IF( ISNA( VLOOKUP( APIF_Import!$M309 &amp; APIF_Import!$J$1,Podesavanja!$AA$3:$AD$24, 4, 0)), "", VLOOKUP( APIF_Import!$C309, INDIRECT( "Lookup_" &amp; APIF_Import!$M309), VLOOKUP( APIF_Import!$M309 &amp; APIF_Import!$J$1,Podesavanja!$AA$3:$AD$24, 4, 0), 0))</f>
        <v/>
      </c>
      <c r="K309" s="364" t="str">
        <f ca="1">IF( ISNA( VLOOKUP( APIF_Import!$M309 &amp; APIF_Import!$K$1,Podesavanja!$AA$3:$AD$24, 4, 0)), "", VLOOKUP( APIF_Import!$C309, INDIRECT( "Lookup_" &amp; APIF_Import!$M309), VLOOKUP( APIF_Import!$M309 &amp; APIF_Import!$K$1,Podesavanja!$AA$3:$AD$24, 4, 0), 0))</f>
        <v/>
      </c>
      <c r="L309" s="8">
        <v>321</v>
      </c>
      <c r="M309" s="8" t="s">
        <v>1374</v>
      </c>
    </row>
    <row r="310" spans="2:13" x14ac:dyDescent="0.2">
      <c r="B310" s="8">
        <f>VLOOKUP( APIF_Import!$M310, Podesavanja!$N$3:$Q$9, 4, 0)</f>
        <v>4</v>
      </c>
      <c r="C310" s="363">
        <f>VLOOKUP( APIF_Import!$L310, Aop!$A$2:$N$415, 4, 0)</f>
        <v>601</v>
      </c>
      <c r="D310" s="364" t="str">
        <f ca="1">IF( ISNA( VLOOKUP( APIF_Import!$M310 &amp; APIF_Import!$D$1,Podesavanja!$AA$3:$AD$24, 4, 0)), "", SUBSTITUTE( VALUE( VLOOKUP( APIF_Import!$C310, INDIRECT( "Lookup_" &amp; APIF_Import!$M310), VLOOKUP( APIF_Import!$M310 &amp; APIF_Import!$D$1,Podesavanja!$AA$3:$AD$24, 4, 0), 0)), ".", ","))</f>
        <v>0</v>
      </c>
      <c r="E310" s="364" t="str">
        <f ca="1">IF( ISNA( VLOOKUP( APIF_Import!$M310 &amp; APIF_Import!$E$1,Podesavanja!$AA$3:$AD$24, 4, 0)), "", SUBSTITUTE( VALUE( VLOOKUP( APIF_Import!$C310, INDIRECT( "Lookup_" &amp; APIF_Import!$M310), VLOOKUP( APIF_Import!$M310 &amp; APIF_Import!$E$1,Podesavanja!$AA$3:$AD$24, 4, 0), 0)), ".", ","))</f>
        <v>0</v>
      </c>
      <c r="F310" s="364" t="str">
        <f ca="1">IF( ISNA( VLOOKUP( APIF_Import!$M310 &amp; APIF_Import!$F$1,Podesavanja!$AA$3:$AD$24, 4, 0)), "", VLOOKUP( APIF_Import!$C310, INDIRECT( "Lookup_" &amp; APIF_Import!$M310), VLOOKUP( APIF_Import!$M310 &amp; APIF_Import!$F$1,Podesavanja!$AA$3:$AD$24, 4, 0), 0))</f>
        <v/>
      </c>
      <c r="G310" s="364" t="str">
        <f ca="1">IF( ISNA( VLOOKUP( APIF_Import!$M310 &amp; APIF_Import!$G$1,Podesavanja!$AA$3:$AD$24, 4, 0)), "", VLOOKUP( APIF_Import!$C310, INDIRECT( "Lookup_" &amp; APIF_Import!$M310), VLOOKUP( APIF_Import!$M310 &amp; APIF_Import!$G$1,Podesavanja!$AA$3:$AD$24, 4, 0), 0))</f>
        <v/>
      </c>
      <c r="H310" s="364" t="str">
        <f ca="1">IF( ISNA( VLOOKUP( APIF_Import!$M310 &amp; APIF_Import!$H$1,Podesavanja!$AA$3:$AD$24, 4, 0)), "", VLOOKUP( APIF_Import!$C310, INDIRECT( "Lookup_" &amp; APIF_Import!$M310), VLOOKUP( APIF_Import!$M310 &amp; APIF_Import!$H$1,Podesavanja!$AA$3:$AD$24, 4, 0), 0))</f>
        <v/>
      </c>
      <c r="I310" s="364" t="str">
        <f ca="1">IF( ISNA( VLOOKUP( APIF_Import!$M310 &amp; APIF_Import!$I$1,Podesavanja!$AA$3:$AD$24, 4, 0)), "", VLOOKUP( APIF_Import!$C310, INDIRECT( "Lookup_" &amp; APIF_Import!$M310), VLOOKUP( APIF_Import!$M310 &amp; APIF_Import!$I$1,Podesavanja!$AA$3:$AD$24, 4, 0), 0))</f>
        <v/>
      </c>
      <c r="J310" s="364" t="str">
        <f ca="1">IF( ISNA( VLOOKUP( APIF_Import!$M310 &amp; APIF_Import!$J$1,Podesavanja!$AA$3:$AD$24, 4, 0)), "", VLOOKUP( APIF_Import!$C310, INDIRECT( "Lookup_" &amp; APIF_Import!$M310), VLOOKUP( APIF_Import!$M310 &amp; APIF_Import!$J$1,Podesavanja!$AA$3:$AD$24, 4, 0), 0))</f>
        <v/>
      </c>
      <c r="K310" s="364" t="str">
        <f ca="1">IF( ISNA( VLOOKUP( APIF_Import!$M310 &amp; APIF_Import!$K$1,Podesavanja!$AA$3:$AD$24, 4, 0)), "", VLOOKUP( APIF_Import!$C310, INDIRECT( "Lookup_" &amp; APIF_Import!$M310), VLOOKUP( APIF_Import!$M310 &amp; APIF_Import!$K$1,Podesavanja!$AA$3:$AD$24, 4, 0), 0))</f>
        <v/>
      </c>
      <c r="L310" s="8">
        <v>322</v>
      </c>
      <c r="M310" s="8" t="s">
        <v>1375</v>
      </c>
    </row>
    <row r="311" spans="2:13" x14ac:dyDescent="0.2">
      <c r="B311" s="8">
        <f>VLOOKUP( APIF_Import!$M311, Podesavanja!$N$3:$Q$9, 4, 0)</f>
        <v>4</v>
      </c>
      <c r="C311" s="363">
        <f>VLOOKUP( APIF_Import!$L311, Aop!$A$2:$N$415, 4, 0)</f>
        <v>602</v>
      </c>
      <c r="D311" s="364" t="str">
        <f ca="1">IF( ISNA( VLOOKUP( APIF_Import!$M311 &amp; APIF_Import!$D$1,Podesavanja!$AA$3:$AD$24, 4, 0)), "", SUBSTITUTE( VALUE( VLOOKUP( APIF_Import!$C311, INDIRECT( "Lookup_" &amp; APIF_Import!$M311), VLOOKUP( APIF_Import!$M311 &amp; APIF_Import!$D$1,Podesavanja!$AA$3:$AD$24, 4, 0), 0)), ".", ","))</f>
        <v>6004363</v>
      </c>
      <c r="E311" s="364" t="str">
        <f ca="1">IF( ISNA( VLOOKUP( APIF_Import!$M311 &amp; APIF_Import!$E$1,Podesavanja!$AA$3:$AD$24, 4, 0)), "", SUBSTITUTE( VALUE( VLOOKUP( APIF_Import!$C311, INDIRECT( "Lookup_" &amp; APIF_Import!$M311), VLOOKUP( APIF_Import!$M311 &amp; APIF_Import!$E$1,Podesavanja!$AA$3:$AD$24, 4, 0), 0)), ".", ","))</f>
        <v>4873060</v>
      </c>
      <c r="F311" s="364" t="str">
        <f ca="1">IF( ISNA( VLOOKUP( APIF_Import!$M311 &amp; APIF_Import!$F$1,Podesavanja!$AA$3:$AD$24, 4, 0)), "", VLOOKUP( APIF_Import!$C311, INDIRECT( "Lookup_" &amp; APIF_Import!$M311), VLOOKUP( APIF_Import!$M311 &amp; APIF_Import!$F$1,Podesavanja!$AA$3:$AD$24, 4, 0), 0))</f>
        <v/>
      </c>
      <c r="G311" s="364" t="str">
        <f ca="1">IF( ISNA( VLOOKUP( APIF_Import!$M311 &amp; APIF_Import!$G$1,Podesavanja!$AA$3:$AD$24, 4, 0)), "", VLOOKUP( APIF_Import!$C311, INDIRECT( "Lookup_" &amp; APIF_Import!$M311), VLOOKUP( APIF_Import!$M311 &amp; APIF_Import!$G$1,Podesavanja!$AA$3:$AD$24, 4, 0), 0))</f>
        <v/>
      </c>
      <c r="H311" s="364" t="str">
        <f ca="1">IF( ISNA( VLOOKUP( APIF_Import!$M311 &amp; APIF_Import!$H$1,Podesavanja!$AA$3:$AD$24, 4, 0)), "", VLOOKUP( APIF_Import!$C311, INDIRECT( "Lookup_" &amp; APIF_Import!$M311), VLOOKUP( APIF_Import!$M311 &amp; APIF_Import!$H$1,Podesavanja!$AA$3:$AD$24, 4, 0), 0))</f>
        <v/>
      </c>
      <c r="I311" s="364" t="str">
        <f ca="1">IF( ISNA( VLOOKUP( APIF_Import!$M311 &amp; APIF_Import!$I$1,Podesavanja!$AA$3:$AD$24, 4, 0)), "", VLOOKUP( APIF_Import!$C311, INDIRECT( "Lookup_" &amp; APIF_Import!$M311), VLOOKUP( APIF_Import!$M311 &amp; APIF_Import!$I$1,Podesavanja!$AA$3:$AD$24, 4, 0), 0))</f>
        <v/>
      </c>
      <c r="J311" s="364" t="str">
        <f ca="1">IF( ISNA( VLOOKUP( APIF_Import!$M311 &amp; APIF_Import!$J$1,Podesavanja!$AA$3:$AD$24, 4, 0)), "", VLOOKUP( APIF_Import!$C311, INDIRECT( "Lookup_" &amp; APIF_Import!$M311), VLOOKUP( APIF_Import!$M311 &amp; APIF_Import!$J$1,Podesavanja!$AA$3:$AD$24, 4, 0), 0))</f>
        <v/>
      </c>
      <c r="K311" s="364" t="str">
        <f ca="1">IF( ISNA( VLOOKUP( APIF_Import!$M311 &amp; APIF_Import!$K$1,Podesavanja!$AA$3:$AD$24, 4, 0)), "", VLOOKUP( APIF_Import!$C311, INDIRECT( "Lookup_" &amp; APIF_Import!$M311), VLOOKUP( APIF_Import!$M311 &amp; APIF_Import!$K$1,Podesavanja!$AA$3:$AD$24, 4, 0), 0))</f>
        <v/>
      </c>
      <c r="L311" s="8">
        <v>323</v>
      </c>
      <c r="M311" s="8" t="s">
        <v>1375</v>
      </c>
    </row>
    <row r="312" spans="2:13" x14ac:dyDescent="0.2">
      <c r="B312" s="8">
        <f>VLOOKUP( APIF_Import!$M312, Podesavanja!$N$3:$Q$9, 4, 0)</f>
        <v>4</v>
      </c>
      <c r="C312" s="363">
        <f>VLOOKUP( APIF_Import!$L312, Aop!$A$2:$N$415, 4, 0)</f>
        <v>603</v>
      </c>
      <c r="D312" s="364" t="str">
        <f ca="1">IF( ISNA( VLOOKUP( APIF_Import!$M312 &amp; APIF_Import!$D$1,Podesavanja!$AA$3:$AD$24, 4, 0)), "", SUBSTITUTE( VALUE( VLOOKUP( APIF_Import!$C312, INDIRECT( "Lookup_" &amp; APIF_Import!$M312), VLOOKUP( APIF_Import!$M312 &amp; APIF_Import!$D$1,Podesavanja!$AA$3:$AD$24, 4, 0), 0)), ".", ","))</f>
        <v>4120956</v>
      </c>
      <c r="E312" s="364" t="str">
        <f ca="1">IF( ISNA( VLOOKUP( APIF_Import!$M312 &amp; APIF_Import!$E$1,Podesavanja!$AA$3:$AD$24, 4, 0)), "", SUBSTITUTE( VALUE( VLOOKUP( APIF_Import!$C312, INDIRECT( "Lookup_" &amp; APIF_Import!$M312), VLOOKUP( APIF_Import!$M312 &amp; APIF_Import!$E$1,Podesavanja!$AA$3:$AD$24, 4, 0), 0)), ".", ","))</f>
        <v>3488310</v>
      </c>
      <c r="F312" s="364" t="str">
        <f ca="1">IF( ISNA( VLOOKUP( APIF_Import!$M312 &amp; APIF_Import!$F$1,Podesavanja!$AA$3:$AD$24, 4, 0)), "", VLOOKUP( APIF_Import!$C312, INDIRECT( "Lookup_" &amp; APIF_Import!$M312), VLOOKUP( APIF_Import!$M312 &amp; APIF_Import!$F$1,Podesavanja!$AA$3:$AD$24, 4, 0), 0))</f>
        <v/>
      </c>
      <c r="G312" s="364" t="str">
        <f ca="1">IF( ISNA( VLOOKUP( APIF_Import!$M312 &amp; APIF_Import!$G$1,Podesavanja!$AA$3:$AD$24, 4, 0)), "", VLOOKUP( APIF_Import!$C312, INDIRECT( "Lookup_" &amp; APIF_Import!$M312), VLOOKUP( APIF_Import!$M312 &amp; APIF_Import!$G$1,Podesavanja!$AA$3:$AD$24, 4, 0), 0))</f>
        <v/>
      </c>
      <c r="H312" s="364" t="str">
        <f ca="1">IF( ISNA( VLOOKUP( APIF_Import!$M312 &amp; APIF_Import!$H$1,Podesavanja!$AA$3:$AD$24, 4, 0)), "", VLOOKUP( APIF_Import!$C312, INDIRECT( "Lookup_" &amp; APIF_Import!$M312), VLOOKUP( APIF_Import!$M312 &amp; APIF_Import!$H$1,Podesavanja!$AA$3:$AD$24, 4, 0), 0))</f>
        <v/>
      </c>
      <c r="I312" s="364" t="str">
        <f ca="1">IF( ISNA( VLOOKUP( APIF_Import!$M312 &amp; APIF_Import!$I$1,Podesavanja!$AA$3:$AD$24, 4, 0)), "", VLOOKUP( APIF_Import!$C312, INDIRECT( "Lookup_" &amp; APIF_Import!$M312), VLOOKUP( APIF_Import!$M312 &amp; APIF_Import!$I$1,Podesavanja!$AA$3:$AD$24, 4, 0), 0))</f>
        <v/>
      </c>
      <c r="J312" s="364" t="str">
        <f ca="1">IF( ISNA( VLOOKUP( APIF_Import!$M312 &amp; APIF_Import!$J$1,Podesavanja!$AA$3:$AD$24, 4, 0)), "", VLOOKUP( APIF_Import!$C312, INDIRECT( "Lookup_" &amp; APIF_Import!$M312), VLOOKUP( APIF_Import!$M312 &amp; APIF_Import!$J$1,Podesavanja!$AA$3:$AD$24, 4, 0), 0))</f>
        <v/>
      </c>
      <c r="K312" s="364" t="str">
        <f ca="1">IF( ISNA( VLOOKUP( APIF_Import!$M312 &amp; APIF_Import!$K$1,Podesavanja!$AA$3:$AD$24, 4, 0)), "", VLOOKUP( APIF_Import!$C312, INDIRECT( "Lookup_" &amp; APIF_Import!$M312), VLOOKUP( APIF_Import!$M312 &amp; APIF_Import!$K$1,Podesavanja!$AA$3:$AD$24, 4, 0), 0))</f>
        <v/>
      </c>
      <c r="L312" s="8">
        <v>324</v>
      </c>
      <c r="M312" s="8" t="s">
        <v>1375</v>
      </c>
    </row>
    <row r="313" spans="2:13" x14ac:dyDescent="0.2">
      <c r="B313" s="8">
        <f>VLOOKUP( APIF_Import!$M313, Podesavanja!$N$3:$Q$9, 4, 0)</f>
        <v>4</v>
      </c>
      <c r="C313" s="363">
        <f>VLOOKUP( APIF_Import!$L313, Aop!$A$2:$N$415, 4, 0)</f>
        <v>604</v>
      </c>
      <c r="D313" s="364" t="str">
        <f ca="1">IF( ISNA( VLOOKUP( APIF_Import!$M313 &amp; APIF_Import!$D$1,Podesavanja!$AA$3:$AD$24, 4, 0)), "", SUBSTITUTE( VALUE( VLOOKUP( APIF_Import!$C313, INDIRECT( "Lookup_" &amp; APIF_Import!$M313), VLOOKUP( APIF_Import!$M313 &amp; APIF_Import!$D$1,Podesavanja!$AA$3:$AD$24, 4, 0), 0)), ".", ","))</f>
        <v>88451</v>
      </c>
      <c r="E313" s="364" t="str">
        <f ca="1">IF( ISNA( VLOOKUP( APIF_Import!$M313 &amp; APIF_Import!$E$1,Podesavanja!$AA$3:$AD$24, 4, 0)), "", SUBSTITUTE( VALUE( VLOOKUP( APIF_Import!$C313, INDIRECT( "Lookup_" &amp; APIF_Import!$M313), VLOOKUP( APIF_Import!$M313 &amp; APIF_Import!$E$1,Podesavanja!$AA$3:$AD$24, 4, 0), 0)), ".", ","))</f>
        <v>51090</v>
      </c>
      <c r="F313" s="364" t="str">
        <f ca="1">IF( ISNA( VLOOKUP( APIF_Import!$M313 &amp; APIF_Import!$F$1,Podesavanja!$AA$3:$AD$24, 4, 0)), "", VLOOKUP( APIF_Import!$C313, INDIRECT( "Lookup_" &amp; APIF_Import!$M313), VLOOKUP( APIF_Import!$M313 &amp; APIF_Import!$F$1,Podesavanja!$AA$3:$AD$24, 4, 0), 0))</f>
        <v/>
      </c>
      <c r="G313" s="364" t="str">
        <f ca="1">IF( ISNA( VLOOKUP( APIF_Import!$M313 &amp; APIF_Import!$G$1,Podesavanja!$AA$3:$AD$24, 4, 0)), "", VLOOKUP( APIF_Import!$C313, INDIRECT( "Lookup_" &amp; APIF_Import!$M313), VLOOKUP( APIF_Import!$M313 &amp; APIF_Import!$G$1,Podesavanja!$AA$3:$AD$24, 4, 0), 0))</f>
        <v/>
      </c>
      <c r="H313" s="364" t="str">
        <f ca="1">IF( ISNA( VLOOKUP( APIF_Import!$M313 &amp; APIF_Import!$H$1,Podesavanja!$AA$3:$AD$24, 4, 0)), "", VLOOKUP( APIF_Import!$C313, INDIRECT( "Lookup_" &amp; APIF_Import!$M313), VLOOKUP( APIF_Import!$M313 &amp; APIF_Import!$H$1,Podesavanja!$AA$3:$AD$24, 4, 0), 0))</f>
        <v/>
      </c>
      <c r="I313" s="364" t="str">
        <f ca="1">IF( ISNA( VLOOKUP( APIF_Import!$M313 &amp; APIF_Import!$I$1,Podesavanja!$AA$3:$AD$24, 4, 0)), "", VLOOKUP( APIF_Import!$C313, INDIRECT( "Lookup_" &amp; APIF_Import!$M313), VLOOKUP( APIF_Import!$M313 &amp; APIF_Import!$I$1,Podesavanja!$AA$3:$AD$24, 4, 0), 0))</f>
        <v/>
      </c>
      <c r="J313" s="364" t="str">
        <f ca="1">IF( ISNA( VLOOKUP( APIF_Import!$M313 &amp; APIF_Import!$J$1,Podesavanja!$AA$3:$AD$24, 4, 0)), "", VLOOKUP( APIF_Import!$C313, INDIRECT( "Lookup_" &amp; APIF_Import!$M313), VLOOKUP( APIF_Import!$M313 &amp; APIF_Import!$J$1,Podesavanja!$AA$3:$AD$24, 4, 0), 0))</f>
        <v/>
      </c>
      <c r="K313" s="364" t="str">
        <f ca="1">IF( ISNA( VLOOKUP( APIF_Import!$M313 &amp; APIF_Import!$K$1,Podesavanja!$AA$3:$AD$24, 4, 0)), "", VLOOKUP( APIF_Import!$C313, INDIRECT( "Lookup_" &amp; APIF_Import!$M313), VLOOKUP( APIF_Import!$M313 &amp; APIF_Import!$K$1,Podesavanja!$AA$3:$AD$24, 4, 0), 0))</f>
        <v/>
      </c>
      <c r="L313" s="8">
        <v>325</v>
      </c>
      <c r="M313" s="8" t="s">
        <v>1375</v>
      </c>
    </row>
    <row r="314" spans="2:13" x14ac:dyDescent="0.2">
      <c r="B314" s="8">
        <f>VLOOKUP( APIF_Import!$M314, Podesavanja!$N$3:$Q$9, 4, 0)</f>
        <v>4</v>
      </c>
      <c r="C314" s="363">
        <f>VLOOKUP( APIF_Import!$L314, Aop!$A$2:$N$415, 4, 0)</f>
        <v>605</v>
      </c>
      <c r="D314" s="364" t="str">
        <f ca="1">IF( ISNA( VLOOKUP( APIF_Import!$M314 &amp; APIF_Import!$D$1,Podesavanja!$AA$3:$AD$24, 4, 0)), "", SUBSTITUTE( VALUE( VLOOKUP( APIF_Import!$C314, INDIRECT( "Lookup_" &amp; APIF_Import!$M314), VLOOKUP( APIF_Import!$M314 &amp; APIF_Import!$D$1,Podesavanja!$AA$3:$AD$24, 4, 0), 0)), ".", ","))</f>
        <v>1408746</v>
      </c>
      <c r="E314" s="364" t="str">
        <f ca="1">IF( ISNA( VLOOKUP( APIF_Import!$M314 &amp; APIF_Import!$E$1,Podesavanja!$AA$3:$AD$24, 4, 0)), "", SUBSTITUTE( VALUE( VLOOKUP( APIF_Import!$C314, INDIRECT( "Lookup_" &amp; APIF_Import!$M314), VLOOKUP( APIF_Import!$M314 &amp; APIF_Import!$E$1,Podesavanja!$AA$3:$AD$24, 4, 0), 0)), ".", ","))</f>
        <v>1075408</v>
      </c>
      <c r="F314" s="364" t="str">
        <f ca="1">IF( ISNA( VLOOKUP( APIF_Import!$M314 &amp; APIF_Import!$F$1,Podesavanja!$AA$3:$AD$24, 4, 0)), "", VLOOKUP( APIF_Import!$C314, INDIRECT( "Lookup_" &amp; APIF_Import!$M314), VLOOKUP( APIF_Import!$M314 &amp; APIF_Import!$F$1,Podesavanja!$AA$3:$AD$24, 4, 0), 0))</f>
        <v/>
      </c>
      <c r="G314" s="364" t="str">
        <f ca="1">IF( ISNA( VLOOKUP( APIF_Import!$M314 &amp; APIF_Import!$G$1,Podesavanja!$AA$3:$AD$24, 4, 0)), "", VLOOKUP( APIF_Import!$C314, INDIRECT( "Lookup_" &amp; APIF_Import!$M314), VLOOKUP( APIF_Import!$M314 &amp; APIF_Import!$G$1,Podesavanja!$AA$3:$AD$24, 4, 0), 0))</f>
        <v/>
      </c>
      <c r="H314" s="364" t="str">
        <f ca="1">IF( ISNA( VLOOKUP( APIF_Import!$M314 &amp; APIF_Import!$H$1,Podesavanja!$AA$3:$AD$24, 4, 0)), "", VLOOKUP( APIF_Import!$C314, INDIRECT( "Lookup_" &amp; APIF_Import!$M314), VLOOKUP( APIF_Import!$M314 &amp; APIF_Import!$H$1,Podesavanja!$AA$3:$AD$24, 4, 0), 0))</f>
        <v/>
      </c>
      <c r="I314" s="364" t="str">
        <f ca="1">IF( ISNA( VLOOKUP( APIF_Import!$M314 &amp; APIF_Import!$I$1,Podesavanja!$AA$3:$AD$24, 4, 0)), "", VLOOKUP( APIF_Import!$C314, INDIRECT( "Lookup_" &amp; APIF_Import!$M314), VLOOKUP( APIF_Import!$M314 &amp; APIF_Import!$I$1,Podesavanja!$AA$3:$AD$24, 4, 0), 0))</f>
        <v/>
      </c>
      <c r="J314" s="364" t="str">
        <f ca="1">IF( ISNA( VLOOKUP( APIF_Import!$M314 &amp; APIF_Import!$J$1,Podesavanja!$AA$3:$AD$24, 4, 0)), "", VLOOKUP( APIF_Import!$C314, INDIRECT( "Lookup_" &amp; APIF_Import!$M314), VLOOKUP( APIF_Import!$M314 &amp; APIF_Import!$J$1,Podesavanja!$AA$3:$AD$24, 4, 0), 0))</f>
        <v/>
      </c>
      <c r="K314" s="364" t="str">
        <f ca="1">IF( ISNA( VLOOKUP( APIF_Import!$M314 &amp; APIF_Import!$K$1,Podesavanja!$AA$3:$AD$24, 4, 0)), "", VLOOKUP( APIF_Import!$C314, INDIRECT( "Lookup_" &amp; APIF_Import!$M314), VLOOKUP( APIF_Import!$M314 &amp; APIF_Import!$K$1,Podesavanja!$AA$3:$AD$24, 4, 0), 0))</f>
        <v/>
      </c>
      <c r="L314" s="8">
        <v>326</v>
      </c>
      <c r="M314" s="8" t="s">
        <v>1375</v>
      </c>
    </row>
    <row r="315" spans="2:13" x14ac:dyDescent="0.2">
      <c r="B315" s="8">
        <f>VLOOKUP( APIF_Import!$M315, Podesavanja!$N$3:$Q$9, 4, 0)</f>
        <v>4</v>
      </c>
      <c r="C315" s="363">
        <f>VLOOKUP( APIF_Import!$L315, Aop!$A$2:$N$415, 4, 0)</f>
        <v>606</v>
      </c>
      <c r="D315" s="364" t="str">
        <f ca="1">IF( ISNA( VLOOKUP( APIF_Import!$M315 &amp; APIF_Import!$D$1,Podesavanja!$AA$3:$AD$24, 4, 0)), "", SUBSTITUTE( VALUE( VLOOKUP( APIF_Import!$C315, INDIRECT( "Lookup_" &amp; APIF_Import!$M315), VLOOKUP( APIF_Import!$M315 &amp; APIF_Import!$D$1,Podesavanja!$AA$3:$AD$24, 4, 0), 0)), ".", ","))</f>
        <v>386417</v>
      </c>
      <c r="E315" s="364" t="str">
        <f ca="1">IF( ISNA( VLOOKUP( APIF_Import!$M315 &amp; APIF_Import!$E$1,Podesavanja!$AA$3:$AD$24, 4, 0)), "", SUBSTITUTE( VALUE( VLOOKUP( APIF_Import!$C315, INDIRECT( "Lookup_" &amp; APIF_Import!$M315), VLOOKUP( APIF_Import!$M315 &amp; APIF_Import!$E$1,Podesavanja!$AA$3:$AD$24, 4, 0), 0)), ".", ","))</f>
        <v>320068</v>
      </c>
      <c r="F315" s="364" t="str">
        <f ca="1">IF( ISNA( VLOOKUP( APIF_Import!$M315 &amp; APIF_Import!$F$1,Podesavanja!$AA$3:$AD$24, 4, 0)), "", VLOOKUP( APIF_Import!$C315, INDIRECT( "Lookup_" &amp; APIF_Import!$M315), VLOOKUP( APIF_Import!$M315 &amp; APIF_Import!$F$1,Podesavanja!$AA$3:$AD$24, 4, 0), 0))</f>
        <v/>
      </c>
      <c r="G315" s="364" t="str">
        <f ca="1">IF( ISNA( VLOOKUP( APIF_Import!$M315 &amp; APIF_Import!$G$1,Podesavanja!$AA$3:$AD$24, 4, 0)), "", VLOOKUP( APIF_Import!$C315, INDIRECT( "Lookup_" &amp; APIF_Import!$M315), VLOOKUP( APIF_Import!$M315 &amp; APIF_Import!$G$1,Podesavanja!$AA$3:$AD$24, 4, 0), 0))</f>
        <v/>
      </c>
      <c r="H315" s="364" t="str">
        <f ca="1">IF( ISNA( VLOOKUP( APIF_Import!$M315 &amp; APIF_Import!$H$1,Podesavanja!$AA$3:$AD$24, 4, 0)), "", VLOOKUP( APIF_Import!$C315, INDIRECT( "Lookup_" &amp; APIF_Import!$M315), VLOOKUP( APIF_Import!$M315 &amp; APIF_Import!$H$1,Podesavanja!$AA$3:$AD$24, 4, 0), 0))</f>
        <v/>
      </c>
      <c r="I315" s="364" t="str">
        <f ca="1">IF( ISNA( VLOOKUP( APIF_Import!$M315 &amp; APIF_Import!$I$1,Podesavanja!$AA$3:$AD$24, 4, 0)), "", VLOOKUP( APIF_Import!$C315, INDIRECT( "Lookup_" &amp; APIF_Import!$M315), VLOOKUP( APIF_Import!$M315 &amp; APIF_Import!$I$1,Podesavanja!$AA$3:$AD$24, 4, 0), 0))</f>
        <v/>
      </c>
      <c r="J315" s="364" t="str">
        <f ca="1">IF( ISNA( VLOOKUP( APIF_Import!$M315 &amp; APIF_Import!$J$1,Podesavanja!$AA$3:$AD$24, 4, 0)), "", VLOOKUP( APIF_Import!$C315, INDIRECT( "Lookup_" &amp; APIF_Import!$M315), VLOOKUP( APIF_Import!$M315 &amp; APIF_Import!$J$1,Podesavanja!$AA$3:$AD$24, 4, 0), 0))</f>
        <v/>
      </c>
      <c r="K315" s="364" t="str">
        <f ca="1">IF( ISNA( VLOOKUP( APIF_Import!$M315 &amp; APIF_Import!$K$1,Podesavanja!$AA$3:$AD$24, 4, 0)), "", VLOOKUP( APIF_Import!$C315, INDIRECT( "Lookup_" &amp; APIF_Import!$M315), VLOOKUP( APIF_Import!$M315 &amp; APIF_Import!$K$1,Podesavanja!$AA$3:$AD$24, 4, 0), 0))</f>
        <v/>
      </c>
      <c r="L315" s="8">
        <v>327</v>
      </c>
      <c r="M315" s="8" t="s">
        <v>1375</v>
      </c>
    </row>
    <row r="316" spans="2:13" x14ac:dyDescent="0.2">
      <c r="B316" s="8">
        <f>VLOOKUP( APIF_Import!$M316, Podesavanja!$N$3:$Q$9, 4, 0)</f>
        <v>4</v>
      </c>
      <c r="C316" s="363">
        <f>VLOOKUP( APIF_Import!$L316, Aop!$A$2:$N$415, 4, 0)</f>
        <v>607</v>
      </c>
      <c r="D316" s="364" t="str">
        <f ca="1">IF( ISNA( VLOOKUP( APIF_Import!$M316 &amp; APIF_Import!$D$1,Podesavanja!$AA$3:$AD$24, 4, 0)), "", SUBSTITUTE( VALUE( VLOOKUP( APIF_Import!$C316, INDIRECT( "Lookup_" &amp; APIF_Import!$M316), VLOOKUP( APIF_Import!$M316 &amp; APIF_Import!$D$1,Podesavanja!$AA$3:$AD$24, 4, 0), 0)), ".", ","))</f>
        <v>22979</v>
      </c>
      <c r="E316" s="364" t="str">
        <f ca="1">IF( ISNA( VLOOKUP( APIF_Import!$M316 &amp; APIF_Import!$E$1,Podesavanja!$AA$3:$AD$24, 4, 0)), "", SUBSTITUTE( VALUE( VLOOKUP( APIF_Import!$C316, INDIRECT( "Lookup_" &amp; APIF_Import!$M316), VLOOKUP( APIF_Import!$M316 &amp; APIF_Import!$E$1,Podesavanja!$AA$3:$AD$24, 4, 0), 0)), ".", ","))</f>
        <v>24011</v>
      </c>
      <c r="F316" s="364" t="str">
        <f ca="1">IF( ISNA( VLOOKUP( APIF_Import!$M316 &amp; APIF_Import!$F$1,Podesavanja!$AA$3:$AD$24, 4, 0)), "", VLOOKUP( APIF_Import!$C316, INDIRECT( "Lookup_" &amp; APIF_Import!$M316), VLOOKUP( APIF_Import!$M316 &amp; APIF_Import!$F$1,Podesavanja!$AA$3:$AD$24, 4, 0), 0))</f>
        <v/>
      </c>
      <c r="G316" s="364" t="str">
        <f ca="1">IF( ISNA( VLOOKUP( APIF_Import!$M316 &amp; APIF_Import!$G$1,Podesavanja!$AA$3:$AD$24, 4, 0)), "", VLOOKUP( APIF_Import!$C316, INDIRECT( "Lookup_" &amp; APIF_Import!$M316), VLOOKUP( APIF_Import!$M316 &amp; APIF_Import!$G$1,Podesavanja!$AA$3:$AD$24, 4, 0), 0))</f>
        <v/>
      </c>
      <c r="H316" s="364" t="str">
        <f ca="1">IF( ISNA( VLOOKUP( APIF_Import!$M316 &amp; APIF_Import!$H$1,Podesavanja!$AA$3:$AD$24, 4, 0)), "", VLOOKUP( APIF_Import!$C316, INDIRECT( "Lookup_" &amp; APIF_Import!$M316), VLOOKUP( APIF_Import!$M316 &amp; APIF_Import!$H$1,Podesavanja!$AA$3:$AD$24, 4, 0), 0))</f>
        <v/>
      </c>
      <c r="I316" s="364" t="str">
        <f ca="1">IF( ISNA( VLOOKUP( APIF_Import!$M316 &amp; APIF_Import!$I$1,Podesavanja!$AA$3:$AD$24, 4, 0)), "", VLOOKUP( APIF_Import!$C316, INDIRECT( "Lookup_" &amp; APIF_Import!$M316), VLOOKUP( APIF_Import!$M316 &amp; APIF_Import!$I$1,Podesavanja!$AA$3:$AD$24, 4, 0), 0))</f>
        <v/>
      </c>
      <c r="J316" s="364" t="str">
        <f ca="1">IF( ISNA( VLOOKUP( APIF_Import!$M316 &amp; APIF_Import!$J$1,Podesavanja!$AA$3:$AD$24, 4, 0)), "", VLOOKUP( APIF_Import!$C316, INDIRECT( "Lookup_" &amp; APIF_Import!$M316), VLOOKUP( APIF_Import!$M316 &amp; APIF_Import!$J$1,Podesavanja!$AA$3:$AD$24, 4, 0), 0))</f>
        <v/>
      </c>
      <c r="K316" s="364" t="str">
        <f ca="1">IF( ISNA( VLOOKUP( APIF_Import!$M316 &amp; APIF_Import!$K$1,Podesavanja!$AA$3:$AD$24, 4, 0)), "", VLOOKUP( APIF_Import!$C316, INDIRECT( "Lookup_" &amp; APIF_Import!$M316), VLOOKUP( APIF_Import!$M316 &amp; APIF_Import!$K$1,Podesavanja!$AA$3:$AD$24, 4, 0), 0))</f>
        <v/>
      </c>
      <c r="L316" s="8">
        <v>328</v>
      </c>
      <c r="M316" s="8" t="s">
        <v>1375</v>
      </c>
    </row>
    <row r="317" spans="2:13" x14ac:dyDescent="0.2">
      <c r="B317" s="8">
        <f>VLOOKUP( APIF_Import!$M317, Podesavanja!$N$3:$Q$9, 4, 0)</f>
        <v>4</v>
      </c>
      <c r="C317" s="363">
        <f>VLOOKUP( APIF_Import!$L317, Aop!$A$2:$N$415, 4, 0)</f>
        <v>608</v>
      </c>
      <c r="D317" s="364" t="str">
        <f ca="1">IF( ISNA( VLOOKUP( APIF_Import!$M317 &amp; APIF_Import!$D$1,Podesavanja!$AA$3:$AD$24, 4, 0)), "", SUBSTITUTE( VALUE( VLOOKUP( APIF_Import!$C317, INDIRECT( "Lookup_" &amp; APIF_Import!$M317), VLOOKUP( APIF_Import!$M317 &amp; APIF_Import!$D$1,Podesavanja!$AA$3:$AD$24, 4, 0), 0)), ".", ","))</f>
        <v>6681840</v>
      </c>
      <c r="E317" s="364" t="str">
        <f ca="1">IF( ISNA( VLOOKUP( APIF_Import!$M317 &amp; APIF_Import!$E$1,Podesavanja!$AA$3:$AD$24, 4, 0)), "", SUBSTITUTE( VALUE( VLOOKUP( APIF_Import!$C317, INDIRECT( "Lookup_" &amp; APIF_Import!$M317), VLOOKUP( APIF_Import!$M317 &amp; APIF_Import!$E$1,Podesavanja!$AA$3:$AD$24, 4, 0), 0)), ".", ","))</f>
        <v>5453528</v>
      </c>
      <c r="F317" s="364" t="str">
        <f ca="1">IF( ISNA( VLOOKUP( APIF_Import!$M317 &amp; APIF_Import!$F$1,Podesavanja!$AA$3:$AD$24, 4, 0)), "", VLOOKUP( APIF_Import!$C317, INDIRECT( "Lookup_" &amp; APIF_Import!$M317), VLOOKUP( APIF_Import!$M317 &amp; APIF_Import!$F$1,Podesavanja!$AA$3:$AD$24, 4, 0), 0))</f>
        <v/>
      </c>
      <c r="G317" s="364" t="str">
        <f ca="1">IF( ISNA( VLOOKUP( APIF_Import!$M317 &amp; APIF_Import!$G$1,Podesavanja!$AA$3:$AD$24, 4, 0)), "", VLOOKUP( APIF_Import!$C317, INDIRECT( "Lookup_" &amp; APIF_Import!$M317), VLOOKUP( APIF_Import!$M317 &amp; APIF_Import!$G$1,Podesavanja!$AA$3:$AD$24, 4, 0), 0))</f>
        <v/>
      </c>
      <c r="H317" s="364" t="str">
        <f ca="1">IF( ISNA( VLOOKUP( APIF_Import!$M317 &amp; APIF_Import!$H$1,Podesavanja!$AA$3:$AD$24, 4, 0)), "", VLOOKUP( APIF_Import!$C317, INDIRECT( "Lookup_" &amp; APIF_Import!$M317), VLOOKUP( APIF_Import!$M317 &amp; APIF_Import!$H$1,Podesavanja!$AA$3:$AD$24, 4, 0), 0))</f>
        <v/>
      </c>
      <c r="I317" s="364" t="str">
        <f ca="1">IF( ISNA( VLOOKUP( APIF_Import!$M317 &amp; APIF_Import!$I$1,Podesavanja!$AA$3:$AD$24, 4, 0)), "", VLOOKUP( APIF_Import!$C317, INDIRECT( "Lookup_" &amp; APIF_Import!$M317), VLOOKUP( APIF_Import!$M317 &amp; APIF_Import!$I$1,Podesavanja!$AA$3:$AD$24, 4, 0), 0))</f>
        <v/>
      </c>
      <c r="J317" s="364" t="str">
        <f ca="1">IF( ISNA( VLOOKUP( APIF_Import!$M317 &amp; APIF_Import!$J$1,Podesavanja!$AA$3:$AD$24, 4, 0)), "", VLOOKUP( APIF_Import!$C317, INDIRECT( "Lookup_" &amp; APIF_Import!$M317), VLOOKUP( APIF_Import!$M317 &amp; APIF_Import!$J$1,Podesavanja!$AA$3:$AD$24, 4, 0), 0))</f>
        <v/>
      </c>
      <c r="K317" s="364" t="str">
        <f ca="1">IF( ISNA( VLOOKUP( APIF_Import!$M317 &amp; APIF_Import!$K$1,Podesavanja!$AA$3:$AD$24, 4, 0)), "", VLOOKUP( APIF_Import!$C317, INDIRECT( "Lookup_" &amp; APIF_Import!$M317), VLOOKUP( APIF_Import!$M317 &amp; APIF_Import!$K$1,Podesavanja!$AA$3:$AD$24, 4, 0), 0))</f>
        <v/>
      </c>
      <c r="L317" s="8">
        <v>329</v>
      </c>
      <c r="M317" s="8" t="s">
        <v>1375</v>
      </c>
    </row>
    <row r="318" spans="2:13" x14ac:dyDescent="0.2">
      <c r="B318" s="8">
        <f>VLOOKUP( APIF_Import!$M318, Podesavanja!$N$3:$Q$9, 4, 0)</f>
        <v>4</v>
      </c>
      <c r="C318" s="363">
        <f>VLOOKUP( APIF_Import!$L318, Aop!$A$2:$N$415, 4, 0)</f>
        <v>609</v>
      </c>
      <c r="D318" s="364" t="str">
        <f ca="1">IF( ISNA( VLOOKUP( APIF_Import!$M318 &amp; APIF_Import!$D$1,Podesavanja!$AA$3:$AD$24, 4, 0)), "", SUBSTITUTE( VALUE( VLOOKUP( APIF_Import!$C318, INDIRECT( "Lookup_" &amp; APIF_Import!$M318), VLOOKUP( APIF_Import!$M318 &amp; APIF_Import!$D$1,Podesavanja!$AA$3:$AD$24, 4, 0), 0)), ".", ","))</f>
        <v>3493827</v>
      </c>
      <c r="E318" s="364" t="str">
        <f ca="1">IF( ISNA( VLOOKUP( APIF_Import!$M318 &amp; APIF_Import!$E$1,Podesavanja!$AA$3:$AD$24, 4, 0)), "", SUBSTITUTE( VALUE( VLOOKUP( APIF_Import!$C318, INDIRECT( "Lookup_" &amp; APIF_Import!$M318), VLOOKUP( APIF_Import!$M318 &amp; APIF_Import!$E$1,Podesavanja!$AA$3:$AD$24, 4, 0), 0)), ".", ","))</f>
        <v>2953445</v>
      </c>
      <c r="F318" s="364" t="str">
        <f ca="1">IF( ISNA( VLOOKUP( APIF_Import!$M318 &amp; APIF_Import!$F$1,Podesavanja!$AA$3:$AD$24, 4, 0)), "", VLOOKUP( APIF_Import!$C318, INDIRECT( "Lookup_" &amp; APIF_Import!$M318), VLOOKUP( APIF_Import!$M318 &amp; APIF_Import!$F$1,Podesavanja!$AA$3:$AD$24, 4, 0), 0))</f>
        <v/>
      </c>
      <c r="G318" s="364" t="str">
        <f ca="1">IF( ISNA( VLOOKUP( APIF_Import!$M318 &amp; APIF_Import!$G$1,Podesavanja!$AA$3:$AD$24, 4, 0)), "", VLOOKUP( APIF_Import!$C318, INDIRECT( "Lookup_" &amp; APIF_Import!$M318), VLOOKUP( APIF_Import!$M318 &amp; APIF_Import!$G$1,Podesavanja!$AA$3:$AD$24, 4, 0), 0))</f>
        <v/>
      </c>
      <c r="H318" s="364" t="str">
        <f ca="1">IF( ISNA( VLOOKUP( APIF_Import!$M318 &amp; APIF_Import!$H$1,Podesavanja!$AA$3:$AD$24, 4, 0)), "", VLOOKUP( APIF_Import!$C318, INDIRECT( "Lookup_" &amp; APIF_Import!$M318), VLOOKUP( APIF_Import!$M318 &amp; APIF_Import!$H$1,Podesavanja!$AA$3:$AD$24, 4, 0), 0))</f>
        <v/>
      </c>
      <c r="I318" s="364" t="str">
        <f ca="1">IF( ISNA( VLOOKUP( APIF_Import!$M318 &amp; APIF_Import!$I$1,Podesavanja!$AA$3:$AD$24, 4, 0)), "", VLOOKUP( APIF_Import!$C318, INDIRECT( "Lookup_" &amp; APIF_Import!$M318), VLOOKUP( APIF_Import!$M318 &amp; APIF_Import!$I$1,Podesavanja!$AA$3:$AD$24, 4, 0), 0))</f>
        <v/>
      </c>
      <c r="J318" s="364" t="str">
        <f ca="1">IF( ISNA( VLOOKUP( APIF_Import!$M318 &amp; APIF_Import!$J$1,Podesavanja!$AA$3:$AD$24, 4, 0)), "", VLOOKUP( APIF_Import!$C318, INDIRECT( "Lookup_" &amp; APIF_Import!$M318), VLOOKUP( APIF_Import!$M318 &amp; APIF_Import!$J$1,Podesavanja!$AA$3:$AD$24, 4, 0), 0))</f>
        <v/>
      </c>
      <c r="K318" s="364" t="str">
        <f ca="1">IF( ISNA( VLOOKUP( APIF_Import!$M318 &amp; APIF_Import!$K$1,Podesavanja!$AA$3:$AD$24, 4, 0)), "", VLOOKUP( APIF_Import!$C318, INDIRECT( "Lookup_" &amp; APIF_Import!$M318), VLOOKUP( APIF_Import!$M318 &amp; APIF_Import!$K$1,Podesavanja!$AA$3:$AD$24, 4, 0), 0))</f>
        <v/>
      </c>
      <c r="L318" s="8">
        <v>330</v>
      </c>
      <c r="M318" s="8" t="s">
        <v>1375</v>
      </c>
    </row>
    <row r="319" spans="2:13" x14ac:dyDescent="0.2">
      <c r="B319" s="8">
        <f>VLOOKUP( APIF_Import!$M319, Podesavanja!$N$3:$Q$9, 4, 0)</f>
        <v>4</v>
      </c>
      <c r="C319" s="363">
        <f>VLOOKUP( APIF_Import!$L319, Aop!$A$2:$N$415, 4, 0)</f>
        <v>610</v>
      </c>
      <c r="D319" s="364" t="str">
        <f ca="1">IF( ISNA( VLOOKUP( APIF_Import!$M319 &amp; APIF_Import!$D$1,Podesavanja!$AA$3:$AD$24, 4, 0)), "", SUBSTITUTE( VALUE( VLOOKUP( APIF_Import!$C319, INDIRECT( "Lookup_" &amp; APIF_Import!$M319), VLOOKUP( APIF_Import!$M319 &amp; APIF_Import!$D$1,Podesavanja!$AA$3:$AD$24, 4, 0), 0)), ".", ","))</f>
        <v>72267</v>
      </c>
      <c r="E319" s="364" t="str">
        <f ca="1">IF( ISNA( VLOOKUP( APIF_Import!$M319 &amp; APIF_Import!$E$1,Podesavanja!$AA$3:$AD$24, 4, 0)), "", SUBSTITUTE( VALUE( VLOOKUP( APIF_Import!$C319, INDIRECT( "Lookup_" &amp; APIF_Import!$M319), VLOOKUP( APIF_Import!$M319 &amp; APIF_Import!$E$1,Podesavanja!$AA$3:$AD$24, 4, 0), 0)), ".", ","))</f>
        <v>42053</v>
      </c>
      <c r="F319" s="364" t="str">
        <f ca="1">IF( ISNA( VLOOKUP( APIF_Import!$M319 &amp; APIF_Import!$F$1,Podesavanja!$AA$3:$AD$24, 4, 0)), "", VLOOKUP( APIF_Import!$C319, INDIRECT( "Lookup_" &amp; APIF_Import!$M319), VLOOKUP( APIF_Import!$M319 &amp; APIF_Import!$F$1,Podesavanja!$AA$3:$AD$24, 4, 0), 0))</f>
        <v/>
      </c>
      <c r="G319" s="364" t="str">
        <f ca="1">IF( ISNA( VLOOKUP( APIF_Import!$M319 &amp; APIF_Import!$G$1,Podesavanja!$AA$3:$AD$24, 4, 0)), "", VLOOKUP( APIF_Import!$C319, INDIRECT( "Lookup_" &amp; APIF_Import!$M319), VLOOKUP( APIF_Import!$M319 &amp; APIF_Import!$G$1,Podesavanja!$AA$3:$AD$24, 4, 0), 0))</f>
        <v/>
      </c>
      <c r="H319" s="364" t="str">
        <f ca="1">IF( ISNA( VLOOKUP( APIF_Import!$M319 &amp; APIF_Import!$H$1,Podesavanja!$AA$3:$AD$24, 4, 0)), "", VLOOKUP( APIF_Import!$C319, INDIRECT( "Lookup_" &amp; APIF_Import!$M319), VLOOKUP( APIF_Import!$M319 &amp; APIF_Import!$H$1,Podesavanja!$AA$3:$AD$24, 4, 0), 0))</f>
        <v/>
      </c>
      <c r="I319" s="364" t="str">
        <f ca="1">IF( ISNA( VLOOKUP( APIF_Import!$M319 &amp; APIF_Import!$I$1,Podesavanja!$AA$3:$AD$24, 4, 0)), "", VLOOKUP( APIF_Import!$C319, INDIRECT( "Lookup_" &amp; APIF_Import!$M319), VLOOKUP( APIF_Import!$M319 &amp; APIF_Import!$I$1,Podesavanja!$AA$3:$AD$24, 4, 0), 0))</f>
        <v/>
      </c>
      <c r="J319" s="364" t="str">
        <f ca="1">IF( ISNA( VLOOKUP( APIF_Import!$M319 &amp; APIF_Import!$J$1,Podesavanja!$AA$3:$AD$24, 4, 0)), "", VLOOKUP( APIF_Import!$C319, INDIRECT( "Lookup_" &amp; APIF_Import!$M319), VLOOKUP( APIF_Import!$M319 &amp; APIF_Import!$J$1,Podesavanja!$AA$3:$AD$24, 4, 0), 0))</f>
        <v/>
      </c>
      <c r="K319" s="364" t="str">
        <f ca="1">IF( ISNA( VLOOKUP( APIF_Import!$M319 &amp; APIF_Import!$K$1,Podesavanja!$AA$3:$AD$24, 4, 0)), "", VLOOKUP( APIF_Import!$C319, INDIRECT( "Lookup_" &amp; APIF_Import!$M319), VLOOKUP( APIF_Import!$M319 &amp; APIF_Import!$K$1,Podesavanja!$AA$3:$AD$24, 4, 0), 0))</f>
        <v/>
      </c>
      <c r="L319" s="8">
        <v>331</v>
      </c>
      <c r="M319" s="8" t="s">
        <v>1375</v>
      </c>
    </row>
    <row r="320" spans="2:13" x14ac:dyDescent="0.2">
      <c r="B320" s="8">
        <f>VLOOKUP( APIF_Import!$M320, Podesavanja!$N$3:$Q$9, 4, 0)</f>
        <v>4</v>
      </c>
      <c r="C320" s="363">
        <f>VLOOKUP( APIF_Import!$L320, Aop!$A$2:$N$415, 4, 0)</f>
        <v>611</v>
      </c>
      <c r="D320" s="364" t="str">
        <f ca="1">IF( ISNA( VLOOKUP( APIF_Import!$M320 &amp; APIF_Import!$D$1,Podesavanja!$AA$3:$AD$24, 4, 0)), "", SUBSTITUTE( VALUE( VLOOKUP( APIF_Import!$C320, INDIRECT( "Lookup_" &amp; APIF_Import!$M320), VLOOKUP( APIF_Import!$M320 &amp; APIF_Import!$D$1,Podesavanja!$AA$3:$AD$24, 4, 0), 0)), ".", ","))</f>
        <v>7778042</v>
      </c>
      <c r="E320" s="364" t="str">
        <f ca="1">IF( ISNA( VLOOKUP( APIF_Import!$M320 &amp; APIF_Import!$E$1,Podesavanja!$AA$3:$AD$24, 4, 0)), "", SUBSTITUTE( VALUE( VLOOKUP( APIF_Import!$C320, INDIRECT( "Lookup_" &amp; APIF_Import!$M320), VLOOKUP( APIF_Import!$M320 &amp; APIF_Import!$E$1,Podesavanja!$AA$3:$AD$24, 4, 0), 0)), ".", ","))</f>
        <v>4218003</v>
      </c>
      <c r="F320" s="364" t="str">
        <f ca="1">IF( ISNA( VLOOKUP( APIF_Import!$M320 &amp; APIF_Import!$F$1,Podesavanja!$AA$3:$AD$24, 4, 0)), "", VLOOKUP( APIF_Import!$C320, INDIRECT( "Lookup_" &amp; APIF_Import!$M320), VLOOKUP( APIF_Import!$M320 &amp; APIF_Import!$F$1,Podesavanja!$AA$3:$AD$24, 4, 0), 0))</f>
        <v/>
      </c>
      <c r="G320" s="364" t="str">
        <f ca="1">IF( ISNA( VLOOKUP( APIF_Import!$M320 &amp; APIF_Import!$G$1,Podesavanja!$AA$3:$AD$24, 4, 0)), "", VLOOKUP( APIF_Import!$C320, INDIRECT( "Lookup_" &amp; APIF_Import!$M320), VLOOKUP( APIF_Import!$M320 &amp; APIF_Import!$G$1,Podesavanja!$AA$3:$AD$24, 4, 0), 0))</f>
        <v/>
      </c>
      <c r="H320" s="364" t="str">
        <f ca="1">IF( ISNA( VLOOKUP( APIF_Import!$M320 &amp; APIF_Import!$H$1,Podesavanja!$AA$3:$AD$24, 4, 0)), "", VLOOKUP( APIF_Import!$C320, INDIRECT( "Lookup_" &amp; APIF_Import!$M320), VLOOKUP( APIF_Import!$M320 &amp; APIF_Import!$H$1,Podesavanja!$AA$3:$AD$24, 4, 0), 0))</f>
        <v/>
      </c>
      <c r="I320" s="364" t="str">
        <f ca="1">IF( ISNA( VLOOKUP( APIF_Import!$M320 &amp; APIF_Import!$I$1,Podesavanja!$AA$3:$AD$24, 4, 0)), "", VLOOKUP( APIF_Import!$C320, INDIRECT( "Lookup_" &amp; APIF_Import!$M320), VLOOKUP( APIF_Import!$M320 &amp; APIF_Import!$I$1,Podesavanja!$AA$3:$AD$24, 4, 0), 0))</f>
        <v/>
      </c>
      <c r="J320" s="364" t="str">
        <f ca="1">IF( ISNA( VLOOKUP( APIF_Import!$M320 &amp; APIF_Import!$J$1,Podesavanja!$AA$3:$AD$24, 4, 0)), "", VLOOKUP( APIF_Import!$C320, INDIRECT( "Lookup_" &amp; APIF_Import!$M320), VLOOKUP( APIF_Import!$M320 &amp; APIF_Import!$J$1,Podesavanja!$AA$3:$AD$24, 4, 0), 0))</f>
        <v/>
      </c>
      <c r="K320" s="364" t="str">
        <f ca="1">IF( ISNA( VLOOKUP( APIF_Import!$M320 &amp; APIF_Import!$K$1,Podesavanja!$AA$3:$AD$24, 4, 0)), "", VLOOKUP( APIF_Import!$C320, INDIRECT( "Lookup_" &amp; APIF_Import!$M320), VLOOKUP( APIF_Import!$M320 &amp; APIF_Import!$K$1,Podesavanja!$AA$3:$AD$24, 4, 0), 0))</f>
        <v/>
      </c>
      <c r="L320" s="8">
        <v>332</v>
      </c>
      <c r="M320" s="8" t="s">
        <v>1375</v>
      </c>
    </row>
    <row r="321" spans="2:13" x14ac:dyDescent="0.2">
      <c r="B321" s="8">
        <f>VLOOKUP( APIF_Import!$M321, Podesavanja!$N$3:$Q$9, 4, 0)</f>
        <v>4</v>
      </c>
      <c r="C321" s="363">
        <f>VLOOKUP( APIF_Import!$L321, Aop!$A$2:$N$415, 4, 0)</f>
        <v>612</v>
      </c>
      <c r="D321" s="364" t="str">
        <f ca="1">IF( ISNA( VLOOKUP( APIF_Import!$M321 &amp; APIF_Import!$D$1,Podesavanja!$AA$3:$AD$24, 4, 0)), "", SUBSTITUTE( VALUE( VLOOKUP( APIF_Import!$C321, INDIRECT( "Lookup_" &amp; APIF_Import!$M321), VLOOKUP( APIF_Import!$M321 &amp; APIF_Import!$D$1,Podesavanja!$AA$3:$AD$24, 4, 0), 0)), ".", ","))</f>
        <v>85639</v>
      </c>
      <c r="E321" s="364" t="str">
        <f ca="1">IF( ISNA( VLOOKUP( APIF_Import!$M321 &amp; APIF_Import!$E$1,Podesavanja!$AA$3:$AD$24, 4, 0)), "", SUBSTITUTE( VALUE( VLOOKUP( APIF_Import!$C321, INDIRECT( "Lookup_" &amp; APIF_Import!$M321), VLOOKUP( APIF_Import!$M321 &amp; APIF_Import!$E$1,Podesavanja!$AA$3:$AD$24, 4, 0), 0)), ".", ","))</f>
        <v>105024</v>
      </c>
      <c r="F321" s="364" t="str">
        <f ca="1">IF( ISNA( VLOOKUP( APIF_Import!$M321 &amp; APIF_Import!$F$1,Podesavanja!$AA$3:$AD$24, 4, 0)), "", VLOOKUP( APIF_Import!$C321, INDIRECT( "Lookup_" &amp; APIF_Import!$M321), VLOOKUP( APIF_Import!$M321 &amp; APIF_Import!$F$1,Podesavanja!$AA$3:$AD$24, 4, 0), 0))</f>
        <v/>
      </c>
      <c r="G321" s="364" t="str">
        <f ca="1">IF( ISNA( VLOOKUP( APIF_Import!$M321 &amp; APIF_Import!$G$1,Podesavanja!$AA$3:$AD$24, 4, 0)), "", VLOOKUP( APIF_Import!$C321, INDIRECT( "Lookup_" &amp; APIF_Import!$M321), VLOOKUP( APIF_Import!$M321 &amp; APIF_Import!$G$1,Podesavanja!$AA$3:$AD$24, 4, 0), 0))</f>
        <v/>
      </c>
      <c r="H321" s="364" t="str">
        <f ca="1">IF( ISNA( VLOOKUP( APIF_Import!$M321 &amp; APIF_Import!$H$1,Podesavanja!$AA$3:$AD$24, 4, 0)), "", VLOOKUP( APIF_Import!$C321, INDIRECT( "Lookup_" &amp; APIF_Import!$M321), VLOOKUP( APIF_Import!$M321 &amp; APIF_Import!$H$1,Podesavanja!$AA$3:$AD$24, 4, 0), 0))</f>
        <v/>
      </c>
      <c r="I321" s="364" t="str">
        <f ca="1">IF( ISNA( VLOOKUP( APIF_Import!$M321 &amp; APIF_Import!$I$1,Podesavanja!$AA$3:$AD$24, 4, 0)), "", VLOOKUP( APIF_Import!$C321, INDIRECT( "Lookup_" &amp; APIF_Import!$M321), VLOOKUP( APIF_Import!$M321 &amp; APIF_Import!$I$1,Podesavanja!$AA$3:$AD$24, 4, 0), 0))</f>
        <v/>
      </c>
      <c r="J321" s="364" t="str">
        <f ca="1">IF( ISNA( VLOOKUP( APIF_Import!$M321 &amp; APIF_Import!$J$1,Podesavanja!$AA$3:$AD$24, 4, 0)), "", VLOOKUP( APIF_Import!$C321, INDIRECT( "Lookup_" &amp; APIF_Import!$M321), VLOOKUP( APIF_Import!$M321 &amp; APIF_Import!$J$1,Podesavanja!$AA$3:$AD$24, 4, 0), 0))</f>
        <v/>
      </c>
      <c r="K321" s="364" t="str">
        <f ca="1">IF( ISNA( VLOOKUP( APIF_Import!$M321 &amp; APIF_Import!$K$1,Podesavanja!$AA$3:$AD$24, 4, 0)), "", VLOOKUP( APIF_Import!$C321, INDIRECT( "Lookup_" &amp; APIF_Import!$M321), VLOOKUP( APIF_Import!$M321 &amp; APIF_Import!$K$1,Podesavanja!$AA$3:$AD$24, 4, 0), 0))</f>
        <v/>
      </c>
      <c r="L321" s="8">
        <v>333</v>
      </c>
      <c r="M321" s="8" t="s">
        <v>1375</v>
      </c>
    </row>
    <row r="322" spans="2:13" x14ac:dyDescent="0.2">
      <c r="B322" s="8">
        <f>VLOOKUP( APIF_Import!$M322, Podesavanja!$N$3:$Q$9, 4, 0)</f>
        <v>4</v>
      </c>
      <c r="C322" s="363">
        <f>VLOOKUP( APIF_Import!$L322, Aop!$A$2:$N$415, 4, 0)</f>
        <v>613</v>
      </c>
      <c r="D322" s="364" t="str">
        <f ca="1">IF( ISNA( VLOOKUP( APIF_Import!$M322 &amp; APIF_Import!$D$1,Podesavanja!$AA$3:$AD$24, 4, 0)), "", SUBSTITUTE( VALUE( VLOOKUP( APIF_Import!$C322, INDIRECT( "Lookup_" &amp; APIF_Import!$M322), VLOOKUP( APIF_Import!$M322 &amp; APIF_Import!$D$1,Podesavanja!$AA$3:$AD$24, 4, 0), 0)), ".", ","))</f>
        <v>244347</v>
      </c>
      <c r="E322" s="364" t="str">
        <f ca="1">IF( ISNA( VLOOKUP( APIF_Import!$M322 &amp; APIF_Import!$E$1,Podesavanja!$AA$3:$AD$24, 4, 0)), "", SUBSTITUTE( VALUE( VLOOKUP( APIF_Import!$C322, INDIRECT( "Lookup_" &amp; APIF_Import!$M322), VLOOKUP( APIF_Import!$M322 &amp; APIF_Import!$E$1,Podesavanja!$AA$3:$AD$24, 4, 0), 0)), ".", ","))</f>
        <v>192905</v>
      </c>
      <c r="F322" s="364" t="str">
        <f ca="1">IF( ISNA( VLOOKUP( APIF_Import!$M322 &amp; APIF_Import!$F$1,Podesavanja!$AA$3:$AD$24, 4, 0)), "", VLOOKUP( APIF_Import!$C322, INDIRECT( "Lookup_" &amp; APIF_Import!$M322), VLOOKUP( APIF_Import!$M322 &amp; APIF_Import!$F$1,Podesavanja!$AA$3:$AD$24, 4, 0), 0))</f>
        <v/>
      </c>
      <c r="G322" s="364" t="str">
        <f ca="1">IF( ISNA( VLOOKUP( APIF_Import!$M322 &amp; APIF_Import!$G$1,Podesavanja!$AA$3:$AD$24, 4, 0)), "", VLOOKUP( APIF_Import!$C322, INDIRECT( "Lookup_" &amp; APIF_Import!$M322), VLOOKUP( APIF_Import!$M322 &amp; APIF_Import!$G$1,Podesavanja!$AA$3:$AD$24, 4, 0), 0))</f>
        <v/>
      </c>
      <c r="H322" s="364" t="str">
        <f ca="1">IF( ISNA( VLOOKUP( APIF_Import!$M322 &amp; APIF_Import!$H$1,Podesavanja!$AA$3:$AD$24, 4, 0)), "", VLOOKUP( APIF_Import!$C322, INDIRECT( "Lookup_" &amp; APIF_Import!$M322), VLOOKUP( APIF_Import!$M322 &amp; APIF_Import!$H$1,Podesavanja!$AA$3:$AD$24, 4, 0), 0))</f>
        <v/>
      </c>
      <c r="I322" s="364" t="str">
        <f ca="1">IF( ISNA( VLOOKUP( APIF_Import!$M322 &amp; APIF_Import!$I$1,Podesavanja!$AA$3:$AD$24, 4, 0)), "", VLOOKUP( APIF_Import!$C322, INDIRECT( "Lookup_" &amp; APIF_Import!$M322), VLOOKUP( APIF_Import!$M322 &amp; APIF_Import!$I$1,Podesavanja!$AA$3:$AD$24, 4, 0), 0))</f>
        <v/>
      </c>
      <c r="J322" s="364" t="str">
        <f ca="1">IF( ISNA( VLOOKUP( APIF_Import!$M322 &amp; APIF_Import!$J$1,Podesavanja!$AA$3:$AD$24, 4, 0)), "", VLOOKUP( APIF_Import!$C322, INDIRECT( "Lookup_" &amp; APIF_Import!$M322), VLOOKUP( APIF_Import!$M322 &amp; APIF_Import!$J$1,Podesavanja!$AA$3:$AD$24, 4, 0), 0))</f>
        <v/>
      </c>
      <c r="K322" s="364" t="str">
        <f ca="1">IF( ISNA( VLOOKUP( APIF_Import!$M322 &amp; APIF_Import!$K$1,Podesavanja!$AA$3:$AD$24, 4, 0)), "", VLOOKUP( APIF_Import!$C322, INDIRECT( "Lookup_" &amp; APIF_Import!$M322), VLOOKUP( APIF_Import!$M322 &amp; APIF_Import!$K$1,Podesavanja!$AA$3:$AD$24, 4, 0), 0))</f>
        <v/>
      </c>
      <c r="L322" s="8">
        <v>334</v>
      </c>
      <c r="M322" s="8" t="s">
        <v>1375</v>
      </c>
    </row>
    <row r="323" spans="2:13" x14ac:dyDescent="0.2">
      <c r="B323" s="8">
        <f>VLOOKUP( APIF_Import!$M323, Podesavanja!$N$3:$Q$9, 4, 0)</f>
        <v>4</v>
      </c>
      <c r="C323" s="363">
        <f>VLOOKUP( APIF_Import!$L323, Aop!$A$2:$N$415, 4, 0)</f>
        <v>614</v>
      </c>
      <c r="D323" s="364" t="str">
        <f ca="1">IF( ISNA( VLOOKUP( APIF_Import!$M323 &amp; APIF_Import!$D$1,Podesavanja!$AA$3:$AD$24, 4, 0)), "", SUBSTITUTE( VALUE( VLOOKUP( APIF_Import!$C323, INDIRECT( "Lookup_" &amp; APIF_Import!$M323), VLOOKUP( APIF_Import!$M323 &amp; APIF_Import!$D$1,Podesavanja!$AA$3:$AD$24, 4, 0), 0)), ".", ","))</f>
        <v>26939</v>
      </c>
      <c r="E323" s="364" t="str">
        <f ca="1">IF( ISNA( VLOOKUP( APIF_Import!$M323 &amp; APIF_Import!$E$1,Podesavanja!$AA$3:$AD$24, 4, 0)), "", SUBSTITUTE( VALUE( VLOOKUP( APIF_Import!$C323, INDIRECT( "Lookup_" &amp; APIF_Import!$M323), VLOOKUP( APIF_Import!$M323 &amp; APIF_Import!$E$1,Podesavanja!$AA$3:$AD$24, 4, 0), 0)), ".", ","))</f>
        <v>23464</v>
      </c>
      <c r="F323" s="364" t="str">
        <f ca="1">IF( ISNA( VLOOKUP( APIF_Import!$M323 &amp; APIF_Import!$F$1,Podesavanja!$AA$3:$AD$24, 4, 0)), "", VLOOKUP( APIF_Import!$C323, INDIRECT( "Lookup_" &amp; APIF_Import!$M323), VLOOKUP( APIF_Import!$M323 &amp; APIF_Import!$F$1,Podesavanja!$AA$3:$AD$24, 4, 0), 0))</f>
        <v/>
      </c>
      <c r="G323" s="364" t="str">
        <f ca="1">IF( ISNA( VLOOKUP( APIF_Import!$M323 &amp; APIF_Import!$G$1,Podesavanja!$AA$3:$AD$24, 4, 0)), "", VLOOKUP( APIF_Import!$C323, INDIRECT( "Lookup_" &amp; APIF_Import!$M323), VLOOKUP( APIF_Import!$M323 &amp; APIF_Import!$G$1,Podesavanja!$AA$3:$AD$24, 4, 0), 0))</f>
        <v/>
      </c>
      <c r="H323" s="364" t="str">
        <f ca="1">IF( ISNA( VLOOKUP( APIF_Import!$M323 &amp; APIF_Import!$H$1,Podesavanja!$AA$3:$AD$24, 4, 0)), "", VLOOKUP( APIF_Import!$C323, INDIRECT( "Lookup_" &amp; APIF_Import!$M323), VLOOKUP( APIF_Import!$M323 &amp; APIF_Import!$H$1,Podesavanja!$AA$3:$AD$24, 4, 0), 0))</f>
        <v/>
      </c>
      <c r="I323" s="364" t="str">
        <f ca="1">IF( ISNA( VLOOKUP( APIF_Import!$M323 &amp; APIF_Import!$I$1,Podesavanja!$AA$3:$AD$24, 4, 0)), "", VLOOKUP( APIF_Import!$C323, INDIRECT( "Lookup_" &amp; APIF_Import!$M323), VLOOKUP( APIF_Import!$M323 &amp; APIF_Import!$I$1,Podesavanja!$AA$3:$AD$24, 4, 0), 0))</f>
        <v/>
      </c>
      <c r="J323" s="364" t="str">
        <f ca="1">IF( ISNA( VLOOKUP( APIF_Import!$M323 &amp; APIF_Import!$J$1,Podesavanja!$AA$3:$AD$24, 4, 0)), "", VLOOKUP( APIF_Import!$C323, INDIRECT( "Lookup_" &amp; APIF_Import!$M323), VLOOKUP( APIF_Import!$M323 &amp; APIF_Import!$J$1,Podesavanja!$AA$3:$AD$24, 4, 0), 0))</f>
        <v/>
      </c>
      <c r="K323" s="364" t="str">
        <f ca="1">IF( ISNA( VLOOKUP( APIF_Import!$M323 &amp; APIF_Import!$K$1,Podesavanja!$AA$3:$AD$24, 4, 0)), "", VLOOKUP( APIF_Import!$C323, INDIRECT( "Lookup_" &amp; APIF_Import!$M323), VLOOKUP( APIF_Import!$M323 &amp; APIF_Import!$K$1,Podesavanja!$AA$3:$AD$24, 4, 0), 0))</f>
        <v/>
      </c>
      <c r="L323" s="8">
        <v>335</v>
      </c>
      <c r="M323" s="8" t="s">
        <v>1375</v>
      </c>
    </row>
    <row r="324" spans="2:13" x14ac:dyDescent="0.2">
      <c r="B324" s="8">
        <f>VLOOKUP( APIF_Import!$M324, Podesavanja!$N$3:$Q$9, 4, 0)</f>
        <v>4</v>
      </c>
      <c r="C324" s="363">
        <f>VLOOKUP( APIF_Import!$L324, Aop!$A$2:$N$415, 4, 0)</f>
        <v>615</v>
      </c>
      <c r="D324" s="364" t="str">
        <f ca="1">IF( ISNA( VLOOKUP( APIF_Import!$M324 &amp; APIF_Import!$D$1,Podesavanja!$AA$3:$AD$24, 4, 0)), "", SUBSTITUTE( VALUE( VLOOKUP( APIF_Import!$C324, INDIRECT( "Lookup_" &amp; APIF_Import!$M324), VLOOKUP( APIF_Import!$M324 &amp; APIF_Import!$D$1,Podesavanja!$AA$3:$AD$24, 4, 0), 0)), ".", ","))</f>
        <v>3331</v>
      </c>
      <c r="E324" s="364" t="str">
        <f ca="1">IF( ISNA( VLOOKUP( APIF_Import!$M324 &amp; APIF_Import!$E$1,Podesavanja!$AA$3:$AD$24, 4, 0)), "", SUBSTITUTE( VALUE( VLOOKUP( APIF_Import!$C324, INDIRECT( "Lookup_" &amp; APIF_Import!$M324), VLOOKUP( APIF_Import!$M324 &amp; APIF_Import!$E$1,Podesavanja!$AA$3:$AD$24, 4, 0), 0)), ".", ","))</f>
        <v>1613</v>
      </c>
      <c r="F324" s="364" t="str">
        <f ca="1">IF( ISNA( VLOOKUP( APIF_Import!$M324 &amp; APIF_Import!$F$1,Podesavanja!$AA$3:$AD$24, 4, 0)), "", VLOOKUP( APIF_Import!$C324, INDIRECT( "Lookup_" &amp; APIF_Import!$M324), VLOOKUP( APIF_Import!$M324 &amp; APIF_Import!$F$1,Podesavanja!$AA$3:$AD$24, 4, 0), 0))</f>
        <v/>
      </c>
      <c r="G324" s="364" t="str">
        <f ca="1">IF( ISNA( VLOOKUP( APIF_Import!$M324 &amp; APIF_Import!$G$1,Podesavanja!$AA$3:$AD$24, 4, 0)), "", VLOOKUP( APIF_Import!$C324, INDIRECT( "Lookup_" &amp; APIF_Import!$M324), VLOOKUP( APIF_Import!$M324 &amp; APIF_Import!$G$1,Podesavanja!$AA$3:$AD$24, 4, 0), 0))</f>
        <v/>
      </c>
      <c r="H324" s="364" t="str">
        <f ca="1">IF( ISNA( VLOOKUP( APIF_Import!$M324 &amp; APIF_Import!$H$1,Podesavanja!$AA$3:$AD$24, 4, 0)), "", VLOOKUP( APIF_Import!$C324, INDIRECT( "Lookup_" &amp; APIF_Import!$M324), VLOOKUP( APIF_Import!$M324 &amp; APIF_Import!$H$1,Podesavanja!$AA$3:$AD$24, 4, 0), 0))</f>
        <v/>
      </c>
      <c r="I324" s="364" t="str">
        <f ca="1">IF( ISNA( VLOOKUP( APIF_Import!$M324 &amp; APIF_Import!$I$1,Podesavanja!$AA$3:$AD$24, 4, 0)), "", VLOOKUP( APIF_Import!$C324, INDIRECT( "Lookup_" &amp; APIF_Import!$M324), VLOOKUP( APIF_Import!$M324 &amp; APIF_Import!$I$1,Podesavanja!$AA$3:$AD$24, 4, 0), 0))</f>
        <v/>
      </c>
      <c r="J324" s="364" t="str">
        <f ca="1">IF( ISNA( VLOOKUP( APIF_Import!$M324 &amp; APIF_Import!$J$1,Podesavanja!$AA$3:$AD$24, 4, 0)), "", VLOOKUP( APIF_Import!$C324, INDIRECT( "Lookup_" &amp; APIF_Import!$M324), VLOOKUP( APIF_Import!$M324 &amp; APIF_Import!$J$1,Podesavanja!$AA$3:$AD$24, 4, 0), 0))</f>
        <v/>
      </c>
      <c r="K324" s="364" t="str">
        <f ca="1">IF( ISNA( VLOOKUP( APIF_Import!$M324 &amp; APIF_Import!$K$1,Podesavanja!$AA$3:$AD$24, 4, 0)), "", VLOOKUP( APIF_Import!$C324, INDIRECT( "Lookup_" &amp; APIF_Import!$M324), VLOOKUP( APIF_Import!$M324 &amp; APIF_Import!$K$1,Podesavanja!$AA$3:$AD$24, 4, 0), 0))</f>
        <v/>
      </c>
      <c r="L324" s="8">
        <v>336</v>
      </c>
      <c r="M324" s="8" t="s">
        <v>1375</v>
      </c>
    </row>
    <row r="325" spans="2:13" x14ac:dyDescent="0.2">
      <c r="B325" s="8">
        <f>VLOOKUP( APIF_Import!$M325, Podesavanja!$N$3:$Q$9, 4, 0)</f>
        <v>4</v>
      </c>
      <c r="C325" s="363">
        <f>VLOOKUP( APIF_Import!$L325, Aop!$A$2:$N$415, 4, 0)</f>
        <v>616</v>
      </c>
      <c r="D325" s="364" t="str">
        <f ca="1">IF( ISNA( VLOOKUP( APIF_Import!$M325 &amp; APIF_Import!$D$1,Podesavanja!$AA$3:$AD$24, 4, 0)), "", SUBSTITUTE( VALUE( VLOOKUP( APIF_Import!$C325, INDIRECT( "Lookup_" &amp; APIF_Import!$M325), VLOOKUP( APIF_Import!$M325 &amp; APIF_Import!$D$1,Podesavanja!$AA$3:$AD$24, 4, 0), 0)), ".", ","))</f>
        <v>52169</v>
      </c>
      <c r="E325" s="364" t="str">
        <f ca="1">IF( ISNA( VLOOKUP( APIF_Import!$M325 &amp; APIF_Import!$E$1,Podesavanja!$AA$3:$AD$24, 4, 0)), "", SUBSTITUTE( VALUE( VLOOKUP( APIF_Import!$C325, INDIRECT( "Lookup_" &amp; APIF_Import!$M325), VLOOKUP( APIF_Import!$M325 &amp; APIF_Import!$E$1,Podesavanja!$AA$3:$AD$24, 4, 0), 0)), ".", ","))</f>
        <v>51313</v>
      </c>
      <c r="F325" s="364" t="str">
        <f ca="1">IF( ISNA( VLOOKUP( APIF_Import!$M325 &amp; APIF_Import!$F$1,Podesavanja!$AA$3:$AD$24, 4, 0)), "", VLOOKUP( APIF_Import!$C325, INDIRECT( "Lookup_" &amp; APIF_Import!$M325), VLOOKUP( APIF_Import!$M325 &amp; APIF_Import!$F$1,Podesavanja!$AA$3:$AD$24, 4, 0), 0))</f>
        <v/>
      </c>
      <c r="G325" s="364" t="str">
        <f ca="1">IF( ISNA( VLOOKUP( APIF_Import!$M325 &amp; APIF_Import!$G$1,Podesavanja!$AA$3:$AD$24, 4, 0)), "", VLOOKUP( APIF_Import!$C325, INDIRECT( "Lookup_" &amp; APIF_Import!$M325), VLOOKUP( APIF_Import!$M325 &amp; APIF_Import!$G$1,Podesavanja!$AA$3:$AD$24, 4, 0), 0))</f>
        <v/>
      </c>
      <c r="H325" s="364" t="str">
        <f ca="1">IF( ISNA( VLOOKUP( APIF_Import!$M325 &amp; APIF_Import!$H$1,Podesavanja!$AA$3:$AD$24, 4, 0)), "", VLOOKUP( APIF_Import!$C325, INDIRECT( "Lookup_" &amp; APIF_Import!$M325), VLOOKUP( APIF_Import!$M325 &amp; APIF_Import!$H$1,Podesavanja!$AA$3:$AD$24, 4, 0), 0))</f>
        <v/>
      </c>
      <c r="I325" s="364" t="str">
        <f ca="1">IF( ISNA( VLOOKUP( APIF_Import!$M325 &amp; APIF_Import!$I$1,Podesavanja!$AA$3:$AD$24, 4, 0)), "", VLOOKUP( APIF_Import!$C325, INDIRECT( "Lookup_" &amp; APIF_Import!$M325), VLOOKUP( APIF_Import!$M325 &amp; APIF_Import!$I$1,Podesavanja!$AA$3:$AD$24, 4, 0), 0))</f>
        <v/>
      </c>
      <c r="J325" s="364" t="str">
        <f ca="1">IF( ISNA( VLOOKUP( APIF_Import!$M325 &amp; APIF_Import!$J$1,Podesavanja!$AA$3:$AD$24, 4, 0)), "", VLOOKUP( APIF_Import!$C325, INDIRECT( "Lookup_" &amp; APIF_Import!$M325), VLOOKUP( APIF_Import!$M325 &amp; APIF_Import!$J$1,Podesavanja!$AA$3:$AD$24, 4, 0), 0))</f>
        <v/>
      </c>
      <c r="K325" s="364" t="str">
        <f ca="1">IF( ISNA( VLOOKUP( APIF_Import!$M325 &amp; APIF_Import!$K$1,Podesavanja!$AA$3:$AD$24, 4, 0)), "", VLOOKUP( APIF_Import!$C325, INDIRECT( "Lookup_" &amp; APIF_Import!$M325), VLOOKUP( APIF_Import!$M325 &amp; APIF_Import!$K$1,Podesavanja!$AA$3:$AD$24, 4, 0), 0))</f>
        <v/>
      </c>
      <c r="L325" s="8">
        <v>337</v>
      </c>
      <c r="M325" s="8" t="s">
        <v>1375</v>
      </c>
    </row>
    <row r="326" spans="2:13" x14ac:dyDescent="0.2">
      <c r="B326" s="8">
        <f>VLOOKUP( APIF_Import!$M326, Podesavanja!$N$3:$Q$9, 4, 0)</f>
        <v>4</v>
      </c>
      <c r="C326" s="363">
        <f>VLOOKUP( APIF_Import!$L326, Aop!$A$2:$N$415, 4, 0)</f>
        <v>617</v>
      </c>
      <c r="D326" s="364" t="str">
        <f ca="1">IF( ISNA( VLOOKUP( APIF_Import!$M326 &amp; APIF_Import!$D$1,Podesavanja!$AA$3:$AD$24, 4, 0)), "", SUBSTITUTE( VALUE( VLOOKUP( APIF_Import!$C326, INDIRECT( "Lookup_" &amp; APIF_Import!$M326), VLOOKUP( APIF_Import!$M326 &amp; APIF_Import!$D$1,Podesavanja!$AA$3:$AD$24, 4, 0), 0)), ".", ","))</f>
        <v>5306</v>
      </c>
      <c r="E326" s="364" t="str">
        <f ca="1">IF( ISNA( VLOOKUP( APIF_Import!$M326 &amp; APIF_Import!$E$1,Podesavanja!$AA$3:$AD$24, 4, 0)), "", SUBSTITUTE( VALUE( VLOOKUP( APIF_Import!$C326, INDIRECT( "Lookup_" &amp; APIF_Import!$M326), VLOOKUP( APIF_Import!$M326 &amp; APIF_Import!$E$1,Podesavanja!$AA$3:$AD$24, 4, 0), 0)), ".", ","))</f>
        <v>9086</v>
      </c>
      <c r="F326" s="364" t="str">
        <f ca="1">IF( ISNA( VLOOKUP( APIF_Import!$M326 &amp; APIF_Import!$F$1,Podesavanja!$AA$3:$AD$24, 4, 0)), "", VLOOKUP( APIF_Import!$C326, INDIRECT( "Lookup_" &amp; APIF_Import!$M326), VLOOKUP( APIF_Import!$M326 &amp; APIF_Import!$F$1,Podesavanja!$AA$3:$AD$24, 4, 0), 0))</f>
        <v/>
      </c>
      <c r="G326" s="364" t="str">
        <f ca="1">IF( ISNA( VLOOKUP( APIF_Import!$M326 &amp; APIF_Import!$G$1,Podesavanja!$AA$3:$AD$24, 4, 0)), "", VLOOKUP( APIF_Import!$C326, INDIRECT( "Lookup_" &amp; APIF_Import!$M326), VLOOKUP( APIF_Import!$M326 &amp; APIF_Import!$G$1,Podesavanja!$AA$3:$AD$24, 4, 0), 0))</f>
        <v/>
      </c>
      <c r="H326" s="364" t="str">
        <f ca="1">IF( ISNA( VLOOKUP( APIF_Import!$M326 &amp; APIF_Import!$H$1,Podesavanja!$AA$3:$AD$24, 4, 0)), "", VLOOKUP( APIF_Import!$C326, INDIRECT( "Lookup_" &amp; APIF_Import!$M326), VLOOKUP( APIF_Import!$M326 &amp; APIF_Import!$H$1,Podesavanja!$AA$3:$AD$24, 4, 0), 0))</f>
        <v/>
      </c>
      <c r="I326" s="364" t="str">
        <f ca="1">IF( ISNA( VLOOKUP( APIF_Import!$M326 &amp; APIF_Import!$I$1,Podesavanja!$AA$3:$AD$24, 4, 0)), "", VLOOKUP( APIF_Import!$C326, INDIRECT( "Lookup_" &amp; APIF_Import!$M326), VLOOKUP( APIF_Import!$M326 &amp; APIF_Import!$I$1,Podesavanja!$AA$3:$AD$24, 4, 0), 0))</f>
        <v/>
      </c>
      <c r="J326" s="364" t="str">
        <f ca="1">IF( ISNA( VLOOKUP( APIF_Import!$M326 &amp; APIF_Import!$J$1,Podesavanja!$AA$3:$AD$24, 4, 0)), "", VLOOKUP( APIF_Import!$C326, INDIRECT( "Lookup_" &amp; APIF_Import!$M326), VLOOKUP( APIF_Import!$M326 &amp; APIF_Import!$J$1,Podesavanja!$AA$3:$AD$24, 4, 0), 0))</f>
        <v/>
      </c>
      <c r="K326" s="364" t="str">
        <f ca="1">IF( ISNA( VLOOKUP( APIF_Import!$M326 &amp; APIF_Import!$K$1,Podesavanja!$AA$3:$AD$24, 4, 0)), "", VLOOKUP( APIF_Import!$C326, INDIRECT( "Lookup_" &amp; APIF_Import!$M326), VLOOKUP( APIF_Import!$M326 &amp; APIF_Import!$K$1,Podesavanja!$AA$3:$AD$24, 4, 0), 0))</f>
        <v/>
      </c>
      <c r="L326" s="8">
        <v>338</v>
      </c>
      <c r="M326" s="8" t="s">
        <v>1375</v>
      </c>
    </row>
    <row r="327" spans="2:13" x14ac:dyDescent="0.2">
      <c r="B327" s="8">
        <f>VLOOKUP( APIF_Import!$M327, Podesavanja!$N$3:$Q$9, 4, 0)</f>
        <v>4</v>
      </c>
      <c r="C327" s="363">
        <f>VLOOKUP( APIF_Import!$L327, Aop!$A$2:$N$415, 4, 0)</f>
        <v>618</v>
      </c>
      <c r="D327" s="364" t="str">
        <f ca="1">IF( ISNA( VLOOKUP( APIF_Import!$M327 &amp; APIF_Import!$D$1,Podesavanja!$AA$3:$AD$24, 4, 0)), "", SUBSTITUTE( VALUE( VLOOKUP( APIF_Import!$C327, INDIRECT( "Lookup_" &amp; APIF_Import!$M327), VLOOKUP( APIF_Import!$M327 &amp; APIF_Import!$D$1,Podesavanja!$AA$3:$AD$24, 4, 0), 0)), ".", ","))</f>
        <v>0</v>
      </c>
      <c r="E327" s="364" t="str">
        <f ca="1">IF( ISNA( VLOOKUP( APIF_Import!$M327 &amp; APIF_Import!$E$1,Podesavanja!$AA$3:$AD$24, 4, 0)), "", SUBSTITUTE( VALUE( VLOOKUP( APIF_Import!$C327, INDIRECT( "Lookup_" &amp; APIF_Import!$M327), VLOOKUP( APIF_Import!$M327 &amp; APIF_Import!$E$1,Podesavanja!$AA$3:$AD$24, 4, 0), 0)), ".", ","))</f>
        <v>0</v>
      </c>
      <c r="F327" s="364" t="str">
        <f ca="1">IF( ISNA( VLOOKUP( APIF_Import!$M327 &amp; APIF_Import!$F$1,Podesavanja!$AA$3:$AD$24, 4, 0)), "", VLOOKUP( APIF_Import!$C327, INDIRECT( "Lookup_" &amp; APIF_Import!$M327), VLOOKUP( APIF_Import!$M327 &amp; APIF_Import!$F$1,Podesavanja!$AA$3:$AD$24, 4, 0), 0))</f>
        <v/>
      </c>
      <c r="G327" s="364" t="str">
        <f ca="1">IF( ISNA( VLOOKUP( APIF_Import!$M327 &amp; APIF_Import!$G$1,Podesavanja!$AA$3:$AD$24, 4, 0)), "", VLOOKUP( APIF_Import!$C327, INDIRECT( "Lookup_" &amp; APIF_Import!$M327), VLOOKUP( APIF_Import!$M327 &amp; APIF_Import!$G$1,Podesavanja!$AA$3:$AD$24, 4, 0), 0))</f>
        <v/>
      </c>
      <c r="H327" s="364" t="str">
        <f ca="1">IF( ISNA( VLOOKUP( APIF_Import!$M327 &amp; APIF_Import!$H$1,Podesavanja!$AA$3:$AD$24, 4, 0)), "", VLOOKUP( APIF_Import!$C327, INDIRECT( "Lookup_" &amp; APIF_Import!$M327), VLOOKUP( APIF_Import!$M327 &amp; APIF_Import!$H$1,Podesavanja!$AA$3:$AD$24, 4, 0), 0))</f>
        <v/>
      </c>
      <c r="I327" s="364" t="str">
        <f ca="1">IF( ISNA( VLOOKUP( APIF_Import!$M327 &amp; APIF_Import!$I$1,Podesavanja!$AA$3:$AD$24, 4, 0)), "", VLOOKUP( APIF_Import!$C327, INDIRECT( "Lookup_" &amp; APIF_Import!$M327), VLOOKUP( APIF_Import!$M327 &amp; APIF_Import!$I$1,Podesavanja!$AA$3:$AD$24, 4, 0), 0))</f>
        <v/>
      </c>
      <c r="J327" s="364" t="str">
        <f ca="1">IF( ISNA( VLOOKUP( APIF_Import!$M327 &amp; APIF_Import!$J$1,Podesavanja!$AA$3:$AD$24, 4, 0)), "", VLOOKUP( APIF_Import!$C327, INDIRECT( "Lookup_" &amp; APIF_Import!$M327), VLOOKUP( APIF_Import!$M327 &amp; APIF_Import!$J$1,Podesavanja!$AA$3:$AD$24, 4, 0), 0))</f>
        <v/>
      </c>
      <c r="K327" s="364" t="str">
        <f ca="1">IF( ISNA( VLOOKUP( APIF_Import!$M327 &amp; APIF_Import!$K$1,Podesavanja!$AA$3:$AD$24, 4, 0)), "", VLOOKUP( APIF_Import!$C327, INDIRECT( "Lookup_" &amp; APIF_Import!$M327), VLOOKUP( APIF_Import!$M327 &amp; APIF_Import!$K$1,Podesavanja!$AA$3:$AD$24, 4, 0), 0))</f>
        <v/>
      </c>
      <c r="L327" s="8">
        <v>339</v>
      </c>
      <c r="M327" s="8" t="s">
        <v>1375</v>
      </c>
    </row>
    <row r="328" spans="2:13" x14ac:dyDescent="0.2">
      <c r="B328" s="8">
        <f>VLOOKUP( APIF_Import!$M328, Podesavanja!$N$3:$Q$9, 4, 0)</f>
        <v>4</v>
      </c>
      <c r="C328" s="363">
        <f>VLOOKUP( APIF_Import!$L328, Aop!$A$2:$N$415, 4, 0)</f>
        <v>619</v>
      </c>
      <c r="D328" s="364" t="str">
        <f ca="1">IF( ISNA( VLOOKUP( APIF_Import!$M328 &amp; APIF_Import!$D$1,Podesavanja!$AA$3:$AD$24, 4, 0)), "", SUBSTITUTE( VALUE( VLOOKUP( APIF_Import!$C328, INDIRECT( "Lookup_" &amp; APIF_Import!$M328), VLOOKUP( APIF_Import!$M328 &amp; APIF_Import!$D$1,Podesavanja!$AA$3:$AD$24, 4, 0), 0)), ".", ","))</f>
        <v>121916</v>
      </c>
      <c r="E328" s="364" t="str">
        <f ca="1">IF( ISNA( VLOOKUP( APIF_Import!$M328 &amp; APIF_Import!$E$1,Podesavanja!$AA$3:$AD$24, 4, 0)), "", SUBSTITUTE( VALUE( VLOOKUP( APIF_Import!$C328, INDIRECT( "Lookup_" &amp; APIF_Import!$M328), VLOOKUP( APIF_Import!$M328 &amp; APIF_Import!$E$1,Podesavanja!$AA$3:$AD$24, 4, 0), 0)), ".", ","))</f>
        <v>166038</v>
      </c>
      <c r="F328" s="364" t="str">
        <f ca="1">IF( ISNA( VLOOKUP( APIF_Import!$M328 &amp; APIF_Import!$F$1,Podesavanja!$AA$3:$AD$24, 4, 0)), "", VLOOKUP( APIF_Import!$C328, INDIRECT( "Lookup_" &amp; APIF_Import!$M328), VLOOKUP( APIF_Import!$M328 &amp; APIF_Import!$F$1,Podesavanja!$AA$3:$AD$24, 4, 0), 0))</f>
        <v/>
      </c>
      <c r="G328" s="364" t="str">
        <f ca="1">IF( ISNA( VLOOKUP( APIF_Import!$M328 &amp; APIF_Import!$G$1,Podesavanja!$AA$3:$AD$24, 4, 0)), "", VLOOKUP( APIF_Import!$C328, INDIRECT( "Lookup_" &amp; APIF_Import!$M328), VLOOKUP( APIF_Import!$M328 &amp; APIF_Import!$G$1,Podesavanja!$AA$3:$AD$24, 4, 0), 0))</f>
        <v/>
      </c>
      <c r="H328" s="364" t="str">
        <f ca="1">IF( ISNA( VLOOKUP( APIF_Import!$M328 &amp; APIF_Import!$H$1,Podesavanja!$AA$3:$AD$24, 4, 0)), "", VLOOKUP( APIF_Import!$C328, INDIRECT( "Lookup_" &amp; APIF_Import!$M328), VLOOKUP( APIF_Import!$M328 &amp; APIF_Import!$H$1,Podesavanja!$AA$3:$AD$24, 4, 0), 0))</f>
        <v/>
      </c>
      <c r="I328" s="364" t="str">
        <f ca="1">IF( ISNA( VLOOKUP( APIF_Import!$M328 &amp; APIF_Import!$I$1,Podesavanja!$AA$3:$AD$24, 4, 0)), "", VLOOKUP( APIF_Import!$C328, INDIRECT( "Lookup_" &amp; APIF_Import!$M328), VLOOKUP( APIF_Import!$M328 &amp; APIF_Import!$I$1,Podesavanja!$AA$3:$AD$24, 4, 0), 0))</f>
        <v/>
      </c>
      <c r="J328" s="364" t="str">
        <f ca="1">IF( ISNA( VLOOKUP( APIF_Import!$M328 &amp; APIF_Import!$J$1,Podesavanja!$AA$3:$AD$24, 4, 0)), "", VLOOKUP( APIF_Import!$C328, INDIRECT( "Lookup_" &amp; APIF_Import!$M328), VLOOKUP( APIF_Import!$M328 &amp; APIF_Import!$J$1,Podesavanja!$AA$3:$AD$24, 4, 0), 0))</f>
        <v/>
      </c>
      <c r="K328" s="364" t="str">
        <f ca="1">IF( ISNA( VLOOKUP( APIF_Import!$M328 &amp; APIF_Import!$K$1,Podesavanja!$AA$3:$AD$24, 4, 0)), "", VLOOKUP( APIF_Import!$C328, INDIRECT( "Lookup_" &amp; APIF_Import!$M328), VLOOKUP( APIF_Import!$M328 &amp; APIF_Import!$K$1,Podesavanja!$AA$3:$AD$24, 4, 0), 0))</f>
        <v/>
      </c>
      <c r="L328" s="8">
        <v>340</v>
      </c>
      <c r="M328" s="8" t="s">
        <v>1375</v>
      </c>
    </row>
    <row r="329" spans="2:13" x14ac:dyDescent="0.2">
      <c r="B329" s="8">
        <f>VLOOKUP( APIF_Import!$M329, Podesavanja!$N$3:$Q$9, 4, 0)</f>
        <v>4</v>
      </c>
      <c r="C329" s="363">
        <f>VLOOKUP( APIF_Import!$L329, Aop!$A$2:$N$415, 4, 0)</f>
        <v>620</v>
      </c>
      <c r="D329" s="364" t="str">
        <f ca="1">IF( ISNA( VLOOKUP( APIF_Import!$M329 &amp; APIF_Import!$D$1,Podesavanja!$AA$3:$AD$24, 4, 0)), "", SUBSTITUTE( VALUE( VLOOKUP( APIF_Import!$C329, INDIRECT( "Lookup_" &amp; APIF_Import!$M329), VLOOKUP( APIF_Import!$M329 &amp; APIF_Import!$D$1,Podesavanja!$AA$3:$AD$24, 4, 0), 0)), ".", ","))</f>
        <v>14040</v>
      </c>
      <c r="E329" s="364" t="str">
        <f ca="1">IF( ISNA( VLOOKUP( APIF_Import!$M329 &amp; APIF_Import!$E$1,Podesavanja!$AA$3:$AD$24, 4, 0)), "", SUBSTITUTE( VALUE( VLOOKUP( APIF_Import!$C329, INDIRECT( "Lookup_" &amp; APIF_Import!$M329), VLOOKUP( APIF_Import!$M329 &amp; APIF_Import!$E$1,Podesavanja!$AA$3:$AD$24, 4, 0), 0)), ".", ","))</f>
        <v>25219</v>
      </c>
      <c r="F329" s="364" t="str">
        <f ca="1">IF( ISNA( VLOOKUP( APIF_Import!$M329 &amp; APIF_Import!$F$1,Podesavanja!$AA$3:$AD$24, 4, 0)), "", VLOOKUP( APIF_Import!$C329, INDIRECT( "Lookup_" &amp; APIF_Import!$M329), VLOOKUP( APIF_Import!$M329 &amp; APIF_Import!$F$1,Podesavanja!$AA$3:$AD$24, 4, 0), 0))</f>
        <v/>
      </c>
      <c r="G329" s="364" t="str">
        <f ca="1">IF( ISNA( VLOOKUP( APIF_Import!$M329 &amp; APIF_Import!$G$1,Podesavanja!$AA$3:$AD$24, 4, 0)), "", VLOOKUP( APIF_Import!$C329, INDIRECT( "Lookup_" &amp; APIF_Import!$M329), VLOOKUP( APIF_Import!$M329 &amp; APIF_Import!$G$1,Podesavanja!$AA$3:$AD$24, 4, 0), 0))</f>
        <v/>
      </c>
      <c r="H329" s="364" t="str">
        <f ca="1">IF( ISNA( VLOOKUP( APIF_Import!$M329 &amp; APIF_Import!$H$1,Podesavanja!$AA$3:$AD$24, 4, 0)), "", VLOOKUP( APIF_Import!$C329, INDIRECT( "Lookup_" &amp; APIF_Import!$M329), VLOOKUP( APIF_Import!$M329 &amp; APIF_Import!$H$1,Podesavanja!$AA$3:$AD$24, 4, 0), 0))</f>
        <v/>
      </c>
      <c r="I329" s="364" t="str">
        <f ca="1">IF( ISNA( VLOOKUP( APIF_Import!$M329 &amp; APIF_Import!$I$1,Podesavanja!$AA$3:$AD$24, 4, 0)), "", VLOOKUP( APIF_Import!$C329, INDIRECT( "Lookup_" &amp; APIF_Import!$M329), VLOOKUP( APIF_Import!$M329 &amp; APIF_Import!$I$1,Podesavanja!$AA$3:$AD$24, 4, 0), 0))</f>
        <v/>
      </c>
      <c r="J329" s="364" t="str">
        <f ca="1">IF( ISNA( VLOOKUP( APIF_Import!$M329 &amp; APIF_Import!$J$1,Podesavanja!$AA$3:$AD$24, 4, 0)), "", VLOOKUP( APIF_Import!$C329, INDIRECT( "Lookup_" &amp; APIF_Import!$M329), VLOOKUP( APIF_Import!$M329 &amp; APIF_Import!$J$1,Podesavanja!$AA$3:$AD$24, 4, 0), 0))</f>
        <v/>
      </c>
      <c r="K329" s="364" t="str">
        <f ca="1">IF( ISNA( VLOOKUP( APIF_Import!$M329 &amp; APIF_Import!$K$1,Podesavanja!$AA$3:$AD$24, 4, 0)), "", VLOOKUP( APIF_Import!$C329, INDIRECT( "Lookup_" &amp; APIF_Import!$M329), VLOOKUP( APIF_Import!$M329 &amp; APIF_Import!$K$1,Podesavanja!$AA$3:$AD$24, 4, 0), 0))</f>
        <v/>
      </c>
      <c r="L329" s="8">
        <v>341</v>
      </c>
      <c r="M329" s="8" t="s">
        <v>1375</v>
      </c>
    </row>
    <row r="330" spans="2:13" x14ac:dyDescent="0.2">
      <c r="B330" s="8">
        <f>VLOOKUP( APIF_Import!$M330, Podesavanja!$N$3:$Q$9, 4, 0)</f>
        <v>4</v>
      </c>
      <c r="C330" s="363">
        <f>VLOOKUP( APIF_Import!$L330, Aop!$A$2:$N$415, 4, 0)</f>
        <v>621</v>
      </c>
      <c r="D330" s="364" t="str">
        <f ca="1">IF( ISNA( VLOOKUP( APIF_Import!$M330 &amp; APIF_Import!$D$1,Podesavanja!$AA$3:$AD$24, 4, 0)), "", SUBSTITUTE( VALUE( VLOOKUP( APIF_Import!$C330, INDIRECT( "Lookup_" &amp; APIF_Import!$M330), VLOOKUP( APIF_Import!$M330 &amp; APIF_Import!$D$1,Podesavanja!$AA$3:$AD$24, 4, 0), 0)), ".", ","))</f>
        <v>0</v>
      </c>
      <c r="E330" s="364" t="str">
        <f ca="1">IF( ISNA( VLOOKUP( APIF_Import!$M330 &amp; APIF_Import!$E$1,Podesavanja!$AA$3:$AD$24, 4, 0)), "", SUBSTITUTE( VALUE( VLOOKUP( APIF_Import!$C330, INDIRECT( "Lookup_" &amp; APIF_Import!$M330), VLOOKUP( APIF_Import!$M330 &amp; APIF_Import!$E$1,Podesavanja!$AA$3:$AD$24, 4, 0), 0)), ".", ","))</f>
        <v>0</v>
      </c>
      <c r="F330" s="364" t="str">
        <f ca="1">IF( ISNA( VLOOKUP( APIF_Import!$M330 &amp; APIF_Import!$F$1,Podesavanja!$AA$3:$AD$24, 4, 0)), "", VLOOKUP( APIF_Import!$C330, INDIRECT( "Lookup_" &amp; APIF_Import!$M330), VLOOKUP( APIF_Import!$M330 &amp; APIF_Import!$F$1,Podesavanja!$AA$3:$AD$24, 4, 0), 0))</f>
        <v/>
      </c>
      <c r="G330" s="364" t="str">
        <f ca="1">IF( ISNA( VLOOKUP( APIF_Import!$M330 &amp; APIF_Import!$G$1,Podesavanja!$AA$3:$AD$24, 4, 0)), "", VLOOKUP( APIF_Import!$C330, INDIRECT( "Lookup_" &amp; APIF_Import!$M330), VLOOKUP( APIF_Import!$M330 &amp; APIF_Import!$G$1,Podesavanja!$AA$3:$AD$24, 4, 0), 0))</f>
        <v/>
      </c>
      <c r="H330" s="364" t="str">
        <f ca="1">IF( ISNA( VLOOKUP( APIF_Import!$M330 &amp; APIF_Import!$H$1,Podesavanja!$AA$3:$AD$24, 4, 0)), "", VLOOKUP( APIF_Import!$C330, INDIRECT( "Lookup_" &amp; APIF_Import!$M330), VLOOKUP( APIF_Import!$M330 &amp; APIF_Import!$H$1,Podesavanja!$AA$3:$AD$24, 4, 0), 0))</f>
        <v/>
      </c>
      <c r="I330" s="364" t="str">
        <f ca="1">IF( ISNA( VLOOKUP( APIF_Import!$M330 &amp; APIF_Import!$I$1,Podesavanja!$AA$3:$AD$24, 4, 0)), "", VLOOKUP( APIF_Import!$C330, INDIRECT( "Lookup_" &amp; APIF_Import!$M330), VLOOKUP( APIF_Import!$M330 &amp; APIF_Import!$I$1,Podesavanja!$AA$3:$AD$24, 4, 0), 0))</f>
        <v/>
      </c>
      <c r="J330" s="364" t="str">
        <f ca="1">IF( ISNA( VLOOKUP( APIF_Import!$M330 &amp; APIF_Import!$J$1,Podesavanja!$AA$3:$AD$24, 4, 0)), "", VLOOKUP( APIF_Import!$C330, INDIRECT( "Lookup_" &amp; APIF_Import!$M330), VLOOKUP( APIF_Import!$M330 &amp; APIF_Import!$J$1,Podesavanja!$AA$3:$AD$24, 4, 0), 0))</f>
        <v/>
      </c>
      <c r="K330" s="364" t="str">
        <f ca="1">IF( ISNA( VLOOKUP( APIF_Import!$M330 &amp; APIF_Import!$K$1,Podesavanja!$AA$3:$AD$24, 4, 0)), "", VLOOKUP( APIF_Import!$C330, INDIRECT( "Lookup_" &amp; APIF_Import!$M330), VLOOKUP( APIF_Import!$M330 &amp; APIF_Import!$K$1,Podesavanja!$AA$3:$AD$24, 4, 0), 0))</f>
        <v/>
      </c>
      <c r="L330" s="8">
        <v>342</v>
      </c>
      <c r="M330" s="8" t="s">
        <v>1375</v>
      </c>
    </row>
    <row r="331" spans="2:13" x14ac:dyDescent="0.2">
      <c r="B331" s="8">
        <f>VLOOKUP( APIF_Import!$M331, Podesavanja!$N$3:$Q$9, 4, 0)</f>
        <v>4</v>
      </c>
      <c r="C331" s="363">
        <f>VLOOKUP( APIF_Import!$L331, Aop!$A$2:$N$415, 4, 0)</f>
        <v>622</v>
      </c>
      <c r="D331" s="364" t="str">
        <f ca="1">IF( ISNA( VLOOKUP( APIF_Import!$M331 &amp; APIF_Import!$D$1,Podesavanja!$AA$3:$AD$24, 4, 0)), "", SUBSTITUTE( VALUE( VLOOKUP( APIF_Import!$C331, INDIRECT( "Lookup_" &amp; APIF_Import!$M331), VLOOKUP( APIF_Import!$M331 &amp; APIF_Import!$D$1,Podesavanja!$AA$3:$AD$24, 4, 0), 0)), ".", ","))</f>
        <v>0</v>
      </c>
      <c r="E331" s="364" t="str">
        <f ca="1">IF( ISNA( VLOOKUP( APIF_Import!$M331 &amp; APIF_Import!$E$1,Podesavanja!$AA$3:$AD$24, 4, 0)), "", SUBSTITUTE( VALUE( VLOOKUP( APIF_Import!$C331, INDIRECT( "Lookup_" &amp; APIF_Import!$M331), VLOOKUP( APIF_Import!$M331 &amp; APIF_Import!$E$1,Podesavanja!$AA$3:$AD$24, 4, 0), 0)), ".", ","))</f>
        <v>0</v>
      </c>
      <c r="F331" s="364" t="str">
        <f ca="1">IF( ISNA( VLOOKUP( APIF_Import!$M331 &amp; APIF_Import!$F$1,Podesavanja!$AA$3:$AD$24, 4, 0)), "", VLOOKUP( APIF_Import!$C331, INDIRECT( "Lookup_" &amp; APIF_Import!$M331), VLOOKUP( APIF_Import!$M331 &amp; APIF_Import!$F$1,Podesavanja!$AA$3:$AD$24, 4, 0), 0))</f>
        <v/>
      </c>
      <c r="G331" s="364" t="str">
        <f ca="1">IF( ISNA( VLOOKUP( APIF_Import!$M331 &amp; APIF_Import!$G$1,Podesavanja!$AA$3:$AD$24, 4, 0)), "", VLOOKUP( APIF_Import!$C331, INDIRECT( "Lookup_" &amp; APIF_Import!$M331), VLOOKUP( APIF_Import!$M331 &amp; APIF_Import!$G$1,Podesavanja!$AA$3:$AD$24, 4, 0), 0))</f>
        <v/>
      </c>
      <c r="H331" s="364" t="str">
        <f ca="1">IF( ISNA( VLOOKUP( APIF_Import!$M331 &amp; APIF_Import!$H$1,Podesavanja!$AA$3:$AD$24, 4, 0)), "", VLOOKUP( APIF_Import!$C331, INDIRECT( "Lookup_" &amp; APIF_Import!$M331), VLOOKUP( APIF_Import!$M331 &amp; APIF_Import!$H$1,Podesavanja!$AA$3:$AD$24, 4, 0), 0))</f>
        <v/>
      </c>
      <c r="I331" s="364" t="str">
        <f ca="1">IF( ISNA( VLOOKUP( APIF_Import!$M331 &amp; APIF_Import!$I$1,Podesavanja!$AA$3:$AD$24, 4, 0)), "", VLOOKUP( APIF_Import!$C331, INDIRECT( "Lookup_" &amp; APIF_Import!$M331), VLOOKUP( APIF_Import!$M331 &amp; APIF_Import!$I$1,Podesavanja!$AA$3:$AD$24, 4, 0), 0))</f>
        <v/>
      </c>
      <c r="J331" s="364" t="str">
        <f ca="1">IF( ISNA( VLOOKUP( APIF_Import!$M331 &amp; APIF_Import!$J$1,Podesavanja!$AA$3:$AD$24, 4, 0)), "", VLOOKUP( APIF_Import!$C331, INDIRECT( "Lookup_" &amp; APIF_Import!$M331), VLOOKUP( APIF_Import!$M331 &amp; APIF_Import!$J$1,Podesavanja!$AA$3:$AD$24, 4, 0), 0))</f>
        <v/>
      </c>
      <c r="K331" s="364" t="str">
        <f ca="1">IF( ISNA( VLOOKUP( APIF_Import!$M331 &amp; APIF_Import!$K$1,Podesavanja!$AA$3:$AD$24, 4, 0)), "", VLOOKUP( APIF_Import!$C331, INDIRECT( "Lookup_" &amp; APIF_Import!$M331), VLOOKUP( APIF_Import!$M331 &amp; APIF_Import!$K$1,Podesavanja!$AA$3:$AD$24, 4, 0), 0))</f>
        <v/>
      </c>
      <c r="L331" s="8">
        <v>343</v>
      </c>
      <c r="M331" s="8" t="s">
        <v>1375</v>
      </c>
    </row>
    <row r="332" spans="2:13" x14ac:dyDescent="0.2">
      <c r="B332" s="8">
        <f>VLOOKUP( APIF_Import!$M332, Podesavanja!$N$3:$Q$9, 4, 0)</f>
        <v>4</v>
      </c>
      <c r="C332" s="363">
        <f>VLOOKUP( APIF_Import!$L332, Aop!$A$2:$N$415, 4, 0)</f>
        <v>623</v>
      </c>
      <c r="D332" s="364" t="str">
        <f ca="1">IF( ISNA( VLOOKUP( APIF_Import!$M332 &amp; APIF_Import!$D$1,Podesavanja!$AA$3:$AD$24, 4, 0)), "", SUBSTITUTE( VALUE( VLOOKUP( APIF_Import!$C332, INDIRECT( "Lookup_" &amp; APIF_Import!$M332), VLOOKUP( APIF_Import!$M332 &amp; APIF_Import!$D$1,Podesavanja!$AA$3:$AD$24, 4, 0), 0)), ".", ","))</f>
        <v>0</v>
      </c>
      <c r="E332" s="364" t="str">
        <f ca="1">IF( ISNA( VLOOKUP( APIF_Import!$M332 &amp; APIF_Import!$E$1,Podesavanja!$AA$3:$AD$24, 4, 0)), "", SUBSTITUTE( VALUE( VLOOKUP( APIF_Import!$C332, INDIRECT( "Lookup_" &amp; APIF_Import!$M332), VLOOKUP( APIF_Import!$M332 &amp; APIF_Import!$E$1,Podesavanja!$AA$3:$AD$24, 4, 0), 0)), ".", ","))</f>
        <v>0</v>
      </c>
      <c r="F332" s="364" t="str">
        <f ca="1">IF( ISNA( VLOOKUP( APIF_Import!$M332 &amp; APIF_Import!$F$1,Podesavanja!$AA$3:$AD$24, 4, 0)), "", VLOOKUP( APIF_Import!$C332, INDIRECT( "Lookup_" &amp; APIF_Import!$M332), VLOOKUP( APIF_Import!$M332 &amp; APIF_Import!$F$1,Podesavanja!$AA$3:$AD$24, 4, 0), 0))</f>
        <v/>
      </c>
      <c r="G332" s="364" t="str">
        <f ca="1">IF( ISNA( VLOOKUP( APIF_Import!$M332 &amp; APIF_Import!$G$1,Podesavanja!$AA$3:$AD$24, 4, 0)), "", VLOOKUP( APIF_Import!$C332, INDIRECT( "Lookup_" &amp; APIF_Import!$M332), VLOOKUP( APIF_Import!$M332 &amp; APIF_Import!$G$1,Podesavanja!$AA$3:$AD$24, 4, 0), 0))</f>
        <v/>
      </c>
      <c r="H332" s="364" t="str">
        <f ca="1">IF( ISNA( VLOOKUP( APIF_Import!$M332 &amp; APIF_Import!$H$1,Podesavanja!$AA$3:$AD$24, 4, 0)), "", VLOOKUP( APIF_Import!$C332, INDIRECT( "Lookup_" &amp; APIF_Import!$M332), VLOOKUP( APIF_Import!$M332 &amp; APIF_Import!$H$1,Podesavanja!$AA$3:$AD$24, 4, 0), 0))</f>
        <v/>
      </c>
      <c r="I332" s="364" t="str">
        <f ca="1">IF( ISNA( VLOOKUP( APIF_Import!$M332 &amp; APIF_Import!$I$1,Podesavanja!$AA$3:$AD$24, 4, 0)), "", VLOOKUP( APIF_Import!$C332, INDIRECT( "Lookup_" &amp; APIF_Import!$M332), VLOOKUP( APIF_Import!$M332 &amp; APIF_Import!$I$1,Podesavanja!$AA$3:$AD$24, 4, 0), 0))</f>
        <v/>
      </c>
      <c r="J332" s="364" t="str">
        <f ca="1">IF( ISNA( VLOOKUP( APIF_Import!$M332 &amp; APIF_Import!$J$1,Podesavanja!$AA$3:$AD$24, 4, 0)), "", VLOOKUP( APIF_Import!$C332, INDIRECT( "Lookup_" &amp; APIF_Import!$M332), VLOOKUP( APIF_Import!$M332 &amp; APIF_Import!$J$1,Podesavanja!$AA$3:$AD$24, 4, 0), 0))</f>
        <v/>
      </c>
      <c r="K332" s="364" t="str">
        <f ca="1">IF( ISNA( VLOOKUP( APIF_Import!$M332 &amp; APIF_Import!$K$1,Podesavanja!$AA$3:$AD$24, 4, 0)), "", VLOOKUP( APIF_Import!$C332, INDIRECT( "Lookup_" &amp; APIF_Import!$M332), VLOOKUP( APIF_Import!$M332 &amp; APIF_Import!$K$1,Podesavanja!$AA$3:$AD$24, 4, 0), 0))</f>
        <v/>
      </c>
      <c r="L332" s="8">
        <v>344</v>
      </c>
      <c r="M332" s="8" t="s">
        <v>1375</v>
      </c>
    </row>
    <row r="333" spans="2:13" x14ac:dyDescent="0.2">
      <c r="B333" s="8">
        <f>VLOOKUP( APIF_Import!$M333, Podesavanja!$N$3:$Q$9, 4, 0)</f>
        <v>4</v>
      </c>
      <c r="C333" s="363">
        <f>VLOOKUP( APIF_Import!$L333, Aop!$A$2:$N$415, 4, 0)</f>
        <v>624</v>
      </c>
      <c r="D333" s="364" t="str">
        <f ca="1">IF( ISNA( VLOOKUP( APIF_Import!$M333 &amp; APIF_Import!$D$1,Podesavanja!$AA$3:$AD$24, 4, 0)), "", SUBSTITUTE( VALUE( VLOOKUP( APIF_Import!$C333, INDIRECT( "Lookup_" &amp; APIF_Import!$M333), VLOOKUP( APIF_Import!$M333 &amp; APIF_Import!$D$1,Podesavanja!$AA$3:$AD$24, 4, 0), 0)), ".", ","))</f>
        <v>10228</v>
      </c>
      <c r="E333" s="364" t="str">
        <f ca="1">IF( ISNA( VLOOKUP( APIF_Import!$M333 &amp; APIF_Import!$E$1,Podesavanja!$AA$3:$AD$24, 4, 0)), "", SUBSTITUTE( VALUE( VLOOKUP( APIF_Import!$C333, INDIRECT( "Lookup_" &amp; APIF_Import!$M333), VLOOKUP( APIF_Import!$M333 &amp; APIF_Import!$E$1,Podesavanja!$AA$3:$AD$24, 4, 0), 0)), ".", ","))</f>
        <v>42559</v>
      </c>
      <c r="F333" s="364" t="str">
        <f ca="1">IF( ISNA( VLOOKUP( APIF_Import!$M333 &amp; APIF_Import!$F$1,Podesavanja!$AA$3:$AD$24, 4, 0)), "", VLOOKUP( APIF_Import!$C333, INDIRECT( "Lookup_" &amp; APIF_Import!$M333), VLOOKUP( APIF_Import!$M333 &amp; APIF_Import!$F$1,Podesavanja!$AA$3:$AD$24, 4, 0), 0))</f>
        <v/>
      </c>
      <c r="G333" s="364" t="str">
        <f ca="1">IF( ISNA( VLOOKUP( APIF_Import!$M333 &amp; APIF_Import!$G$1,Podesavanja!$AA$3:$AD$24, 4, 0)), "", VLOOKUP( APIF_Import!$C333, INDIRECT( "Lookup_" &amp; APIF_Import!$M333), VLOOKUP( APIF_Import!$M333 &amp; APIF_Import!$G$1,Podesavanja!$AA$3:$AD$24, 4, 0), 0))</f>
        <v/>
      </c>
      <c r="H333" s="364" t="str">
        <f ca="1">IF( ISNA( VLOOKUP( APIF_Import!$M333 &amp; APIF_Import!$H$1,Podesavanja!$AA$3:$AD$24, 4, 0)), "", VLOOKUP( APIF_Import!$C333, INDIRECT( "Lookup_" &amp; APIF_Import!$M333), VLOOKUP( APIF_Import!$M333 &amp; APIF_Import!$H$1,Podesavanja!$AA$3:$AD$24, 4, 0), 0))</f>
        <v/>
      </c>
      <c r="I333" s="364" t="str">
        <f ca="1">IF( ISNA( VLOOKUP( APIF_Import!$M333 &amp; APIF_Import!$I$1,Podesavanja!$AA$3:$AD$24, 4, 0)), "", VLOOKUP( APIF_Import!$C333, INDIRECT( "Lookup_" &amp; APIF_Import!$M333), VLOOKUP( APIF_Import!$M333 &amp; APIF_Import!$I$1,Podesavanja!$AA$3:$AD$24, 4, 0), 0))</f>
        <v/>
      </c>
      <c r="J333" s="364" t="str">
        <f ca="1">IF( ISNA( VLOOKUP( APIF_Import!$M333 &amp; APIF_Import!$J$1,Podesavanja!$AA$3:$AD$24, 4, 0)), "", VLOOKUP( APIF_Import!$C333, INDIRECT( "Lookup_" &amp; APIF_Import!$M333), VLOOKUP( APIF_Import!$M333 &amp; APIF_Import!$J$1,Podesavanja!$AA$3:$AD$24, 4, 0), 0))</f>
        <v/>
      </c>
      <c r="K333" s="364" t="str">
        <f ca="1">IF( ISNA( VLOOKUP( APIF_Import!$M333 &amp; APIF_Import!$K$1,Podesavanja!$AA$3:$AD$24, 4, 0)), "", VLOOKUP( APIF_Import!$C333, INDIRECT( "Lookup_" &amp; APIF_Import!$M333), VLOOKUP( APIF_Import!$M333 &amp; APIF_Import!$K$1,Podesavanja!$AA$3:$AD$24, 4, 0), 0))</f>
        <v/>
      </c>
      <c r="L333" s="8">
        <v>345</v>
      </c>
      <c r="M333" s="8" t="s">
        <v>1375</v>
      </c>
    </row>
    <row r="334" spans="2:13" x14ac:dyDescent="0.2">
      <c r="B334" s="8">
        <f>VLOOKUP( APIF_Import!$M334, Podesavanja!$N$3:$Q$9, 4, 0)</f>
        <v>4</v>
      </c>
      <c r="C334" s="363">
        <f>VLOOKUP( APIF_Import!$L334, Aop!$A$2:$N$415, 4, 0)</f>
        <v>625</v>
      </c>
      <c r="D334" s="364" t="str">
        <f ca="1">IF( ISNA( VLOOKUP( APIF_Import!$M334 &amp; APIF_Import!$D$1,Podesavanja!$AA$3:$AD$24, 4, 0)), "", SUBSTITUTE( VALUE( VLOOKUP( APIF_Import!$C334, INDIRECT( "Lookup_" &amp; APIF_Import!$M334), VLOOKUP( APIF_Import!$M334 &amp; APIF_Import!$D$1,Podesavanja!$AA$3:$AD$24, 4, 0), 0)), ".", ","))</f>
        <v>0</v>
      </c>
      <c r="E334" s="364" t="str">
        <f ca="1">IF( ISNA( VLOOKUP( APIF_Import!$M334 &amp; APIF_Import!$E$1,Podesavanja!$AA$3:$AD$24, 4, 0)), "", SUBSTITUTE( VALUE( VLOOKUP( APIF_Import!$C334, INDIRECT( "Lookup_" &amp; APIF_Import!$M334), VLOOKUP( APIF_Import!$M334 &amp; APIF_Import!$E$1,Podesavanja!$AA$3:$AD$24, 4, 0), 0)), ".", ","))</f>
        <v>0</v>
      </c>
      <c r="F334" s="364" t="str">
        <f ca="1">IF( ISNA( VLOOKUP( APIF_Import!$M334 &amp; APIF_Import!$F$1,Podesavanja!$AA$3:$AD$24, 4, 0)), "", VLOOKUP( APIF_Import!$C334, INDIRECT( "Lookup_" &amp; APIF_Import!$M334), VLOOKUP( APIF_Import!$M334 &amp; APIF_Import!$F$1,Podesavanja!$AA$3:$AD$24, 4, 0), 0))</f>
        <v/>
      </c>
      <c r="G334" s="364" t="str">
        <f ca="1">IF( ISNA( VLOOKUP( APIF_Import!$M334 &amp; APIF_Import!$G$1,Podesavanja!$AA$3:$AD$24, 4, 0)), "", VLOOKUP( APIF_Import!$C334, INDIRECT( "Lookup_" &amp; APIF_Import!$M334), VLOOKUP( APIF_Import!$M334 &amp; APIF_Import!$G$1,Podesavanja!$AA$3:$AD$24, 4, 0), 0))</f>
        <v/>
      </c>
      <c r="H334" s="364" t="str">
        <f ca="1">IF( ISNA( VLOOKUP( APIF_Import!$M334 &amp; APIF_Import!$H$1,Podesavanja!$AA$3:$AD$24, 4, 0)), "", VLOOKUP( APIF_Import!$C334, INDIRECT( "Lookup_" &amp; APIF_Import!$M334), VLOOKUP( APIF_Import!$M334 &amp; APIF_Import!$H$1,Podesavanja!$AA$3:$AD$24, 4, 0), 0))</f>
        <v/>
      </c>
      <c r="I334" s="364" t="str">
        <f ca="1">IF( ISNA( VLOOKUP( APIF_Import!$M334 &amp; APIF_Import!$I$1,Podesavanja!$AA$3:$AD$24, 4, 0)), "", VLOOKUP( APIF_Import!$C334, INDIRECT( "Lookup_" &amp; APIF_Import!$M334), VLOOKUP( APIF_Import!$M334 &amp; APIF_Import!$I$1,Podesavanja!$AA$3:$AD$24, 4, 0), 0))</f>
        <v/>
      </c>
      <c r="J334" s="364" t="str">
        <f ca="1">IF( ISNA( VLOOKUP( APIF_Import!$M334 &amp; APIF_Import!$J$1,Podesavanja!$AA$3:$AD$24, 4, 0)), "", VLOOKUP( APIF_Import!$C334, INDIRECT( "Lookup_" &amp; APIF_Import!$M334), VLOOKUP( APIF_Import!$M334 &amp; APIF_Import!$J$1,Podesavanja!$AA$3:$AD$24, 4, 0), 0))</f>
        <v/>
      </c>
      <c r="K334" s="364" t="str">
        <f ca="1">IF( ISNA( VLOOKUP( APIF_Import!$M334 &amp; APIF_Import!$K$1,Podesavanja!$AA$3:$AD$24, 4, 0)), "", VLOOKUP( APIF_Import!$C334, INDIRECT( "Lookup_" &amp; APIF_Import!$M334), VLOOKUP( APIF_Import!$M334 &amp; APIF_Import!$K$1,Podesavanja!$AA$3:$AD$24, 4, 0), 0))</f>
        <v/>
      </c>
      <c r="L334" s="8">
        <v>346</v>
      </c>
      <c r="M334" s="8" t="s">
        <v>1375</v>
      </c>
    </row>
    <row r="335" spans="2:13" x14ac:dyDescent="0.2">
      <c r="B335" s="8">
        <f>VLOOKUP( APIF_Import!$M335, Podesavanja!$N$3:$Q$9, 4, 0)</f>
        <v>4</v>
      </c>
      <c r="C335" s="363">
        <f>VLOOKUP( APIF_Import!$L335, Aop!$A$2:$N$415, 4, 0)</f>
        <v>626</v>
      </c>
      <c r="D335" s="364" t="str">
        <f ca="1">IF( ISNA( VLOOKUP( APIF_Import!$M335 &amp; APIF_Import!$D$1,Podesavanja!$AA$3:$AD$24, 4, 0)), "", SUBSTITUTE( VALUE( VLOOKUP( APIF_Import!$C335, INDIRECT( "Lookup_" &amp; APIF_Import!$M335), VLOOKUP( APIF_Import!$M335 &amp; APIF_Import!$D$1,Podesavanja!$AA$3:$AD$24, 4, 0), 0)), ".", ","))</f>
        <v>0</v>
      </c>
      <c r="E335" s="364" t="str">
        <f ca="1">IF( ISNA( VLOOKUP( APIF_Import!$M335 &amp; APIF_Import!$E$1,Podesavanja!$AA$3:$AD$24, 4, 0)), "", SUBSTITUTE( VALUE( VLOOKUP( APIF_Import!$C335, INDIRECT( "Lookup_" &amp; APIF_Import!$M335), VLOOKUP( APIF_Import!$M335 &amp; APIF_Import!$E$1,Podesavanja!$AA$3:$AD$24, 4, 0), 0)), ".", ","))</f>
        <v>0</v>
      </c>
      <c r="F335" s="364" t="str">
        <f ca="1">IF( ISNA( VLOOKUP( APIF_Import!$M335 &amp; APIF_Import!$F$1,Podesavanja!$AA$3:$AD$24, 4, 0)), "", VLOOKUP( APIF_Import!$C335, INDIRECT( "Lookup_" &amp; APIF_Import!$M335), VLOOKUP( APIF_Import!$M335 &amp; APIF_Import!$F$1,Podesavanja!$AA$3:$AD$24, 4, 0), 0))</f>
        <v/>
      </c>
      <c r="G335" s="364" t="str">
        <f ca="1">IF( ISNA( VLOOKUP( APIF_Import!$M335 &amp; APIF_Import!$G$1,Podesavanja!$AA$3:$AD$24, 4, 0)), "", VLOOKUP( APIF_Import!$C335, INDIRECT( "Lookup_" &amp; APIF_Import!$M335), VLOOKUP( APIF_Import!$M335 &amp; APIF_Import!$G$1,Podesavanja!$AA$3:$AD$24, 4, 0), 0))</f>
        <v/>
      </c>
      <c r="H335" s="364" t="str">
        <f ca="1">IF( ISNA( VLOOKUP( APIF_Import!$M335 &amp; APIF_Import!$H$1,Podesavanja!$AA$3:$AD$24, 4, 0)), "", VLOOKUP( APIF_Import!$C335, INDIRECT( "Lookup_" &amp; APIF_Import!$M335), VLOOKUP( APIF_Import!$M335 &amp; APIF_Import!$H$1,Podesavanja!$AA$3:$AD$24, 4, 0), 0))</f>
        <v/>
      </c>
      <c r="I335" s="364" t="str">
        <f ca="1">IF( ISNA( VLOOKUP( APIF_Import!$M335 &amp; APIF_Import!$I$1,Podesavanja!$AA$3:$AD$24, 4, 0)), "", VLOOKUP( APIF_Import!$C335, INDIRECT( "Lookup_" &amp; APIF_Import!$M335), VLOOKUP( APIF_Import!$M335 &amp; APIF_Import!$I$1,Podesavanja!$AA$3:$AD$24, 4, 0), 0))</f>
        <v/>
      </c>
      <c r="J335" s="364" t="str">
        <f ca="1">IF( ISNA( VLOOKUP( APIF_Import!$M335 &amp; APIF_Import!$J$1,Podesavanja!$AA$3:$AD$24, 4, 0)), "", VLOOKUP( APIF_Import!$C335, INDIRECT( "Lookup_" &amp; APIF_Import!$M335), VLOOKUP( APIF_Import!$M335 &amp; APIF_Import!$J$1,Podesavanja!$AA$3:$AD$24, 4, 0), 0))</f>
        <v/>
      </c>
      <c r="K335" s="364" t="str">
        <f ca="1">IF( ISNA( VLOOKUP( APIF_Import!$M335 &amp; APIF_Import!$K$1,Podesavanja!$AA$3:$AD$24, 4, 0)), "", VLOOKUP( APIF_Import!$C335, INDIRECT( "Lookup_" &amp; APIF_Import!$M335), VLOOKUP( APIF_Import!$M335 &amp; APIF_Import!$K$1,Podesavanja!$AA$3:$AD$24, 4, 0), 0))</f>
        <v/>
      </c>
      <c r="L335" s="8">
        <v>347</v>
      </c>
      <c r="M335" s="8" t="s">
        <v>1375</v>
      </c>
    </row>
    <row r="336" spans="2:13" x14ac:dyDescent="0.2">
      <c r="B336" s="8">
        <f>VLOOKUP( APIF_Import!$M336, Podesavanja!$N$3:$Q$9, 4, 0)</f>
        <v>4</v>
      </c>
      <c r="C336" s="363">
        <f>VLOOKUP( APIF_Import!$L336, Aop!$A$2:$N$415, 4, 0)</f>
        <v>627</v>
      </c>
      <c r="D336" s="364" t="str">
        <f ca="1">IF( ISNA( VLOOKUP( APIF_Import!$M336 &amp; APIF_Import!$D$1,Podesavanja!$AA$3:$AD$24, 4, 0)), "", SUBSTITUTE( VALUE( VLOOKUP( APIF_Import!$C336, INDIRECT( "Lookup_" &amp; APIF_Import!$M336), VLOOKUP( APIF_Import!$M336 &amp; APIF_Import!$D$1,Podesavanja!$AA$3:$AD$24, 4, 0), 0)), ".", ","))</f>
        <v>0</v>
      </c>
      <c r="E336" s="364" t="str">
        <f ca="1">IF( ISNA( VLOOKUP( APIF_Import!$M336 &amp; APIF_Import!$E$1,Podesavanja!$AA$3:$AD$24, 4, 0)), "", SUBSTITUTE( VALUE( VLOOKUP( APIF_Import!$C336, INDIRECT( "Lookup_" &amp; APIF_Import!$M336), VLOOKUP( APIF_Import!$M336 &amp; APIF_Import!$E$1,Podesavanja!$AA$3:$AD$24, 4, 0), 0)), ".", ","))</f>
        <v>0</v>
      </c>
      <c r="F336" s="364" t="str">
        <f ca="1">IF( ISNA( VLOOKUP( APIF_Import!$M336 &amp; APIF_Import!$F$1,Podesavanja!$AA$3:$AD$24, 4, 0)), "", VLOOKUP( APIF_Import!$C336, INDIRECT( "Lookup_" &amp; APIF_Import!$M336), VLOOKUP( APIF_Import!$M336 &amp; APIF_Import!$F$1,Podesavanja!$AA$3:$AD$24, 4, 0), 0))</f>
        <v/>
      </c>
      <c r="G336" s="364" t="str">
        <f ca="1">IF( ISNA( VLOOKUP( APIF_Import!$M336 &amp; APIF_Import!$G$1,Podesavanja!$AA$3:$AD$24, 4, 0)), "", VLOOKUP( APIF_Import!$C336, INDIRECT( "Lookup_" &amp; APIF_Import!$M336), VLOOKUP( APIF_Import!$M336 &amp; APIF_Import!$G$1,Podesavanja!$AA$3:$AD$24, 4, 0), 0))</f>
        <v/>
      </c>
      <c r="H336" s="364" t="str">
        <f ca="1">IF( ISNA( VLOOKUP( APIF_Import!$M336 &amp; APIF_Import!$H$1,Podesavanja!$AA$3:$AD$24, 4, 0)), "", VLOOKUP( APIF_Import!$C336, INDIRECT( "Lookup_" &amp; APIF_Import!$M336), VLOOKUP( APIF_Import!$M336 &amp; APIF_Import!$H$1,Podesavanja!$AA$3:$AD$24, 4, 0), 0))</f>
        <v/>
      </c>
      <c r="I336" s="364" t="str">
        <f ca="1">IF( ISNA( VLOOKUP( APIF_Import!$M336 &amp; APIF_Import!$I$1,Podesavanja!$AA$3:$AD$24, 4, 0)), "", VLOOKUP( APIF_Import!$C336, INDIRECT( "Lookup_" &amp; APIF_Import!$M336), VLOOKUP( APIF_Import!$M336 &amp; APIF_Import!$I$1,Podesavanja!$AA$3:$AD$24, 4, 0), 0))</f>
        <v/>
      </c>
      <c r="J336" s="364" t="str">
        <f ca="1">IF( ISNA( VLOOKUP( APIF_Import!$M336 &amp; APIF_Import!$J$1,Podesavanja!$AA$3:$AD$24, 4, 0)), "", VLOOKUP( APIF_Import!$C336, INDIRECT( "Lookup_" &amp; APIF_Import!$M336), VLOOKUP( APIF_Import!$M336 &amp; APIF_Import!$J$1,Podesavanja!$AA$3:$AD$24, 4, 0), 0))</f>
        <v/>
      </c>
      <c r="K336" s="364" t="str">
        <f ca="1">IF( ISNA( VLOOKUP( APIF_Import!$M336 &amp; APIF_Import!$K$1,Podesavanja!$AA$3:$AD$24, 4, 0)), "", VLOOKUP( APIF_Import!$C336, INDIRECT( "Lookup_" &amp; APIF_Import!$M336), VLOOKUP( APIF_Import!$M336 &amp; APIF_Import!$K$1,Podesavanja!$AA$3:$AD$24, 4, 0), 0))</f>
        <v/>
      </c>
      <c r="L336" s="8">
        <v>348</v>
      </c>
      <c r="M336" s="8" t="s">
        <v>1375</v>
      </c>
    </row>
    <row r="337" spans="2:13" x14ac:dyDescent="0.2">
      <c r="B337" s="8">
        <f>VLOOKUP( APIF_Import!$M337, Podesavanja!$N$3:$Q$9, 4, 0)</f>
        <v>4</v>
      </c>
      <c r="C337" s="363">
        <f>VLOOKUP( APIF_Import!$L337, Aop!$A$2:$N$415, 4, 0)</f>
        <v>628</v>
      </c>
      <c r="D337" s="364" t="str">
        <f ca="1">IF( ISNA( VLOOKUP( APIF_Import!$M337 &amp; APIF_Import!$D$1,Podesavanja!$AA$3:$AD$24, 4, 0)), "", SUBSTITUTE( VALUE( VLOOKUP( APIF_Import!$C337, INDIRECT( "Lookup_" &amp; APIF_Import!$M337), VLOOKUP( APIF_Import!$M337 &amp; APIF_Import!$D$1,Podesavanja!$AA$3:$AD$24, 4, 0), 0)), ".", ","))</f>
        <v>97648</v>
      </c>
      <c r="E337" s="364" t="str">
        <f ca="1">IF( ISNA( VLOOKUP( APIF_Import!$M337 &amp; APIF_Import!$E$1,Podesavanja!$AA$3:$AD$24, 4, 0)), "", SUBSTITUTE( VALUE( VLOOKUP( APIF_Import!$C337, INDIRECT( "Lookup_" &amp; APIF_Import!$M337), VLOOKUP( APIF_Import!$M337 &amp; APIF_Import!$E$1,Podesavanja!$AA$3:$AD$24, 4, 0), 0)), ".", ","))</f>
        <v>98260</v>
      </c>
      <c r="F337" s="364" t="str">
        <f ca="1">IF( ISNA( VLOOKUP( APIF_Import!$M337 &amp; APIF_Import!$F$1,Podesavanja!$AA$3:$AD$24, 4, 0)), "", VLOOKUP( APIF_Import!$C337, INDIRECT( "Lookup_" &amp; APIF_Import!$M337), VLOOKUP( APIF_Import!$M337 &amp; APIF_Import!$F$1,Podesavanja!$AA$3:$AD$24, 4, 0), 0))</f>
        <v/>
      </c>
      <c r="G337" s="364" t="str">
        <f ca="1">IF( ISNA( VLOOKUP( APIF_Import!$M337 &amp; APIF_Import!$G$1,Podesavanja!$AA$3:$AD$24, 4, 0)), "", VLOOKUP( APIF_Import!$C337, INDIRECT( "Lookup_" &amp; APIF_Import!$M337), VLOOKUP( APIF_Import!$M337 &amp; APIF_Import!$G$1,Podesavanja!$AA$3:$AD$24, 4, 0), 0))</f>
        <v/>
      </c>
      <c r="H337" s="364" t="str">
        <f ca="1">IF( ISNA( VLOOKUP( APIF_Import!$M337 &amp; APIF_Import!$H$1,Podesavanja!$AA$3:$AD$24, 4, 0)), "", VLOOKUP( APIF_Import!$C337, INDIRECT( "Lookup_" &amp; APIF_Import!$M337), VLOOKUP( APIF_Import!$M337 &amp; APIF_Import!$H$1,Podesavanja!$AA$3:$AD$24, 4, 0), 0))</f>
        <v/>
      </c>
      <c r="I337" s="364" t="str">
        <f ca="1">IF( ISNA( VLOOKUP( APIF_Import!$M337 &amp; APIF_Import!$I$1,Podesavanja!$AA$3:$AD$24, 4, 0)), "", VLOOKUP( APIF_Import!$C337, INDIRECT( "Lookup_" &amp; APIF_Import!$M337), VLOOKUP( APIF_Import!$M337 &amp; APIF_Import!$I$1,Podesavanja!$AA$3:$AD$24, 4, 0), 0))</f>
        <v/>
      </c>
      <c r="J337" s="364" t="str">
        <f ca="1">IF( ISNA( VLOOKUP( APIF_Import!$M337 &amp; APIF_Import!$J$1,Podesavanja!$AA$3:$AD$24, 4, 0)), "", VLOOKUP( APIF_Import!$C337, INDIRECT( "Lookup_" &amp; APIF_Import!$M337), VLOOKUP( APIF_Import!$M337 &amp; APIF_Import!$J$1,Podesavanja!$AA$3:$AD$24, 4, 0), 0))</f>
        <v/>
      </c>
      <c r="K337" s="364" t="str">
        <f ca="1">IF( ISNA( VLOOKUP( APIF_Import!$M337 &amp; APIF_Import!$K$1,Podesavanja!$AA$3:$AD$24, 4, 0)), "", VLOOKUP( APIF_Import!$C337, INDIRECT( "Lookup_" &amp; APIF_Import!$M337), VLOOKUP( APIF_Import!$M337 &amp; APIF_Import!$K$1,Podesavanja!$AA$3:$AD$24, 4, 0), 0))</f>
        <v/>
      </c>
      <c r="L337" s="8">
        <v>349</v>
      </c>
      <c r="M337" s="8" t="s">
        <v>1375</v>
      </c>
    </row>
    <row r="338" spans="2:13" x14ac:dyDescent="0.2">
      <c r="B338" s="8">
        <f>VLOOKUP( APIF_Import!$M338, Podesavanja!$N$3:$Q$9, 4, 0)</f>
        <v>4</v>
      </c>
      <c r="C338" s="363">
        <f>VLOOKUP( APIF_Import!$L338, Aop!$A$2:$N$415, 4, 0)</f>
        <v>629</v>
      </c>
      <c r="D338" s="364" t="str">
        <f ca="1">IF( ISNA( VLOOKUP( APIF_Import!$M338 &amp; APIF_Import!$D$1,Podesavanja!$AA$3:$AD$24, 4, 0)), "", SUBSTITUTE( VALUE( VLOOKUP( APIF_Import!$C338, INDIRECT( "Lookup_" &amp; APIF_Import!$M338), VLOOKUP( APIF_Import!$M338 &amp; APIF_Import!$D$1,Podesavanja!$AA$3:$AD$24, 4, 0), 0)), ".", ","))</f>
        <v>59779</v>
      </c>
      <c r="E338" s="364" t="str">
        <f ca="1">IF( ISNA( VLOOKUP( APIF_Import!$M338 &amp; APIF_Import!$E$1,Podesavanja!$AA$3:$AD$24, 4, 0)), "", SUBSTITUTE( VALUE( VLOOKUP( APIF_Import!$C338, INDIRECT( "Lookup_" &amp; APIF_Import!$M338), VLOOKUP( APIF_Import!$M338 &amp; APIF_Import!$E$1,Podesavanja!$AA$3:$AD$24, 4, 0), 0)), ".", ","))</f>
        <v>4076</v>
      </c>
      <c r="F338" s="364" t="str">
        <f ca="1">IF( ISNA( VLOOKUP( APIF_Import!$M338 &amp; APIF_Import!$F$1,Podesavanja!$AA$3:$AD$24, 4, 0)), "", VLOOKUP( APIF_Import!$C338, INDIRECT( "Lookup_" &amp; APIF_Import!$M338), VLOOKUP( APIF_Import!$M338 &amp; APIF_Import!$F$1,Podesavanja!$AA$3:$AD$24, 4, 0), 0))</f>
        <v/>
      </c>
      <c r="G338" s="364" t="str">
        <f ca="1">IF( ISNA( VLOOKUP( APIF_Import!$M338 &amp; APIF_Import!$G$1,Podesavanja!$AA$3:$AD$24, 4, 0)), "", VLOOKUP( APIF_Import!$C338, INDIRECT( "Lookup_" &amp; APIF_Import!$M338), VLOOKUP( APIF_Import!$M338 &amp; APIF_Import!$G$1,Podesavanja!$AA$3:$AD$24, 4, 0), 0))</f>
        <v/>
      </c>
      <c r="H338" s="364" t="str">
        <f ca="1">IF( ISNA( VLOOKUP( APIF_Import!$M338 &amp; APIF_Import!$H$1,Podesavanja!$AA$3:$AD$24, 4, 0)), "", VLOOKUP( APIF_Import!$C338, INDIRECT( "Lookup_" &amp; APIF_Import!$M338), VLOOKUP( APIF_Import!$M338 &amp; APIF_Import!$H$1,Podesavanja!$AA$3:$AD$24, 4, 0), 0))</f>
        <v/>
      </c>
      <c r="I338" s="364" t="str">
        <f ca="1">IF( ISNA( VLOOKUP( APIF_Import!$M338 &amp; APIF_Import!$I$1,Podesavanja!$AA$3:$AD$24, 4, 0)), "", VLOOKUP( APIF_Import!$C338, INDIRECT( "Lookup_" &amp; APIF_Import!$M338), VLOOKUP( APIF_Import!$M338 &amp; APIF_Import!$I$1,Podesavanja!$AA$3:$AD$24, 4, 0), 0))</f>
        <v/>
      </c>
      <c r="J338" s="364" t="str">
        <f ca="1">IF( ISNA( VLOOKUP( APIF_Import!$M338 &amp; APIF_Import!$J$1,Podesavanja!$AA$3:$AD$24, 4, 0)), "", VLOOKUP( APIF_Import!$C338, INDIRECT( "Lookup_" &amp; APIF_Import!$M338), VLOOKUP( APIF_Import!$M338 &amp; APIF_Import!$J$1,Podesavanja!$AA$3:$AD$24, 4, 0), 0))</f>
        <v/>
      </c>
      <c r="K338" s="364" t="str">
        <f ca="1">IF( ISNA( VLOOKUP( APIF_Import!$M338 &amp; APIF_Import!$K$1,Podesavanja!$AA$3:$AD$24, 4, 0)), "", VLOOKUP( APIF_Import!$C338, INDIRECT( "Lookup_" &amp; APIF_Import!$M338), VLOOKUP( APIF_Import!$M338 &amp; APIF_Import!$K$1,Podesavanja!$AA$3:$AD$24, 4, 0), 0))</f>
        <v/>
      </c>
      <c r="L338" s="8">
        <v>350</v>
      </c>
      <c r="M338" s="8" t="s">
        <v>1375</v>
      </c>
    </row>
    <row r="339" spans="2:13" x14ac:dyDescent="0.2">
      <c r="B339" s="8">
        <f>VLOOKUP( APIF_Import!$M339, Podesavanja!$N$3:$Q$9, 4, 0)</f>
        <v>4</v>
      </c>
      <c r="C339" s="363">
        <f>VLOOKUP( APIF_Import!$L339, Aop!$A$2:$N$415, 4, 0)</f>
        <v>630</v>
      </c>
      <c r="D339" s="364" t="str">
        <f ca="1">IF( ISNA( VLOOKUP( APIF_Import!$M339 &amp; APIF_Import!$D$1,Podesavanja!$AA$3:$AD$24, 4, 0)), "", SUBSTITUTE( VALUE( VLOOKUP( APIF_Import!$C339, INDIRECT( "Lookup_" &amp; APIF_Import!$M339), VLOOKUP( APIF_Import!$M339 &amp; APIF_Import!$D$1,Podesavanja!$AA$3:$AD$24, 4, 0), 0)), ".", ","))</f>
        <v>58279</v>
      </c>
      <c r="E339" s="364" t="str">
        <f ca="1">IF( ISNA( VLOOKUP( APIF_Import!$M339 &amp; APIF_Import!$E$1,Podesavanja!$AA$3:$AD$24, 4, 0)), "", SUBSTITUTE( VALUE( VLOOKUP( APIF_Import!$C339, INDIRECT( "Lookup_" &amp; APIF_Import!$M339), VLOOKUP( APIF_Import!$M339 &amp; APIF_Import!$E$1,Podesavanja!$AA$3:$AD$24, 4, 0), 0)), ".", ","))</f>
        <v>0</v>
      </c>
      <c r="F339" s="364" t="str">
        <f ca="1">IF( ISNA( VLOOKUP( APIF_Import!$M339 &amp; APIF_Import!$F$1,Podesavanja!$AA$3:$AD$24, 4, 0)), "", VLOOKUP( APIF_Import!$C339, INDIRECT( "Lookup_" &amp; APIF_Import!$M339), VLOOKUP( APIF_Import!$M339 &amp; APIF_Import!$F$1,Podesavanja!$AA$3:$AD$24, 4, 0), 0))</f>
        <v/>
      </c>
      <c r="G339" s="364" t="str">
        <f ca="1">IF( ISNA( VLOOKUP( APIF_Import!$M339 &amp; APIF_Import!$G$1,Podesavanja!$AA$3:$AD$24, 4, 0)), "", VLOOKUP( APIF_Import!$C339, INDIRECT( "Lookup_" &amp; APIF_Import!$M339), VLOOKUP( APIF_Import!$M339 &amp; APIF_Import!$G$1,Podesavanja!$AA$3:$AD$24, 4, 0), 0))</f>
        <v/>
      </c>
      <c r="H339" s="364" t="str">
        <f ca="1">IF( ISNA( VLOOKUP( APIF_Import!$M339 &amp; APIF_Import!$H$1,Podesavanja!$AA$3:$AD$24, 4, 0)), "", VLOOKUP( APIF_Import!$C339, INDIRECT( "Lookup_" &amp; APIF_Import!$M339), VLOOKUP( APIF_Import!$M339 &amp; APIF_Import!$H$1,Podesavanja!$AA$3:$AD$24, 4, 0), 0))</f>
        <v/>
      </c>
      <c r="I339" s="364" t="str">
        <f ca="1">IF( ISNA( VLOOKUP( APIF_Import!$M339 &amp; APIF_Import!$I$1,Podesavanja!$AA$3:$AD$24, 4, 0)), "", VLOOKUP( APIF_Import!$C339, INDIRECT( "Lookup_" &amp; APIF_Import!$M339), VLOOKUP( APIF_Import!$M339 &amp; APIF_Import!$I$1,Podesavanja!$AA$3:$AD$24, 4, 0), 0))</f>
        <v/>
      </c>
      <c r="J339" s="364" t="str">
        <f ca="1">IF( ISNA( VLOOKUP( APIF_Import!$M339 &amp; APIF_Import!$J$1,Podesavanja!$AA$3:$AD$24, 4, 0)), "", VLOOKUP( APIF_Import!$C339, INDIRECT( "Lookup_" &amp; APIF_Import!$M339), VLOOKUP( APIF_Import!$M339 &amp; APIF_Import!$J$1,Podesavanja!$AA$3:$AD$24, 4, 0), 0))</f>
        <v/>
      </c>
      <c r="K339" s="364" t="str">
        <f ca="1">IF( ISNA( VLOOKUP( APIF_Import!$M339 &amp; APIF_Import!$K$1,Podesavanja!$AA$3:$AD$24, 4, 0)), "", VLOOKUP( APIF_Import!$C339, INDIRECT( "Lookup_" &amp; APIF_Import!$M339), VLOOKUP( APIF_Import!$M339 &amp; APIF_Import!$K$1,Podesavanja!$AA$3:$AD$24, 4, 0), 0))</f>
        <v/>
      </c>
      <c r="L339" s="8">
        <v>351</v>
      </c>
      <c r="M339" s="8" t="s">
        <v>1375</v>
      </c>
    </row>
    <row r="340" spans="2:13" x14ac:dyDescent="0.2">
      <c r="B340" s="8">
        <f>VLOOKUP( APIF_Import!$M340, Podesavanja!$N$3:$Q$9, 4, 0)</f>
        <v>4</v>
      </c>
      <c r="C340" s="363">
        <f>VLOOKUP( APIF_Import!$L340, Aop!$A$2:$N$415, 4, 0)</f>
        <v>631</v>
      </c>
      <c r="D340" s="364" t="str">
        <f ca="1">IF( ISNA( VLOOKUP( APIF_Import!$M340 &amp; APIF_Import!$D$1,Podesavanja!$AA$3:$AD$24, 4, 0)), "", SUBSTITUTE( VALUE( VLOOKUP( APIF_Import!$C340, INDIRECT( "Lookup_" &amp; APIF_Import!$M340), VLOOKUP( APIF_Import!$M340 &amp; APIF_Import!$D$1,Podesavanja!$AA$3:$AD$24, 4, 0), 0)), ".", ","))</f>
        <v>1500</v>
      </c>
      <c r="E340" s="364" t="str">
        <f ca="1">IF( ISNA( VLOOKUP( APIF_Import!$M340 &amp; APIF_Import!$E$1,Podesavanja!$AA$3:$AD$24, 4, 0)), "", SUBSTITUTE( VALUE( VLOOKUP( APIF_Import!$C340, INDIRECT( "Lookup_" &amp; APIF_Import!$M340), VLOOKUP( APIF_Import!$M340 &amp; APIF_Import!$E$1,Podesavanja!$AA$3:$AD$24, 4, 0), 0)), ".", ","))</f>
        <v>24477</v>
      </c>
      <c r="F340" s="364" t="str">
        <f ca="1">IF( ISNA( VLOOKUP( APIF_Import!$M340 &amp; APIF_Import!$F$1,Podesavanja!$AA$3:$AD$24, 4, 0)), "", VLOOKUP( APIF_Import!$C340, INDIRECT( "Lookup_" &amp; APIF_Import!$M340), VLOOKUP( APIF_Import!$M340 &amp; APIF_Import!$F$1,Podesavanja!$AA$3:$AD$24, 4, 0), 0))</f>
        <v/>
      </c>
      <c r="G340" s="364" t="str">
        <f ca="1">IF( ISNA( VLOOKUP( APIF_Import!$M340 &amp; APIF_Import!$G$1,Podesavanja!$AA$3:$AD$24, 4, 0)), "", VLOOKUP( APIF_Import!$C340, INDIRECT( "Lookup_" &amp; APIF_Import!$M340), VLOOKUP( APIF_Import!$M340 &amp; APIF_Import!$G$1,Podesavanja!$AA$3:$AD$24, 4, 0), 0))</f>
        <v/>
      </c>
      <c r="H340" s="364" t="str">
        <f ca="1">IF( ISNA( VLOOKUP( APIF_Import!$M340 &amp; APIF_Import!$H$1,Podesavanja!$AA$3:$AD$24, 4, 0)), "", VLOOKUP( APIF_Import!$C340, INDIRECT( "Lookup_" &amp; APIF_Import!$M340), VLOOKUP( APIF_Import!$M340 &amp; APIF_Import!$H$1,Podesavanja!$AA$3:$AD$24, 4, 0), 0))</f>
        <v/>
      </c>
      <c r="I340" s="364" t="str">
        <f ca="1">IF( ISNA( VLOOKUP( APIF_Import!$M340 &amp; APIF_Import!$I$1,Podesavanja!$AA$3:$AD$24, 4, 0)), "", VLOOKUP( APIF_Import!$C340, INDIRECT( "Lookup_" &amp; APIF_Import!$M340), VLOOKUP( APIF_Import!$M340 &amp; APIF_Import!$I$1,Podesavanja!$AA$3:$AD$24, 4, 0), 0))</f>
        <v/>
      </c>
      <c r="J340" s="364" t="str">
        <f ca="1">IF( ISNA( VLOOKUP( APIF_Import!$M340 &amp; APIF_Import!$J$1,Podesavanja!$AA$3:$AD$24, 4, 0)), "", VLOOKUP( APIF_Import!$C340, INDIRECT( "Lookup_" &amp; APIF_Import!$M340), VLOOKUP( APIF_Import!$M340 &amp; APIF_Import!$J$1,Podesavanja!$AA$3:$AD$24, 4, 0), 0))</f>
        <v/>
      </c>
      <c r="K340" s="364" t="str">
        <f ca="1">IF( ISNA( VLOOKUP( APIF_Import!$M340 &amp; APIF_Import!$K$1,Podesavanja!$AA$3:$AD$24, 4, 0)), "", VLOOKUP( APIF_Import!$C340, INDIRECT( "Lookup_" &amp; APIF_Import!$M340), VLOOKUP( APIF_Import!$M340 &amp; APIF_Import!$K$1,Podesavanja!$AA$3:$AD$24, 4, 0), 0))</f>
        <v/>
      </c>
      <c r="L340" s="8">
        <v>352</v>
      </c>
      <c r="M340" s="8" t="s">
        <v>1375</v>
      </c>
    </row>
    <row r="341" spans="2:13" x14ac:dyDescent="0.2">
      <c r="B341" s="8">
        <f>VLOOKUP( APIF_Import!$M341, Podesavanja!$N$3:$Q$9, 4, 0)</f>
        <v>4</v>
      </c>
      <c r="C341" s="363">
        <f>VLOOKUP( APIF_Import!$L341, Aop!$A$2:$N$415, 4, 0)</f>
        <v>632</v>
      </c>
      <c r="D341" s="364" t="str">
        <f ca="1">IF( ISNA( VLOOKUP( APIF_Import!$M341 &amp; APIF_Import!$D$1,Podesavanja!$AA$3:$AD$24, 4, 0)), "", SUBSTITUTE( VALUE( VLOOKUP( APIF_Import!$C341, INDIRECT( "Lookup_" &amp; APIF_Import!$M341), VLOOKUP( APIF_Import!$M341 &amp; APIF_Import!$D$1,Podesavanja!$AA$3:$AD$24, 4, 0), 0)), ".", ","))</f>
        <v>0</v>
      </c>
      <c r="E341" s="364" t="str">
        <f ca="1">IF( ISNA( VLOOKUP( APIF_Import!$M341 &amp; APIF_Import!$E$1,Podesavanja!$AA$3:$AD$24, 4, 0)), "", SUBSTITUTE( VALUE( VLOOKUP( APIF_Import!$C341, INDIRECT( "Lookup_" &amp; APIF_Import!$M341), VLOOKUP( APIF_Import!$M341 &amp; APIF_Import!$E$1,Podesavanja!$AA$3:$AD$24, 4, 0), 0)), ".", ","))</f>
        <v>0</v>
      </c>
      <c r="F341" s="364" t="str">
        <f ca="1">IF( ISNA( VLOOKUP( APIF_Import!$M341 &amp; APIF_Import!$F$1,Podesavanja!$AA$3:$AD$24, 4, 0)), "", VLOOKUP( APIF_Import!$C341, INDIRECT( "Lookup_" &amp; APIF_Import!$M341), VLOOKUP( APIF_Import!$M341 &amp; APIF_Import!$F$1,Podesavanja!$AA$3:$AD$24, 4, 0), 0))</f>
        <v/>
      </c>
      <c r="G341" s="364" t="str">
        <f ca="1">IF( ISNA( VLOOKUP( APIF_Import!$M341 &amp; APIF_Import!$G$1,Podesavanja!$AA$3:$AD$24, 4, 0)), "", VLOOKUP( APIF_Import!$C341, INDIRECT( "Lookup_" &amp; APIF_Import!$M341), VLOOKUP( APIF_Import!$M341 &amp; APIF_Import!$G$1,Podesavanja!$AA$3:$AD$24, 4, 0), 0))</f>
        <v/>
      </c>
      <c r="H341" s="364" t="str">
        <f ca="1">IF( ISNA( VLOOKUP( APIF_Import!$M341 &amp; APIF_Import!$H$1,Podesavanja!$AA$3:$AD$24, 4, 0)), "", VLOOKUP( APIF_Import!$C341, INDIRECT( "Lookup_" &amp; APIF_Import!$M341), VLOOKUP( APIF_Import!$M341 &amp; APIF_Import!$H$1,Podesavanja!$AA$3:$AD$24, 4, 0), 0))</f>
        <v/>
      </c>
      <c r="I341" s="364" t="str">
        <f ca="1">IF( ISNA( VLOOKUP( APIF_Import!$M341 &amp; APIF_Import!$I$1,Podesavanja!$AA$3:$AD$24, 4, 0)), "", VLOOKUP( APIF_Import!$C341, INDIRECT( "Lookup_" &amp; APIF_Import!$M341), VLOOKUP( APIF_Import!$M341 &amp; APIF_Import!$I$1,Podesavanja!$AA$3:$AD$24, 4, 0), 0))</f>
        <v/>
      </c>
      <c r="J341" s="364" t="str">
        <f ca="1">IF( ISNA( VLOOKUP( APIF_Import!$M341 &amp; APIF_Import!$J$1,Podesavanja!$AA$3:$AD$24, 4, 0)), "", VLOOKUP( APIF_Import!$C341, INDIRECT( "Lookup_" &amp; APIF_Import!$M341), VLOOKUP( APIF_Import!$M341 &amp; APIF_Import!$J$1,Podesavanja!$AA$3:$AD$24, 4, 0), 0))</f>
        <v/>
      </c>
      <c r="K341" s="364" t="str">
        <f ca="1">IF( ISNA( VLOOKUP( APIF_Import!$M341 &amp; APIF_Import!$K$1,Podesavanja!$AA$3:$AD$24, 4, 0)), "", VLOOKUP( APIF_Import!$C341, INDIRECT( "Lookup_" &amp; APIF_Import!$M341), VLOOKUP( APIF_Import!$M341 &amp; APIF_Import!$K$1,Podesavanja!$AA$3:$AD$24, 4, 0), 0))</f>
        <v/>
      </c>
      <c r="L341" s="8">
        <v>353</v>
      </c>
      <c r="M341" s="8" t="s">
        <v>1375</v>
      </c>
    </row>
    <row r="342" spans="2:13" x14ac:dyDescent="0.2">
      <c r="B342" s="8">
        <f>VLOOKUP( APIF_Import!$M342, Podesavanja!$N$3:$Q$9, 4, 0)</f>
        <v>4</v>
      </c>
      <c r="C342" s="363">
        <f>VLOOKUP( APIF_Import!$L342, Aop!$A$2:$N$415, 4, 0)</f>
        <v>633</v>
      </c>
      <c r="D342" s="364" t="str">
        <f ca="1">IF( ISNA( VLOOKUP( APIF_Import!$M342 &amp; APIF_Import!$D$1,Podesavanja!$AA$3:$AD$24, 4, 0)), "", SUBSTITUTE( VALUE( VLOOKUP( APIF_Import!$C342, INDIRECT( "Lookup_" &amp; APIF_Import!$M342), VLOOKUP( APIF_Import!$M342 &amp; APIF_Import!$D$1,Podesavanja!$AA$3:$AD$24, 4, 0), 0)), ".", ","))</f>
        <v>8099058</v>
      </c>
      <c r="E342" s="364" t="str">
        <f ca="1">IF( ISNA( VLOOKUP( APIF_Import!$M342 &amp; APIF_Import!$E$1,Podesavanja!$AA$3:$AD$24, 4, 0)), "", SUBSTITUTE( VALUE( VLOOKUP( APIF_Import!$C342, INDIRECT( "Lookup_" &amp; APIF_Import!$M342), VLOOKUP( APIF_Import!$M342 &amp; APIF_Import!$E$1,Podesavanja!$AA$3:$AD$24, 4, 0), 0)), ".", ","))</f>
        <v>4521671</v>
      </c>
      <c r="F342" s="364" t="str">
        <f ca="1">IF( ISNA( VLOOKUP( APIF_Import!$M342 &amp; APIF_Import!$F$1,Podesavanja!$AA$3:$AD$24, 4, 0)), "", VLOOKUP( APIF_Import!$C342, INDIRECT( "Lookup_" &amp; APIF_Import!$M342), VLOOKUP( APIF_Import!$M342 &amp; APIF_Import!$F$1,Podesavanja!$AA$3:$AD$24, 4, 0), 0))</f>
        <v/>
      </c>
      <c r="G342" s="364" t="str">
        <f ca="1">IF( ISNA( VLOOKUP( APIF_Import!$M342 &amp; APIF_Import!$G$1,Podesavanja!$AA$3:$AD$24, 4, 0)), "", VLOOKUP( APIF_Import!$C342, INDIRECT( "Lookup_" &amp; APIF_Import!$M342), VLOOKUP( APIF_Import!$M342 &amp; APIF_Import!$G$1,Podesavanja!$AA$3:$AD$24, 4, 0), 0))</f>
        <v/>
      </c>
      <c r="H342" s="364" t="str">
        <f ca="1">IF( ISNA( VLOOKUP( APIF_Import!$M342 &amp; APIF_Import!$H$1,Podesavanja!$AA$3:$AD$24, 4, 0)), "", VLOOKUP( APIF_Import!$C342, INDIRECT( "Lookup_" &amp; APIF_Import!$M342), VLOOKUP( APIF_Import!$M342 &amp; APIF_Import!$H$1,Podesavanja!$AA$3:$AD$24, 4, 0), 0))</f>
        <v/>
      </c>
      <c r="I342" s="364" t="str">
        <f ca="1">IF( ISNA( VLOOKUP( APIF_Import!$M342 &amp; APIF_Import!$I$1,Podesavanja!$AA$3:$AD$24, 4, 0)), "", VLOOKUP( APIF_Import!$C342, INDIRECT( "Lookup_" &amp; APIF_Import!$M342), VLOOKUP( APIF_Import!$M342 &amp; APIF_Import!$I$1,Podesavanja!$AA$3:$AD$24, 4, 0), 0))</f>
        <v/>
      </c>
      <c r="J342" s="364" t="str">
        <f ca="1">IF( ISNA( VLOOKUP( APIF_Import!$M342 &amp; APIF_Import!$J$1,Podesavanja!$AA$3:$AD$24, 4, 0)), "", VLOOKUP( APIF_Import!$C342, INDIRECT( "Lookup_" &amp; APIF_Import!$M342), VLOOKUP( APIF_Import!$M342 &amp; APIF_Import!$J$1,Podesavanja!$AA$3:$AD$24, 4, 0), 0))</f>
        <v/>
      </c>
      <c r="K342" s="364" t="str">
        <f ca="1">IF( ISNA( VLOOKUP( APIF_Import!$M342 &amp; APIF_Import!$K$1,Podesavanja!$AA$3:$AD$24, 4, 0)), "", VLOOKUP( APIF_Import!$C342, INDIRECT( "Lookup_" &amp; APIF_Import!$M342), VLOOKUP( APIF_Import!$M342 &amp; APIF_Import!$K$1,Podesavanja!$AA$3:$AD$24, 4, 0), 0))</f>
        <v/>
      </c>
      <c r="L342" s="8">
        <v>354</v>
      </c>
      <c r="M342" s="8" t="s">
        <v>1375</v>
      </c>
    </row>
    <row r="343" spans="2:13" x14ac:dyDescent="0.2">
      <c r="B343" s="8">
        <f>VLOOKUP( APIF_Import!$M343, Podesavanja!$N$3:$Q$9, 4, 0)</f>
        <v>4</v>
      </c>
      <c r="C343" s="363">
        <f>VLOOKUP( APIF_Import!$L343, Aop!$A$2:$N$415, 4, 0)</f>
        <v>634</v>
      </c>
      <c r="D343" s="364" t="str">
        <f ca="1">IF( ISNA( VLOOKUP( APIF_Import!$M343 &amp; APIF_Import!$D$1,Podesavanja!$AA$3:$AD$24, 4, 0)), "", SUBSTITUTE( VALUE( VLOOKUP( APIF_Import!$C343, INDIRECT( "Lookup_" &amp; APIF_Import!$M343), VLOOKUP( APIF_Import!$M343 &amp; APIF_Import!$D$1,Podesavanja!$AA$3:$AD$24, 4, 0), 0)), ".", ","))</f>
        <v>353932</v>
      </c>
      <c r="E343" s="364" t="str">
        <f ca="1">IF( ISNA( VLOOKUP( APIF_Import!$M343 &amp; APIF_Import!$E$1,Podesavanja!$AA$3:$AD$24, 4, 0)), "", SUBSTITUTE( VALUE( VLOOKUP( APIF_Import!$C343, INDIRECT( "Lookup_" &amp; APIF_Import!$M343), VLOOKUP( APIF_Import!$M343 &amp; APIF_Import!$E$1,Podesavanja!$AA$3:$AD$24, 4, 0), 0)), ".", ","))</f>
        <v>292783</v>
      </c>
      <c r="F343" s="364" t="str">
        <f ca="1">IF( ISNA( VLOOKUP( APIF_Import!$M343 &amp; APIF_Import!$F$1,Podesavanja!$AA$3:$AD$24, 4, 0)), "", VLOOKUP( APIF_Import!$C343, INDIRECT( "Lookup_" &amp; APIF_Import!$M343), VLOOKUP( APIF_Import!$M343 &amp; APIF_Import!$F$1,Podesavanja!$AA$3:$AD$24, 4, 0), 0))</f>
        <v/>
      </c>
      <c r="G343" s="364" t="str">
        <f ca="1">IF( ISNA( VLOOKUP( APIF_Import!$M343 &amp; APIF_Import!$G$1,Podesavanja!$AA$3:$AD$24, 4, 0)), "", VLOOKUP( APIF_Import!$C343, INDIRECT( "Lookup_" &amp; APIF_Import!$M343), VLOOKUP( APIF_Import!$M343 &amp; APIF_Import!$G$1,Podesavanja!$AA$3:$AD$24, 4, 0), 0))</f>
        <v/>
      </c>
      <c r="H343" s="364" t="str">
        <f ca="1">IF( ISNA( VLOOKUP( APIF_Import!$M343 &amp; APIF_Import!$H$1,Podesavanja!$AA$3:$AD$24, 4, 0)), "", VLOOKUP( APIF_Import!$C343, INDIRECT( "Lookup_" &amp; APIF_Import!$M343), VLOOKUP( APIF_Import!$M343 &amp; APIF_Import!$H$1,Podesavanja!$AA$3:$AD$24, 4, 0), 0))</f>
        <v/>
      </c>
      <c r="I343" s="364" t="str">
        <f ca="1">IF( ISNA( VLOOKUP( APIF_Import!$M343 &amp; APIF_Import!$I$1,Podesavanja!$AA$3:$AD$24, 4, 0)), "", VLOOKUP( APIF_Import!$C343, INDIRECT( "Lookup_" &amp; APIF_Import!$M343), VLOOKUP( APIF_Import!$M343 &amp; APIF_Import!$I$1,Podesavanja!$AA$3:$AD$24, 4, 0), 0))</f>
        <v/>
      </c>
      <c r="J343" s="364" t="str">
        <f ca="1">IF( ISNA( VLOOKUP( APIF_Import!$M343 &amp; APIF_Import!$J$1,Podesavanja!$AA$3:$AD$24, 4, 0)), "", VLOOKUP( APIF_Import!$C343, INDIRECT( "Lookup_" &amp; APIF_Import!$M343), VLOOKUP( APIF_Import!$M343 &amp; APIF_Import!$J$1,Podesavanja!$AA$3:$AD$24, 4, 0), 0))</f>
        <v/>
      </c>
      <c r="K343" s="364" t="str">
        <f ca="1">IF( ISNA( VLOOKUP( APIF_Import!$M343 &amp; APIF_Import!$K$1,Podesavanja!$AA$3:$AD$24, 4, 0)), "", VLOOKUP( APIF_Import!$C343, INDIRECT( "Lookup_" &amp; APIF_Import!$M343), VLOOKUP( APIF_Import!$M343 &amp; APIF_Import!$K$1,Podesavanja!$AA$3:$AD$24, 4, 0), 0))</f>
        <v/>
      </c>
      <c r="L343" s="8">
        <v>355</v>
      </c>
      <c r="M343" s="8" t="s">
        <v>1375</v>
      </c>
    </row>
    <row r="344" spans="2:13" x14ac:dyDescent="0.2">
      <c r="B344" s="8">
        <f>VLOOKUP( APIF_Import!$M344, Podesavanja!$N$3:$Q$9, 4, 0)</f>
        <v>4</v>
      </c>
      <c r="C344" s="363">
        <f>VLOOKUP( APIF_Import!$L344, Aop!$A$2:$N$415, 4, 0)</f>
        <v>635</v>
      </c>
      <c r="D344" s="364" t="str">
        <f ca="1">IF( ISNA( VLOOKUP( APIF_Import!$M344 &amp; APIF_Import!$D$1,Podesavanja!$AA$3:$AD$24, 4, 0)), "", SUBSTITUTE( VALUE( VLOOKUP( APIF_Import!$C344, INDIRECT( "Lookup_" &amp; APIF_Import!$M344), VLOOKUP( APIF_Import!$M344 &amp; APIF_Import!$D$1,Podesavanja!$AA$3:$AD$24, 4, 0), 0)), ".", ","))</f>
        <v>1370879</v>
      </c>
      <c r="E344" s="364" t="str">
        <f ca="1">IF( ISNA( VLOOKUP( APIF_Import!$M344 &amp; APIF_Import!$E$1,Podesavanja!$AA$3:$AD$24, 4, 0)), "", SUBSTITUTE( VALUE( VLOOKUP( APIF_Import!$C344, INDIRECT( "Lookup_" &amp; APIF_Import!$M344), VLOOKUP( APIF_Import!$M344 &amp; APIF_Import!$E$1,Podesavanja!$AA$3:$AD$24, 4, 0), 0)), ".", ","))</f>
        <v>1168194</v>
      </c>
      <c r="F344" s="364" t="str">
        <f ca="1">IF( ISNA( VLOOKUP( APIF_Import!$M344 &amp; APIF_Import!$F$1,Podesavanja!$AA$3:$AD$24, 4, 0)), "", VLOOKUP( APIF_Import!$C344, INDIRECT( "Lookup_" &amp; APIF_Import!$M344), VLOOKUP( APIF_Import!$M344 &amp; APIF_Import!$F$1,Podesavanja!$AA$3:$AD$24, 4, 0), 0))</f>
        <v/>
      </c>
      <c r="G344" s="364" t="str">
        <f ca="1">IF( ISNA( VLOOKUP( APIF_Import!$M344 &amp; APIF_Import!$G$1,Podesavanja!$AA$3:$AD$24, 4, 0)), "", VLOOKUP( APIF_Import!$C344, INDIRECT( "Lookup_" &amp; APIF_Import!$M344), VLOOKUP( APIF_Import!$M344 &amp; APIF_Import!$G$1,Podesavanja!$AA$3:$AD$24, 4, 0), 0))</f>
        <v/>
      </c>
      <c r="H344" s="364" t="str">
        <f ca="1">IF( ISNA( VLOOKUP( APIF_Import!$M344 &amp; APIF_Import!$H$1,Podesavanja!$AA$3:$AD$24, 4, 0)), "", VLOOKUP( APIF_Import!$C344, INDIRECT( "Lookup_" &amp; APIF_Import!$M344), VLOOKUP( APIF_Import!$M344 &amp; APIF_Import!$H$1,Podesavanja!$AA$3:$AD$24, 4, 0), 0))</f>
        <v/>
      </c>
      <c r="I344" s="364" t="str">
        <f ca="1">IF( ISNA( VLOOKUP( APIF_Import!$M344 &amp; APIF_Import!$I$1,Podesavanja!$AA$3:$AD$24, 4, 0)), "", VLOOKUP( APIF_Import!$C344, INDIRECT( "Lookup_" &amp; APIF_Import!$M344), VLOOKUP( APIF_Import!$M344 &amp; APIF_Import!$I$1,Podesavanja!$AA$3:$AD$24, 4, 0), 0))</f>
        <v/>
      </c>
      <c r="J344" s="364" t="str">
        <f ca="1">IF( ISNA( VLOOKUP( APIF_Import!$M344 &amp; APIF_Import!$J$1,Podesavanja!$AA$3:$AD$24, 4, 0)), "", VLOOKUP( APIF_Import!$C344, INDIRECT( "Lookup_" &amp; APIF_Import!$M344), VLOOKUP( APIF_Import!$M344 &amp; APIF_Import!$J$1,Podesavanja!$AA$3:$AD$24, 4, 0), 0))</f>
        <v/>
      </c>
      <c r="K344" s="364" t="str">
        <f ca="1">IF( ISNA( VLOOKUP( APIF_Import!$M344 &amp; APIF_Import!$K$1,Podesavanja!$AA$3:$AD$24, 4, 0)), "", VLOOKUP( APIF_Import!$C344, INDIRECT( "Lookup_" &amp; APIF_Import!$M344), VLOOKUP( APIF_Import!$M344 &amp; APIF_Import!$K$1,Podesavanja!$AA$3:$AD$24, 4, 0), 0))</f>
        <v/>
      </c>
      <c r="L344" s="8">
        <v>356</v>
      </c>
      <c r="M344" s="8" t="s">
        <v>1375</v>
      </c>
    </row>
    <row r="345" spans="2:13" x14ac:dyDescent="0.2">
      <c r="B345" s="8">
        <f>VLOOKUP( APIF_Import!$M345, Podesavanja!$N$3:$Q$9, 4, 0)</f>
        <v>4</v>
      </c>
      <c r="C345" s="363">
        <f>VLOOKUP( APIF_Import!$L345, Aop!$A$2:$N$415, 4, 0)</f>
        <v>636</v>
      </c>
      <c r="D345" s="364" t="str">
        <f ca="1">IF( ISNA( VLOOKUP( APIF_Import!$M345 &amp; APIF_Import!$D$1,Podesavanja!$AA$3:$AD$24, 4, 0)), "", SUBSTITUTE( VALUE( VLOOKUP( APIF_Import!$C345, INDIRECT( "Lookup_" &amp; APIF_Import!$M345), VLOOKUP( APIF_Import!$M345 &amp; APIF_Import!$D$1,Podesavanja!$AA$3:$AD$24, 4, 0), 0)), ".", ","))</f>
        <v>2256</v>
      </c>
      <c r="E345" s="364" t="str">
        <f ca="1">IF( ISNA( VLOOKUP( APIF_Import!$M345 &amp; APIF_Import!$E$1,Podesavanja!$AA$3:$AD$24, 4, 0)), "", SUBSTITUTE( VALUE( VLOOKUP( APIF_Import!$C345, INDIRECT( "Lookup_" &amp; APIF_Import!$M345), VLOOKUP( APIF_Import!$M345 &amp; APIF_Import!$E$1,Podesavanja!$AA$3:$AD$24, 4, 0), 0)), ".", ","))</f>
        <v>1800</v>
      </c>
      <c r="F345" s="364" t="str">
        <f ca="1">IF( ISNA( VLOOKUP( APIF_Import!$M345 &amp; APIF_Import!$F$1,Podesavanja!$AA$3:$AD$24, 4, 0)), "", VLOOKUP( APIF_Import!$C345, INDIRECT( "Lookup_" &amp; APIF_Import!$M345), VLOOKUP( APIF_Import!$M345 &amp; APIF_Import!$F$1,Podesavanja!$AA$3:$AD$24, 4, 0), 0))</f>
        <v/>
      </c>
      <c r="G345" s="364" t="str">
        <f ca="1">IF( ISNA( VLOOKUP( APIF_Import!$M345 &amp; APIF_Import!$G$1,Podesavanja!$AA$3:$AD$24, 4, 0)), "", VLOOKUP( APIF_Import!$C345, INDIRECT( "Lookup_" &amp; APIF_Import!$M345), VLOOKUP( APIF_Import!$M345 &amp; APIF_Import!$G$1,Podesavanja!$AA$3:$AD$24, 4, 0), 0))</f>
        <v/>
      </c>
      <c r="H345" s="364" t="str">
        <f ca="1">IF( ISNA( VLOOKUP( APIF_Import!$M345 &amp; APIF_Import!$H$1,Podesavanja!$AA$3:$AD$24, 4, 0)), "", VLOOKUP( APIF_Import!$C345, INDIRECT( "Lookup_" &amp; APIF_Import!$M345), VLOOKUP( APIF_Import!$M345 &amp; APIF_Import!$H$1,Podesavanja!$AA$3:$AD$24, 4, 0), 0))</f>
        <v/>
      </c>
      <c r="I345" s="364" t="str">
        <f ca="1">IF( ISNA( VLOOKUP( APIF_Import!$M345 &amp; APIF_Import!$I$1,Podesavanja!$AA$3:$AD$24, 4, 0)), "", VLOOKUP( APIF_Import!$C345, INDIRECT( "Lookup_" &amp; APIF_Import!$M345), VLOOKUP( APIF_Import!$M345 &amp; APIF_Import!$I$1,Podesavanja!$AA$3:$AD$24, 4, 0), 0))</f>
        <v/>
      </c>
      <c r="J345" s="364" t="str">
        <f ca="1">IF( ISNA( VLOOKUP( APIF_Import!$M345 &amp; APIF_Import!$J$1,Podesavanja!$AA$3:$AD$24, 4, 0)), "", VLOOKUP( APIF_Import!$C345, INDIRECT( "Lookup_" &amp; APIF_Import!$M345), VLOOKUP( APIF_Import!$M345 &amp; APIF_Import!$J$1,Podesavanja!$AA$3:$AD$24, 4, 0), 0))</f>
        <v/>
      </c>
      <c r="K345" s="364" t="str">
        <f ca="1">IF( ISNA( VLOOKUP( APIF_Import!$M345 &amp; APIF_Import!$K$1,Podesavanja!$AA$3:$AD$24, 4, 0)), "", VLOOKUP( APIF_Import!$C345, INDIRECT( "Lookup_" &amp; APIF_Import!$M345), VLOOKUP( APIF_Import!$M345 &amp; APIF_Import!$K$1,Podesavanja!$AA$3:$AD$24, 4, 0), 0))</f>
        <v/>
      </c>
      <c r="L345" s="8">
        <v>357</v>
      </c>
      <c r="M345" s="8" t="s">
        <v>1375</v>
      </c>
    </row>
    <row r="346" spans="2:13" x14ac:dyDescent="0.2">
      <c r="B346" s="8">
        <f>VLOOKUP( APIF_Import!$M346, Podesavanja!$N$3:$Q$9, 4, 0)</f>
        <v>4</v>
      </c>
      <c r="C346" s="363">
        <f>VLOOKUP( APIF_Import!$L346, Aop!$A$2:$N$415, 4, 0)</f>
        <v>637</v>
      </c>
      <c r="D346" s="364" t="str">
        <f ca="1">IF( ISNA( VLOOKUP( APIF_Import!$M346 &amp; APIF_Import!$D$1,Podesavanja!$AA$3:$AD$24, 4, 0)), "", SUBSTITUTE( VALUE( VLOOKUP( APIF_Import!$C346, INDIRECT( "Lookup_" &amp; APIF_Import!$M346), VLOOKUP( APIF_Import!$M346 &amp; APIF_Import!$D$1,Podesavanja!$AA$3:$AD$24, 4, 0), 0)), ".", ","))</f>
        <v>198549</v>
      </c>
      <c r="E346" s="364" t="str">
        <f ca="1">IF( ISNA( VLOOKUP( APIF_Import!$M346 &amp; APIF_Import!$E$1,Podesavanja!$AA$3:$AD$24, 4, 0)), "", SUBSTITUTE( VALUE( VLOOKUP( APIF_Import!$C346, INDIRECT( "Lookup_" &amp; APIF_Import!$M346), VLOOKUP( APIF_Import!$M346 &amp; APIF_Import!$E$1,Podesavanja!$AA$3:$AD$24, 4, 0), 0)), ".", ","))</f>
        <v>124729</v>
      </c>
      <c r="F346" s="364" t="str">
        <f ca="1">IF( ISNA( VLOOKUP( APIF_Import!$M346 &amp; APIF_Import!$F$1,Podesavanja!$AA$3:$AD$24, 4, 0)), "", VLOOKUP( APIF_Import!$C346, INDIRECT( "Lookup_" &amp; APIF_Import!$M346), VLOOKUP( APIF_Import!$M346 &amp; APIF_Import!$F$1,Podesavanja!$AA$3:$AD$24, 4, 0), 0))</f>
        <v/>
      </c>
      <c r="G346" s="364" t="str">
        <f ca="1">IF( ISNA( VLOOKUP( APIF_Import!$M346 &amp; APIF_Import!$G$1,Podesavanja!$AA$3:$AD$24, 4, 0)), "", VLOOKUP( APIF_Import!$C346, INDIRECT( "Lookup_" &amp; APIF_Import!$M346), VLOOKUP( APIF_Import!$M346 &amp; APIF_Import!$G$1,Podesavanja!$AA$3:$AD$24, 4, 0), 0))</f>
        <v/>
      </c>
      <c r="H346" s="364" t="str">
        <f ca="1">IF( ISNA( VLOOKUP( APIF_Import!$M346 &amp; APIF_Import!$H$1,Podesavanja!$AA$3:$AD$24, 4, 0)), "", VLOOKUP( APIF_Import!$C346, INDIRECT( "Lookup_" &amp; APIF_Import!$M346), VLOOKUP( APIF_Import!$M346 &amp; APIF_Import!$H$1,Podesavanja!$AA$3:$AD$24, 4, 0), 0))</f>
        <v/>
      </c>
      <c r="I346" s="364" t="str">
        <f ca="1">IF( ISNA( VLOOKUP( APIF_Import!$M346 &amp; APIF_Import!$I$1,Podesavanja!$AA$3:$AD$24, 4, 0)), "", VLOOKUP( APIF_Import!$C346, INDIRECT( "Lookup_" &amp; APIF_Import!$M346), VLOOKUP( APIF_Import!$M346 &amp; APIF_Import!$I$1,Podesavanja!$AA$3:$AD$24, 4, 0), 0))</f>
        <v/>
      </c>
      <c r="J346" s="364" t="str">
        <f ca="1">IF( ISNA( VLOOKUP( APIF_Import!$M346 &amp; APIF_Import!$J$1,Podesavanja!$AA$3:$AD$24, 4, 0)), "", VLOOKUP( APIF_Import!$C346, INDIRECT( "Lookup_" &amp; APIF_Import!$M346), VLOOKUP( APIF_Import!$M346 &amp; APIF_Import!$J$1,Podesavanja!$AA$3:$AD$24, 4, 0), 0))</f>
        <v/>
      </c>
      <c r="K346" s="364" t="str">
        <f ca="1">IF( ISNA( VLOOKUP( APIF_Import!$M346 &amp; APIF_Import!$K$1,Podesavanja!$AA$3:$AD$24, 4, 0)), "", VLOOKUP( APIF_Import!$C346, INDIRECT( "Lookup_" &amp; APIF_Import!$M346), VLOOKUP( APIF_Import!$M346 &amp; APIF_Import!$K$1,Podesavanja!$AA$3:$AD$24, 4, 0), 0))</f>
        <v/>
      </c>
      <c r="L346" s="8">
        <v>358</v>
      </c>
      <c r="M346" s="8" t="s">
        <v>1375</v>
      </c>
    </row>
    <row r="347" spans="2:13" x14ac:dyDescent="0.2">
      <c r="B347" s="8">
        <f>VLOOKUP( APIF_Import!$M347, Podesavanja!$N$3:$Q$9, 4, 0)</f>
        <v>4</v>
      </c>
      <c r="C347" s="363">
        <f>VLOOKUP( APIF_Import!$L347, Aop!$A$2:$N$415, 4, 0)</f>
        <v>638</v>
      </c>
      <c r="D347" s="364" t="str">
        <f ca="1">IF( ISNA( VLOOKUP( APIF_Import!$M347 &amp; APIF_Import!$D$1,Podesavanja!$AA$3:$AD$24, 4, 0)), "", SUBSTITUTE( VALUE( VLOOKUP( APIF_Import!$C347, INDIRECT( "Lookup_" &amp; APIF_Import!$M347), VLOOKUP( APIF_Import!$M347 &amp; APIF_Import!$D$1,Podesavanja!$AA$3:$AD$24, 4, 0), 0)), ".", ","))</f>
        <v>122159</v>
      </c>
      <c r="E347" s="364" t="str">
        <f ca="1">IF( ISNA( VLOOKUP( APIF_Import!$M347 &amp; APIF_Import!$E$1,Podesavanja!$AA$3:$AD$24, 4, 0)), "", SUBSTITUTE( VALUE( VLOOKUP( APIF_Import!$C347, INDIRECT( "Lookup_" &amp; APIF_Import!$M347), VLOOKUP( APIF_Import!$M347 &amp; APIF_Import!$E$1,Podesavanja!$AA$3:$AD$24, 4, 0), 0)), ".", ","))</f>
        <v>78381</v>
      </c>
      <c r="F347" s="364" t="str">
        <f ca="1">IF( ISNA( VLOOKUP( APIF_Import!$M347 &amp; APIF_Import!$F$1,Podesavanja!$AA$3:$AD$24, 4, 0)), "", VLOOKUP( APIF_Import!$C347, INDIRECT( "Lookup_" &amp; APIF_Import!$M347), VLOOKUP( APIF_Import!$M347 &amp; APIF_Import!$F$1,Podesavanja!$AA$3:$AD$24, 4, 0), 0))</f>
        <v/>
      </c>
      <c r="G347" s="364" t="str">
        <f ca="1">IF( ISNA( VLOOKUP( APIF_Import!$M347 &amp; APIF_Import!$G$1,Podesavanja!$AA$3:$AD$24, 4, 0)), "", VLOOKUP( APIF_Import!$C347, INDIRECT( "Lookup_" &amp; APIF_Import!$M347), VLOOKUP( APIF_Import!$M347 &amp; APIF_Import!$G$1,Podesavanja!$AA$3:$AD$24, 4, 0), 0))</f>
        <v/>
      </c>
      <c r="H347" s="364" t="str">
        <f ca="1">IF( ISNA( VLOOKUP( APIF_Import!$M347 &amp; APIF_Import!$H$1,Podesavanja!$AA$3:$AD$24, 4, 0)), "", VLOOKUP( APIF_Import!$C347, INDIRECT( "Lookup_" &amp; APIF_Import!$M347), VLOOKUP( APIF_Import!$M347 &amp; APIF_Import!$H$1,Podesavanja!$AA$3:$AD$24, 4, 0), 0))</f>
        <v/>
      </c>
      <c r="I347" s="364" t="str">
        <f ca="1">IF( ISNA( VLOOKUP( APIF_Import!$M347 &amp; APIF_Import!$I$1,Podesavanja!$AA$3:$AD$24, 4, 0)), "", VLOOKUP( APIF_Import!$C347, INDIRECT( "Lookup_" &amp; APIF_Import!$M347), VLOOKUP( APIF_Import!$M347 &amp; APIF_Import!$I$1,Podesavanja!$AA$3:$AD$24, 4, 0), 0))</f>
        <v/>
      </c>
      <c r="J347" s="364" t="str">
        <f ca="1">IF( ISNA( VLOOKUP( APIF_Import!$M347 &amp; APIF_Import!$J$1,Podesavanja!$AA$3:$AD$24, 4, 0)), "", VLOOKUP( APIF_Import!$C347, INDIRECT( "Lookup_" &amp; APIF_Import!$M347), VLOOKUP( APIF_Import!$M347 &amp; APIF_Import!$J$1,Podesavanja!$AA$3:$AD$24, 4, 0), 0))</f>
        <v/>
      </c>
      <c r="K347" s="364" t="str">
        <f ca="1">IF( ISNA( VLOOKUP( APIF_Import!$M347 &amp; APIF_Import!$K$1,Podesavanja!$AA$3:$AD$24, 4, 0)), "", VLOOKUP( APIF_Import!$C347, INDIRECT( "Lookup_" &amp; APIF_Import!$M347), VLOOKUP( APIF_Import!$M347 &amp; APIF_Import!$K$1,Podesavanja!$AA$3:$AD$24, 4, 0), 0))</f>
        <v/>
      </c>
      <c r="L347" s="8">
        <v>359</v>
      </c>
      <c r="M347" s="8" t="s">
        <v>1375</v>
      </c>
    </row>
    <row r="348" spans="2:13" x14ac:dyDescent="0.2">
      <c r="B348" s="8">
        <f>VLOOKUP( APIF_Import!$M348, Podesavanja!$N$3:$Q$9, 4, 0)</f>
        <v>4</v>
      </c>
      <c r="C348" s="363">
        <f>VLOOKUP( APIF_Import!$L348, Aop!$A$2:$N$415, 4, 0)</f>
        <v>639</v>
      </c>
      <c r="D348" s="364" t="str">
        <f ca="1">IF( ISNA( VLOOKUP( APIF_Import!$M348 &amp; APIF_Import!$D$1,Podesavanja!$AA$3:$AD$24, 4, 0)), "", SUBSTITUTE( VALUE( VLOOKUP( APIF_Import!$C348, INDIRECT( "Lookup_" &amp; APIF_Import!$M348), VLOOKUP( APIF_Import!$M348 &amp; APIF_Import!$D$1,Podesavanja!$AA$3:$AD$24, 4, 0), 0)), ".", ","))</f>
        <v>392323</v>
      </c>
      <c r="E348" s="364" t="str">
        <f ca="1">IF( ISNA( VLOOKUP( APIF_Import!$M348 &amp; APIF_Import!$E$1,Podesavanja!$AA$3:$AD$24, 4, 0)), "", SUBSTITUTE( VALUE( VLOOKUP( APIF_Import!$C348, INDIRECT( "Lookup_" &amp; APIF_Import!$M348), VLOOKUP( APIF_Import!$M348 &amp; APIF_Import!$E$1,Podesavanja!$AA$3:$AD$24, 4, 0), 0)), ".", ","))</f>
        <v>336717</v>
      </c>
      <c r="F348" s="364" t="str">
        <f ca="1">IF( ISNA( VLOOKUP( APIF_Import!$M348 &amp; APIF_Import!$F$1,Podesavanja!$AA$3:$AD$24, 4, 0)), "", VLOOKUP( APIF_Import!$C348, INDIRECT( "Lookup_" &amp; APIF_Import!$M348), VLOOKUP( APIF_Import!$M348 &amp; APIF_Import!$F$1,Podesavanja!$AA$3:$AD$24, 4, 0), 0))</f>
        <v/>
      </c>
      <c r="G348" s="364" t="str">
        <f ca="1">IF( ISNA( VLOOKUP( APIF_Import!$M348 &amp; APIF_Import!$G$1,Podesavanja!$AA$3:$AD$24, 4, 0)), "", VLOOKUP( APIF_Import!$C348, INDIRECT( "Lookup_" &amp; APIF_Import!$M348), VLOOKUP( APIF_Import!$M348 &amp; APIF_Import!$G$1,Podesavanja!$AA$3:$AD$24, 4, 0), 0))</f>
        <v/>
      </c>
      <c r="H348" s="364" t="str">
        <f ca="1">IF( ISNA( VLOOKUP( APIF_Import!$M348 &amp; APIF_Import!$H$1,Podesavanja!$AA$3:$AD$24, 4, 0)), "", VLOOKUP( APIF_Import!$C348, INDIRECT( "Lookup_" &amp; APIF_Import!$M348), VLOOKUP( APIF_Import!$M348 &amp; APIF_Import!$H$1,Podesavanja!$AA$3:$AD$24, 4, 0), 0))</f>
        <v/>
      </c>
      <c r="I348" s="364" t="str">
        <f ca="1">IF( ISNA( VLOOKUP( APIF_Import!$M348 &amp; APIF_Import!$I$1,Podesavanja!$AA$3:$AD$24, 4, 0)), "", VLOOKUP( APIF_Import!$C348, INDIRECT( "Lookup_" &amp; APIF_Import!$M348), VLOOKUP( APIF_Import!$M348 &amp; APIF_Import!$I$1,Podesavanja!$AA$3:$AD$24, 4, 0), 0))</f>
        <v/>
      </c>
      <c r="J348" s="364" t="str">
        <f ca="1">IF( ISNA( VLOOKUP( APIF_Import!$M348 &amp; APIF_Import!$J$1,Podesavanja!$AA$3:$AD$24, 4, 0)), "", VLOOKUP( APIF_Import!$C348, INDIRECT( "Lookup_" &amp; APIF_Import!$M348), VLOOKUP( APIF_Import!$M348 &amp; APIF_Import!$J$1,Podesavanja!$AA$3:$AD$24, 4, 0), 0))</f>
        <v/>
      </c>
      <c r="K348" s="364" t="str">
        <f ca="1">IF( ISNA( VLOOKUP( APIF_Import!$M348 &amp; APIF_Import!$K$1,Podesavanja!$AA$3:$AD$24, 4, 0)), "", VLOOKUP( APIF_Import!$C348, INDIRECT( "Lookup_" &amp; APIF_Import!$M348), VLOOKUP( APIF_Import!$M348 &amp; APIF_Import!$K$1,Podesavanja!$AA$3:$AD$24, 4, 0), 0))</f>
        <v/>
      </c>
      <c r="L348" s="8">
        <v>360</v>
      </c>
      <c r="M348" s="8" t="s">
        <v>1375</v>
      </c>
    </row>
    <row r="349" spans="2:13" x14ac:dyDescent="0.2">
      <c r="B349" s="8">
        <f>VLOOKUP( APIF_Import!$M349, Podesavanja!$N$3:$Q$9, 4, 0)</f>
        <v>4</v>
      </c>
      <c r="C349" s="363">
        <f>VLOOKUP( APIF_Import!$L349, Aop!$A$2:$N$415, 4, 0)</f>
        <v>640</v>
      </c>
      <c r="D349" s="364" t="str">
        <f ca="1">IF( ISNA( VLOOKUP( APIF_Import!$M349 &amp; APIF_Import!$D$1,Podesavanja!$AA$3:$AD$24, 4, 0)), "", SUBSTITUTE( VALUE( VLOOKUP( APIF_Import!$C349, INDIRECT( "Lookup_" &amp; APIF_Import!$M349), VLOOKUP( APIF_Import!$M349 &amp; APIF_Import!$D$1,Podesavanja!$AA$3:$AD$24, 4, 0), 0)), ".", ","))</f>
        <v>0</v>
      </c>
      <c r="E349" s="364" t="str">
        <f ca="1">IF( ISNA( VLOOKUP( APIF_Import!$M349 &amp; APIF_Import!$E$1,Podesavanja!$AA$3:$AD$24, 4, 0)), "", SUBSTITUTE( VALUE( VLOOKUP( APIF_Import!$C349, INDIRECT( "Lookup_" &amp; APIF_Import!$M349), VLOOKUP( APIF_Import!$M349 &amp; APIF_Import!$E$1,Podesavanja!$AA$3:$AD$24, 4, 0), 0)), ".", ","))</f>
        <v>0</v>
      </c>
      <c r="F349" s="364" t="str">
        <f ca="1">IF( ISNA( VLOOKUP( APIF_Import!$M349 &amp; APIF_Import!$F$1,Podesavanja!$AA$3:$AD$24, 4, 0)), "", VLOOKUP( APIF_Import!$C349, INDIRECT( "Lookup_" &amp; APIF_Import!$M349), VLOOKUP( APIF_Import!$M349 &amp; APIF_Import!$F$1,Podesavanja!$AA$3:$AD$24, 4, 0), 0))</f>
        <v/>
      </c>
      <c r="G349" s="364" t="str">
        <f ca="1">IF( ISNA( VLOOKUP( APIF_Import!$M349 &amp; APIF_Import!$G$1,Podesavanja!$AA$3:$AD$24, 4, 0)), "", VLOOKUP( APIF_Import!$C349, INDIRECT( "Lookup_" &amp; APIF_Import!$M349), VLOOKUP( APIF_Import!$M349 &amp; APIF_Import!$G$1,Podesavanja!$AA$3:$AD$24, 4, 0), 0))</f>
        <v/>
      </c>
      <c r="H349" s="364" t="str">
        <f ca="1">IF( ISNA( VLOOKUP( APIF_Import!$M349 &amp; APIF_Import!$H$1,Podesavanja!$AA$3:$AD$24, 4, 0)), "", VLOOKUP( APIF_Import!$C349, INDIRECT( "Lookup_" &amp; APIF_Import!$M349), VLOOKUP( APIF_Import!$M349 &amp; APIF_Import!$H$1,Podesavanja!$AA$3:$AD$24, 4, 0), 0))</f>
        <v/>
      </c>
      <c r="I349" s="364" t="str">
        <f ca="1">IF( ISNA( VLOOKUP( APIF_Import!$M349 &amp; APIF_Import!$I$1,Podesavanja!$AA$3:$AD$24, 4, 0)), "", VLOOKUP( APIF_Import!$C349, INDIRECT( "Lookup_" &amp; APIF_Import!$M349), VLOOKUP( APIF_Import!$M349 &amp; APIF_Import!$I$1,Podesavanja!$AA$3:$AD$24, 4, 0), 0))</f>
        <v/>
      </c>
      <c r="J349" s="364" t="str">
        <f ca="1">IF( ISNA( VLOOKUP( APIF_Import!$M349 &amp; APIF_Import!$J$1,Podesavanja!$AA$3:$AD$24, 4, 0)), "", VLOOKUP( APIF_Import!$C349, INDIRECT( "Lookup_" &amp; APIF_Import!$M349), VLOOKUP( APIF_Import!$M349 &amp; APIF_Import!$J$1,Podesavanja!$AA$3:$AD$24, 4, 0), 0))</f>
        <v/>
      </c>
      <c r="K349" s="364" t="str">
        <f ca="1">IF( ISNA( VLOOKUP( APIF_Import!$M349 &amp; APIF_Import!$K$1,Podesavanja!$AA$3:$AD$24, 4, 0)), "", VLOOKUP( APIF_Import!$C349, INDIRECT( "Lookup_" &amp; APIF_Import!$M349), VLOOKUP( APIF_Import!$M349 &amp; APIF_Import!$K$1,Podesavanja!$AA$3:$AD$24, 4, 0), 0))</f>
        <v/>
      </c>
      <c r="L349" s="8">
        <v>361</v>
      </c>
      <c r="M349" s="8" t="s">
        <v>1375</v>
      </c>
    </row>
    <row r="350" spans="2:13" x14ac:dyDescent="0.2">
      <c r="B350" s="8">
        <f>VLOOKUP( APIF_Import!$M350, Podesavanja!$N$3:$Q$9, 4, 0)</f>
        <v>4</v>
      </c>
      <c r="C350" s="363">
        <f>VLOOKUP( APIF_Import!$L350, Aop!$A$2:$N$415, 4, 0)</f>
        <v>641</v>
      </c>
      <c r="D350" s="364" t="str">
        <f ca="1">IF( ISNA( VLOOKUP( APIF_Import!$M350 &amp; APIF_Import!$D$1,Podesavanja!$AA$3:$AD$24, 4, 0)), "", SUBSTITUTE( VALUE( VLOOKUP( APIF_Import!$C350, INDIRECT( "Lookup_" &amp; APIF_Import!$M350), VLOOKUP( APIF_Import!$M350 &amp; APIF_Import!$D$1,Podesavanja!$AA$3:$AD$24, 4, 0), 0)), ".", ","))</f>
        <v>39956</v>
      </c>
      <c r="E350" s="364" t="str">
        <f ca="1">IF( ISNA( VLOOKUP( APIF_Import!$M350 &amp; APIF_Import!$E$1,Podesavanja!$AA$3:$AD$24, 4, 0)), "", SUBSTITUTE( VALUE( VLOOKUP( APIF_Import!$C350, INDIRECT( "Lookup_" &amp; APIF_Import!$M350), VLOOKUP( APIF_Import!$M350 &amp; APIF_Import!$E$1,Podesavanja!$AA$3:$AD$24, 4, 0), 0)), ".", ","))</f>
        <v>37629</v>
      </c>
      <c r="F350" s="364" t="str">
        <f ca="1">IF( ISNA( VLOOKUP( APIF_Import!$M350 &amp; APIF_Import!$F$1,Podesavanja!$AA$3:$AD$24, 4, 0)), "", VLOOKUP( APIF_Import!$C350, INDIRECT( "Lookup_" &amp; APIF_Import!$M350), VLOOKUP( APIF_Import!$M350 &amp; APIF_Import!$F$1,Podesavanja!$AA$3:$AD$24, 4, 0), 0))</f>
        <v/>
      </c>
      <c r="G350" s="364" t="str">
        <f ca="1">IF( ISNA( VLOOKUP( APIF_Import!$M350 &amp; APIF_Import!$G$1,Podesavanja!$AA$3:$AD$24, 4, 0)), "", VLOOKUP( APIF_Import!$C350, INDIRECT( "Lookup_" &amp; APIF_Import!$M350), VLOOKUP( APIF_Import!$M350 &amp; APIF_Import!$G$1,Podesavanja!$AA$3:$AD$24, 4, 0), 0))</f>
        <v/>
      </c>
      <c r="H350" s="364" t="str">
        <f ca="1">IF( ISNA( VLOOKUP( APIF_Import!$M350 &amp; APIF_Import!$H$1,Podesavanja!$AA$3:$AD$24, 4, 0)), "", VLOOKUP( APIF_Import!$C350, INDIRECT( "Lookup_" &amp; APIF_Import!$M350), VLOOKUP( APIF_Import!$M350 &amp; APIF_Import!$H$1,Podesavanja!$AA$3:$AD$24, 4, 0), 0))</f>
        <v/>
      </c>
      <c r="I350" s="364" t="str">
        <f ca="1">IF( ISNA( VLOOKUP( APIF_Import!$M350 &amp; APIF_Import!$I$1,Podesavanja!$AA$3:$AD$24, 4, 0)), "", VLOOKUP( APIF_Import!$C350, INDIRECT( "Lookup_" &amp; APIF_Import!$M350), VLOOKUP( APIF_Import!$M350 &amp; APIF_Import!$I$1,Podesavanja!$AA$3:$AD$24, 4, 0), 0))</f>
        <v/>
      </c>
      <c r="J350" s="364" t="str">
        <f ca="1">IF( ISNA( VLOOKUP( APIF_Import!$M350 &amp; APIF_Import!$J$1,Podesavanja!$AA$3:$AD$24, 4, 0)), "", VLOOKUP( APIF_Import!$C350, INDIRECT( "Lookup_" &amp; APIF_Import!$M350), VLOOKUP( APIF_Import!$M350 &amp; APIF_Import!$J$1,Podesavanja!$AA$3:$AD$24, 4, 0), 0))</f>
        <v/>
      </c>
      <c r="K350" s="364" t="str">
        <f ca="1">IF( ISNA( VLOOKUP( APIF_Import!$M350 &amp; APIF_Import!$K$1,Podesavanja!$AA$3:$AD$24, 4, 0)), "", VLOOKUP( APIF_Import!$C350, INDIRECT( "Lookup_" &amp; APIF_Import!$M350), VLOOKUP( APIF_Import!$M350 &amp; APIF_Import!$K$1,Podesavanja!$AA$3:$AD$24, 4, 0), 0))</f>
        <v/>
      </c>
      <c r="L350" s="8">
        <v>362</v>
      </c>
      <c r="M350" s="8" t="s">
        <v>1375</v>
      </c>
    </row>
    <row r="351" spans="2:13" x14ac:dyDescent="0.2">
      <c r="B351" s="8">
        <f>VLOOKUP( APIF_Import!$M351, Podesavanja!$N$3:$Q$9, 4, 0)</f>
        <v>4</v>
      </c>
      <c r="C351" s="363">
        <f>VLOOKUP( APIF_Import!$L351, Aop!$A$2:$N$415, 4, 0)</f>
        <v>642</v>
      </c>
      <c r="D351" s="364" t="str">
        <f ca="1">IF( ISNA( VLOOKUP( APIF_Import!$M351 &amp; APIF_Import!$D$1,Podesavanja!$AA$3:$AD$24, 4, 0)), "", SUBSTITUTE( VALUE( VLOOKUP( APIF_Import!$C351, INDIRECT( "Lookup_" &amp; APIF_Import!$M351), VLOOKUP( APIF_Import!$M351 &amp; APIF_Import!$D$1,Podesavanja!$AA$3:$AD$24, 4, 0), 0)), ".", ","))</f>
        <v>165483</v>
      </c>
      <c r="E351" s="364" t="str">
        <f ca="1">IF( ISNA( VLOOKUP( APIF_Import!$M351 &amp; APIF_Import!$E$1,Podesavanja!$AA$3:$AD$24, 4, 0)), "", SUBSTITUTE( VALUE( VLOOKUP( APIF_Import!$C351, INDIRECT( "Lookup_" &amp; APIF_Import!$M351), VLOOKUP( APIF_Import!$M351 &amp; APIF_Import!$E$1,Podesavanja!$AA$3:$AD$24, 4, 0), 0)), ".", ","))</f>
        <v>146367</v>
      </c>
      <c r="F351" s="364" t="str">
        <f ca="1">IF( ISNA( VLOOKUP( APIF_Import!$M351 &amp; APIF_Import!$F$1,Podesavanja!$AA$3:$AD$24, 4, 0)), "", VLOOKUP( APIF_Import!$C351, INDIRECT( "Lookup_" &amp; APIF_Import!$M351), VLOOKUP( APIF_Import!$M351 &amp; APIF_Import!$F$1,Podesavanja!$AA$3:$AD$24, 4, 0), 0))</f>
        <v/>
      </c>
      <c r="G351" s="364" t="str">
        <f ca="1">IF( ISNA( VLOOKUP( APIF_Import!$M351 &amp; APIF_Import!$G$1,Podesavanja!$AA$3:$AD$24, 4, 0)), "", VLOOKUP( APIF_Import!$C351, INDIRECT( "Lookup_" &amp; APIF_Import!$M351), VLOOKUP( APIF_Import!$M351 &amp; APIF_Import!$G$1,Podesavanja!$AA$3:$AD$24, 4, 0), 0))</f>
        <v/>
      </c>
      <c r="H351" s="364" t="str">
        <f ca="1">IF( ISNA( VLOOKUP( APIF_Import!$M351 &amp; APIF_Import!$H$1,Podesavanja!$AA$3:$AD$24, 4, 0)), "", VLOOKUP( APIF_Import!$C351, INDIRECT( "Lookup_" &amp; APIF_Import!$M351), VLOOKUP( APIF_Import!$M351 &amp; APIF_Import!$H$1,Podesavanja!$AA$3:$AD$24, 4, 0), 0))</f>
        <v/>
      </c>
      <c r="I351" s="364" t="str">
        <f ca="1">IF( ISNA( VLOOKUP( APIF_Import!$M351 &amp; APIF_Import!$I$1,Podesavanja!$AA$3:$AD$24, 4, 0)), "", VLOOKUP( APIF_Import!$C351, INDIRECT( "Lookup_" &amp; APIF_Import!$M351), VLOOKUP( APIF_Import!$M351 &amp; APIF_Import!$I$1,Podesavanja!$AA$3:$AD$24, 4, 0), 0))</f>
        <v/>
      </c>
      <c r="J351" s="364" t="str">
        <f ca="1">IF( ISNA( VLOOKUP( APIF_Import!$M351 &amp; APIF_Import!$J$1,Podesavanja!$AA$3:$AD$24, 4, 0)), "", VLOOKUP( APIF_Import!$C351, INDIRECT( "Lookup_" &amp; APIF_Import!$M351), VLOOKUP( APIF_Import!$M351 &amp; APIF_Import!$J$1,Podesavanja!$AA$3:$AD$24, 4, 0), 0))</f>
        <v/>
      </c>
      <c r="K351" s="364" t="str">
        <f ca="1">IF( ISNA( VLOOKUP( APIF_Import!$M351 &amp; APIF_Import!$K$1,Podesavanja!$AA$3:$AD$24, 4, 0)), "", VLOOKUP( APIF_Import!$C351, INDIRECT( "Lookup_" &amp; APIF_Import!$M351), VLOOKUP( APIF_Import!$M351 &amp; APIF_Import!$K$1,Podesavanja!$AA$3:$AD$24, 4, 0), 0))</f>
        <v/>
      </c>
      <c r="L351" s="8">
        <v>363</v>
      </c>
      <c r="M351" s="8" t="s">
        <v>1375</v>
      </c>
    </row>
    <row r="352" spans="2:13" x14ac:dyDescent="0.2">
      <c r="B352" s="8">
        <f>VLOOKUP( APIF_Import!$M352, Podesavanja!$N$3:$Q$9, 4, 0)</f>
        <v>4</v>
      </c>
      <c r="C352" s="363">
        <f>VLOOKUP( APIF_Import!$L352, Aop!$A$2:$N$415, 4, 0)</f>
        <v>643</v>
      </c>
      <c r="D352" s="364" t="str">
        <f ca="1">IF( ISNA( VLOOKUP( APIF_Import!$M352 &amp; APIF_Import!$D$1,Podesavanja!$AA$3:$AD$24, 4, 0)), "", SUBSTITUTE( VALUE( VLOOKUP( APIF_Import!$C352, INDIRECT( "Lookup_" &amp; APIF_Import!$M352), VLOOKUP( APIF_Import!$M352 &amp; APIF_Import!$D$1,Podesavanja!$AA$3:$AD$24, 4, 0), 0)), ".", ","))</f>
        <v>0</v>
      </c>
      <c r="E352" s="364" t="str">
        <f ca="1">IF( ISNA( VLOOKUP( APIF_Import!$M352 &amp; APIF_Import!$E$1,Podesavanja!$AA$3:$AD$24, 4, 0)), "", SUBSTITUTE( VALUE( VLOOKUP( APIF_Import!$C352, INDIRECT( "Lookup_" &amp; APIF_Import!$M352), VLOOKUP( APIF_Import!$M352 &amp; APIF_Import!$E$1,Podesavanja!$AA$3:$AD$24, 4, 0), 0)), ".", ","))</f>
        <v>0</v>
      </c>
      <c r="F352" s="364" t="str">
        <f ca="1">IF( ISNA( VLOOKUP( APIF_Import!$M352 &amp; APIF_Import!$F$1,Podesavanja!$AA$3:$AD$24, 4, 0)), "", VLOOKUP( APIF_Import!$C352, INDIRECT( "Lookup_" &amp; APIF_Import!$M352), VLOOKUP( APIF_Import!$M352 &amp; APIF_Import!$F$1,Podesavanja!$AA$3:$AD$24, 4, 0), 0))</f>
        <v/>
      </c>
      <c r="G352" s="364" t="str">
        <f ca="1">IF( ISNA( VLOOKUP( APIF_Import!$M352 &amp; APIF_Import!$G$1,Podesavanja!$AA$3:$AD$24, 4, 0)), "", VLOOKUP( APIF_Import!$C352, INDIRECT( "Lookup_" &amp; APIF_Import!$M352), VLOOKUP( APIF_Import!$M352 &amp; APIF_Import!$G$1,Podesavanja!$AA$3:$AD$24, 4, 0), 0))</f>
        <v/>
      </c>
      <c r="H352" s="364" t="str">
        <f ca="1">IF( ISNA( VLOOKUP( APIF_Import!$M352 &amp; APIF_Import!$H$1,Podesavanja!$AA$3:$AD$24, 4, 0)), "", VLOOKUP( APIF_Import!$C352, INDIRECT( "Lookup_" &amp; APIF_Import!$M352), VLOOKUP( APIF_Import!$M352 &amp; APIF_Import!$H$1,Podesavanja!$AA$3:$AD$24, 4, 0), 0))</f>
        <v/>
      </c>
      <c r="I352" s="364" t="str">
        <f ca="1">IF( ISNA( VLOOKUP( APIF_Import!$M352 &amp; APIF_Import!$I$1,Podesavanja!$AA$3:$AD$24, 4, 0)), "", VLOOKUP( APIF_Import!$C352, INDIRECT( "Lookup_" &amp; APIF_Import!$M352), VLOOKUP( APIF_Import!$M352 &amp; APIF_Import!$I$1,Podesavanja!$AA$3:$AD$24, 4, 0), 0))</f>
        <v/>
      </c>
      <c r="J352" s="364" t="str">
        <f ca="1">IF( ISNA( VLOOKUP( APIF_Import!$M352 &amp; APIF_Import!$J$1,Podesavanja!$AA$3:$AD$24, 4, 0)), "", VLOOKUP( APIF_Import!$C352, INDIRECT( "Lookup_" &amp; APIF_Import!$M352), VLOOKUP( APIF_Import!$M352 &amp; APIF_Import!$J$1,Podesavanja!$AA$3:$AD$24, 4, 0), 0))</f>
        <v/>
      </c>
      <c r="K352" s="364" t="str">
        <f ca="1">IF( ISNA( VLOOKUP( APIF_Import!$M352 &amp; APIF_Import!$K$1,Podesavanja!$AA$3:$AD$24, 4, 0)), "", VLOOKUP( APIF_Import!$C352, INDIRECT( "Lookup_" &amp; APIF_Import!$M352), VLOOKUP( APIF_Import!$M352 &amp; APIF_Import!$K$1,Podesavanja!$AA$3:$AD$24, 4, 0), 0))</f>
        <v/>
      </c>
      <c r="L352" s="8">
        <v>364</v>
      </c>
      <c r="M352" s="8" t="s">
        <v>1375</v>
      </c>
    </row>
    <row r="353" spans="2:13" x14ac:dyDescent="0.2">
      <c r="B353" s="8">
        <f>VLOOKUP( APIF_Import!$M353, Podesavanja!$N$3:$Q$9, 4, 0)</f>
        <v>4</v>
      </c>
      <c r="C353" s="363">
        <f>VLOOKUP( APIF_Import!$L353, Aop!$A$2:$N$415, 4, 0)</f>
        <v>644</v>
      </c>
      <c r="D353" s="364" t="str">
        <f ca="1">IF( ISNA( VLOOKUP( APIF_Import!$M353 &amp; APIF_Import!$D$1,Podesavanja!$AA$3:$AD$24, 4, 0)), "", SUBSTITUTE( VALUE( VLOOKUP( APIF_Import!$C353, INDIRECT( "Lookup_" &amp; APIF_Import!$M353), VLOOKUP( APIF_Import!$M353 &amp; APIF_Import!$D$1,Podesavanja!$AA$3:$AD$24, 4, 0), 0)), ".", ","))</f>
        <v>73332</v>
      </c>
      <c r="E353" s="364" t="str">
        <f ca="1">IF( ISNA( VLOOKUP( APIF_Import!$M353 &amp; APIF_Import!$E$1,Podesavanja!$AA$3:$AD$24, 4, 0)), "", SUBSTITUTE( VALUE( VLOOKUP( APIF_Import!$C353, INDIRECT( "Lookup_" &amp; APIF_Import!$M353), VLOOKUP( APIF_Import!$M353 &amp; APIF_Import!$E$1,Podesavanja!$AA$3:$AD$24, 4, 0), 0)), ".", ","))</f>
        <v>63316</v>
      </c>
      <c r="F353" s="364" t="str">
        <f ca="1">IF( ISNA( VLOOKUP( APIF_Import!$M353 &amp; APIF_Import!$F$1,Podesavanja!$AA$3:$AD$24, 4, 0)), "", VLOOKUP( APIF_Import!$C353, INDIRECT( "Lookup_" &amp; APIF_Import!$M353), VLOOKUP( APIF_Import!$M353 &amp; APIF_Import!$F$1,Podesavanja!$AA$3:$AD$24, 4, 0), 0))</f>
        <v/>
      </c>
      <c r="G353" s="364" t="str">
        <f ca="1">IF( ISNA( VLOOKUP( APIF_Import!$M353 &amp; APIF_Import!$G$1,Podesavanja!$AA$3:$AD$24, 4, 0)), "", VLOOKUP( APIF_Import!$C353, INDIRECT( "Lookup_" &amp; APIF_Import!$M353), VLOOKUP( APIF_Import!$M353 &amp; APIF_Import!$G$1,Podesavanja!$AA$3:$AD$24, 4, 0), 0))</f>
        <v/>
      </c>
      <c r="H353" s="364" t="str">
        <f ca="1">IF( ISNA( VLOOKUP( APIF_Import!$M353 &amp; APIF_Import!$H$1,Podesavanja!$AA$3:$AD$24, 4, 0)), "", VLOOKUP( APIF_Import!$C353, INDIRECT( "Lookup_" &amp; APIF_Import!$M353), VLOOKUP( APIF_Import!$M353 &amp; APIF_Import!$H$1,Podesavanja!$AA$3:$AD$24, 4, 0), 0))</f>
        <v/>
      </c>
      <c r="I353" s="364" t="str">
        <f ca="1">IF( ISNA( VLOOKUP( APIF_Import!$M353 &amp; APIF_Import!$I$1,Podesavanja!$AA$3:$AD$24, 4, 0)), "", VLOOKUP( APIF_Import!$C353, INDIRECT( "Lookup_" &amp; APIF_Import!$M353), VLOOKUP( APIF_Import!$M353 &amp; APIF_Import!$I$1,Podesavanja!$AA$3:$AD$24, 4, 0), 0))</f>
        <v/>
      </c>
      <c r="J353" s="364" t="str">
        <f ca="1">IF( ISNA( VLOOKUP( APIF_Import!$M353 &amp; APIF_Import!$J$1,Podesavanja!$AA$3:$AD$24, 4, 0)), "", VLOOKUP( APIF_Import!$C353, INDIRECT( "Lookup_" &amp; APIF_Import!$M353), VLOOKUP( APIF_Import!$M353 &amp; APIF_Import!$J$1,Podesavanja!$AA$3:$AD$24, 4, 0), 0))</f>
        <v/>
      </c>
      <c r="K353" s="364" t="str">
        <f ca="1">IF( ISNA( VLOOKUP( APIF_Import!$M353 &amp; APIF_Import!$K$1,Podesavanja!$AA$3:$AD$24, 4, 0)), "", VLOOKUP( APIF_Import!$C353, INDIRECT( "Lookup_" &amp; APIF_Import!$M353), VLOOKUP( APIF_Import!$M353 &amp; APIF_Import!$K$1,Podesavanja!$AA$3:$AD$24, 4, 0), 0))</f>
        <v/>
      </c>
      <c r="L353" s="8">
        <v>365</v>
      </c>
      <c r="M353" s="8" t="s">
        <v>1375</v>
      </c>
    </row>
    <row r="354" spans="2:13" x14ac:dyDescent="0.2">
      <c r="B354" s="8">
        <f>VLOOKUP( APIF_Import!$M354, Podesavanja!$N$3:$Q$9, 4, 0)</f>
        <v>4</v>
      </c>
      <c r="C354" s="363">
        <f>VLOOKUP( APIF_Import!$L354, Aop!$A$2:$N$415, 4, 0)</f>
        <v>645</v>
      </c>
      <c r="D354" s="364" t="str">
        <f ca="1">IF( ISNA( VLOOKUP( APIF_Import!$M354 &amp; APIF_Import!$D$1,Podesavanja!$AA$3:$AD$24, 4, 0)), "", SUBSTITUTE( VALUE( VLOOKUP( APIF_Import!$C354, INDIRECT( "Lookup_" &amp; APIF_Import!$M354), VLOOKUP( APIF_Import!$M354 &amp; APIF_Import!$D$1,Podesavanja!$AA$3:$AD$24, 4, 0), 0)), ".", ","))</f>
        <v>14408</v>
      </c>
      <c r="E354" s="364" t="str">
        <f ca="1">IF( ISNA( VLOOKUP( APIF_Import!$M354 &amp; APIF_Import!$E$1,Podesavanja!$AA$3:$AD$24, 4, 0)), "", SUBSTITUTE( VALUE( VLOOKUP( APIF_Import!$C354, INDIRECT( "Lookup_" &amp; APIF_Import!$M354), VLOOKUP( APIF_Import!$M354 &amp; APIF_Import!$E$1,Podesavanja!$AA$3:$AD$24, 4, 0), 0)), ".", ","))</f>
        <v>12895</v>
      </c>
      <c r="F354" s="364" t="str">
        <f ca="1">IF( ISNA( VLOOKUP( APIF_Import!$M354 &amp; APIF_Import!$F$1,Podesavanja!$AA$3:$AD$24, 4, 0)), "", VLOOKUP( APIF_Import!$C354, INDIRECT( "Lookup_" &amp; APIF_Import!$M354), VLOOKUP( APIF_Import!$M354 &amp; APIF_Import!$F$1,Podesavanja!$AA$3:$AD$24, 4, 0), 0))</f>
        <v/>
      </c>
      <c r="G354" s="364" t="str">
        <f ca="1">IF( ISNA( VLOOKUP( APIF_Import!$M354 &amp; APIF_Import!$G$1,Podesavanja!$AA$3:$AD$24, 4, 0)), "", VLOOKUP( APIF_Import!$C354, INDIRECT( "Lookup_" &amp; APIF_Import!$M354), VLOOKUP( APIF_Import!$M354 &amp; APIF_Import!$G$1,Podesavanja!$AA$3:$AD$24, 4, 0), 0))</f>
        <v/>
      </c>
      <c r="H354" s="364" t="str">
        <f ca="1">IF( ISNA( VLOOKUP( APIF_Import!$M354 &amp; APIF_Import!$H$1,Podesavanja!$AA$3:$AD$24, 4, 0)), "", VLOOKUP( APIF_Import!$C354, INDIRECT( "Lookup_" &amp; APIF_Import!$M354), VLOOKUP( APIF_Import!$M354 &amp; APIF_Import!$H$1,Podesavanja!$AA$3:$AD$24, 4, 0), 0))</f>
        <v/>
      </c>
      <c r="I354" s="364" t="str">
        <f ca="1">IF( ISNA( VLOOKUP( APIF_Import!$M354 &amp; APIF_Import!$I$1,Podesavanja!$AA$3:$AD$24, 4, 0)), "", VLOOKUP( APIF_Import!$C354, INDIRECT( "Lookup_" &amp; APIF_Import!$M354), VLOOKUP( APIF_Import!$M354 &amp; APIF_Import!$I$1,Podesavanja!$AA$3:$AD$24, 4, 0), 0))</f>
        <v/>
      </c>
      <c r="J354" s="364" t="str">
        <f ca="1">IF( ISNA( VLOOKUP( APIF_Import!$M354 &amp; APIF_Import!$J$1,Podesavanja!$AA$3:$AD$24, 4, 0)), "", VLOOKUP( APIF_Import!$C354, INDIRECT( "Lookup_" &amp; APIF_Import!$M354), VLOOKUP( APIF_Import!$M354 &amp; APIF_Import!$J$1,Podesavanja!$AA$3:$AD$24, 4, 0), 0))</f>
        <v/>
      </c>
      <c r="K354" s="364" t="str">
        <f ca="1">IF( ISNA( VLOOKUP( APIF_Import!$M354 &amp; APIF_Import!$K$1,Podesavanja!$AA$3:$AD$24, 4, 0)), "", VLOOKUP( APIF_Import!$C354, INDIRECT( "Lookup_" &amp; APIF_Import!$M354), VLOOKUP( APIF_Import!$M354 &amp; APIF_Import!$K$1,Podesavanja!$AA$3:$AD$24, 4, 0), 0))</f>
        <v/>
      </c>
      <c r="L354" s="8">
        <v>366</v>
      </c>
      <c r="M354" s="8" t="s">
        <v>1375</v>
      </c>
    </row>
    <row r="355" spans="2:13" x14ac:dyDescent="0.2">
      <c r="B355" s="8">
        <f>VLOOKUP( APIF_Import!$M355, Podesavanja!$N$3:$Q$9, 4, 0)</f>
        <v>4</v>
      </c>
      <c r="C355" s="363">
        <f>VLOOKUP( APIF_Import!$L355, Aop!$A$2:$N$415, 4, 0)</f>
        <v>646</v>
      </c>
      <c r="D355" s="364" t="str">
        <f ca="1">IF( ISNA( VLOOKUP( APIF_Import!$M355 &amp; APIF_Import!$D$1,Podesavanja!$AA$3:$AD$24, 4, 0)), "", SUBSTITUTE( VALUE( VLOOKUP( APIF_Import!$C355, INDIRECT( "Lookup_" &amp; APIF_Import!$M355), VLOOKUP( APIF_Import!$M355 &amp; APIF_Import!$D$1,Podesavanja!$AA$3:$AD$24, 4, 0), 0)), ".", ","))</f>
        <v>0</v>
      </c>
      <c r="E355" s="364" t="str">
        <f ca="1">IF( ISNA( VLOOKUP( APIF_Import!$M355 &amp; APIF_Import!$E$1,Podesavanja!$AA$3:$AD$24, 4, 0)), "", SUBSTITUTE( VALUE( VLOOKUP( APIF_Import!$C355, INDIRECT( "Lookup_" &amp; APIF_Import!$M355), VLOOKUP( APIF_Import!$M355 &amp; APIF_Import!$E$1,Podesavanja!$AA$3:$AD$24, 4, 0), 0)), ".", ","))</f>
        <v>0</v>
      </c>
      <c r="F355" s="364" t="str">
        <f ca="1">IF( ISNA( VLOOKUP( APIF_Import!$M355 &amp; APIF_Import!$F$1,Podesavanja!$AA$3:$AD$24, 4, 0)), "", VLOOKUP( APIF_Import!$C355, INDIRECT( "Lookup_" &amp; APIF_Import!$M355), VLOOKUP( APIF_Import!$M355 &amp; APIF_Import!$F$1,Podesavanja!$AA$3:$AD$24, 4, 0), 0))</f>
        <v/>
      </c>
      <c r="G355" s="364" t="str">
        <f ca="1">IF( ISNA( VLOOKUP( APIF_Import!$M355 &amp; APIF_Import!$G$1,Podesavanja!$AA$3:$AD$24, 4, 0)), "", VLOOKUP( APIF_Import!$C355, INDIRECT( "Lookup_" &amp; APIF_Import!$M355), VLOOKUP( APIF_Import!$M355 &amp; APIF_Import!$G$1,Podesavanja!$AA$3:$AD$24, 4, 0), 0))</f>
        <v/>
      </c>
      <c r="H355" s="364" t="str">
        <f ca="1">IF( ISNA( VLOOKUP( APIF_Import!$M355 &amp; APIF_Import!$H$1,Podesavanja!$AA$3:$AD$24, 4, 0)), "", VLOOKUP( APIF_Import!$C355, INDIRECT( "Lookup_" &amp; APIF_Import!$M355), VLOOKUP( APIF_Import!$M355 &amp; APIF_Import!$H$1,Podesavanja!$AA$3:$AD$24, 4, 0), 0))</f>
        <v/>
      </c>
      <c r="I355" s="364" t="str">
        <f ca="1">IF( ISNA( VLOOKUP( APIF_Import!$M355 &amp; APIF_Import!$I$1,Podesavanja!$AA$3:$AD$24, 4, 0)), "", VLOOKUP( APIF_Import!$C355, INDIRECT( "Lookup_" &amp; APIF_Import!$M355), VLOOKUP( APIF_Import!$M355 &amp; APIF_Import!$I$1,Podesavanja!$AA$3:$AD$24, 4, 0), 0))</f>
        <v/>
      </c>
      <c r="J355" s="364" t="str">
        <f ca="1">IF( ISNA( VLOOKUP( APIF_Import!$M355 &amp; APIF_Import!$J$1,Podesavanja!$AA$3:$AD$24, 4, 0)), "", VLOOKUP( APIF_Import!$C355, INDIRECT( "Lookup_" &amp; APIF_Import!$M355), VLOOKUP( APIF_Import!$M355 &amp; APIF_Import!$J$1,Podesavanja!$AA$3:$AD$24, 4, 0), 0))</f>
        <v/>
      </c>
      <c r="K355" s="364" t="str">
        <f ca="1">IF( ISNA( VLOOKUP( APIF_Import!$M355 &amp; APIF_Import!$K$1,Podesavanja!$AA$3:$AD$24, 4, 0)), "", VLOOKUP( APIF_Import!$C355, INDIRECT( "Lookup_" &amp; APIF_Import!$M355), VLOOKUP( APIF_Import!$M355 &amp; APIF_Import!$K$1,Podesavanja!$AA$3:$AD$24, 4, 0), 0))</f>
        <v/>
      </c>
      <c r="L355" s="8">
        <v>367</v>
      </c>
      <c r="M355" s="8" t="s">
        <v>1375</v>
      </c>
    </row>
    <row r="356" spans="2:13" x14ac:dyDescent="0.2">
      <c r="B356" s="8">
        <f>VLOOKUP( APIF_Import!$M356, Podesavanja!$N$3:$Q$9, 4, 0)</f>
        <v>4</v>
      </c>
      <c r="C356" s="363">
        <f>VLOOKUP( APIF_Import!$L356, Aop!$A$2:$N$415, 4, 0)</f>
        <v>647</v>
      </c>
      <c r="D356" s="364" t="str">
        <f ca="1">IF( ISNA( VLOOKUP( APIF_Import!$M356 &amp; APIF_Import!$D$1,Podesavanja!$AA$3:$AD$24, 4, 0)), "", SUBSTITUTE( VALUE( VLOOKUP( APIF_Import!$C356, INDIRECT( "Lookup_" &amp; APIF_Import!$M356), VLOOKUP( APIF_Import!$M356 &amp; APIF_Import!$D$1,Podesavanja!$AA$3:$AD$24, 4, 0), 0)), ".", ","))</f>
        <v>99144</v>
      </c>
      <c r="E356" s="364" t="str">
        <f ca="1">IF( ISNA( VLOOKUP( APIF_Import!$M356 &amp; APIF_Import!$E$1,Podesavanja!$AA$3:$AD$24, 4, 0)), "", SUBSTITUTE( VALUE( VLOOKUP( APIF_Import!$C356, INDIRECT( "Lookup_" &amp; APIF_Import!$M356), VLOOKUP( APIF_Import!$M356 &amp; APIF_Import!$E$1,Podesavanja!$AA$3:$AD$24, 4, 0), 0)), ".", ","))</f>
        <v>76510</v>
      </c>
      <c r="F356" s="364" t="str">
        <f ca="1">IF( ISNA( VLOOKUP( APIF_Import!$M356 &amp; APIF_Import!$F$1,Podesavanja!$AA$3:$AD$24, 4, 0)), "", VLOOKUP( APIF_Import!$C356, INDIRECT( "Lookup_" &amp; APIF_Import!$M356), VLOOKUP( APIF_Import!$M356 &amp; APIF_Import!$F$1,Podesavanja!$AA$3:$AD$24, 4, 0), 0))</f>
        <v/>
      </c>
      <c r="G356" s="364" t="str">
        <f ca="1">IF( ISNA( VLOOKUP( APIF_Import!$M356 &amp; APIF_Import!$G$1,Podesavanja!$AA$3:$AD$24, 4, 0)), "", VLOOKUP( APIF_Import!$C356, INDIRECT( "Lookup_" &amp; APIF_Import!$M356), VLOOKUP( APIF_Import!$M356 &amp; APIF_Import!$G$1,Podesavanja!$AA$3:$AD$24, 4, 0), 0))</f>
        <v/>
      </c>
      <c r="H356" s="364" t="str">
        <f ca="1">IF( ISNA( VLOOKUP( APIF_Import!$M356 &amp; APIF_Import!$H$1,Podesavanja!$AA$3:$AD$24, 4, 0)), "", VLOOKUP( APIF_Import!$C356, INDIRECT( "Lookup_" &amp; APIF_Import!$M356), VLOOKUP( APIF_Import!$M356 &amp; APIF_Import!$H$1,Podesavanja!$AA$3:$AD$24, 4, 0), 0))</f>
        <v/>
      </c>
      <c r="I356" s="364" t="str">
        <f ca="1">IF( ISNA( VLOOKUP( APIF_Import!$M356 &amp; APIF_Import!$I$1,Podesavanja!$AA$3:$AD$24, 4, 0)), "", VLOOKUP( APIF_Import!$C356, INDIRECT( "Lookup_" &amp; APIF_Import!$M356), VLOOKUP( APIF_Import!$M356 &amp; APIF_Import!$I$1,Podesavanja!$AA$3:$AD$24, 4, 0), 0))</f>
        <v/>
      </c>
      <c r="J356" s="364" t="str">
        <f ca="1">IF( ISNA( VLOOKUP( APIF_Import!$M356 &amp; APIF_Import!$J$1,Podesavanja!$AA$3:$AD$24, 4, 0)), "", VLOOKUP( APIF_Import!$C356, INDIRECT( "Lookup_" &amp; APIF_Import!$M356), VLOOKUP( APIF_Import!$M356 &amp; APIF_Import!$J$1,Podesavanja!$AA$3:$AD$24, 4, 0), 0))</f>
        <v/>
      </c>
      <c r="K356" s="364" t="str">
        <f ca="1">IF( ISNA( VLOOKUP( APIF_Import!$M356 &amp; APIF_Import!$K$1,Podesavanja!$AA$3:$AD$24, 4, 0)), "", VLOOKUP( APIF_Import!$C356, INDIRECT( "Lookup_" &amp; APIF_Import!$M356), VLOOKUP( APIF_Import!$M356 &amp; APIF_Import!$K$1,Podesavanja!$AA$3:$AD$24, 4, 0), 0))</f>
        <v/>
      </c>
      <c r="L356" s="8">
        <v>368</v>
      </c>
      <c r="M356" s="8" t="s">
        <v>1375</v>
      </c>
    </row>
    <row r="357" spans="2:13" x14ac:dyDescent="0.2">
      <c r="B357" s="8">
        <f>VLOOKUP( APIF_Import!$M357, Podesavanja!$N$3:$Q$9, 4, 0)</f>
        <v>4</v>
      </c>
      <c r="C357" s="363">
        <f>VLOOKUP( APIF_Import!$L357, Aop!$A$2:$N$415, 4, 0)</f>
        <v>648</v>
      </c>
      <c r="D357" s="364" t="str">
        <f ca="1">IF( ISNA( VLOOKUP( APIF_Import!$M357 &amp; APIF_Import!$D$1,Podesavanja!$AA$3:$AD$24, 4, 0)), "", SUBSTITUTE( VALUE( VLOOKUP( APIF_Import!$C357, INDIRECT( "Lookup_" &amp; APIF_Import!$M357), VLOOKUP( APIF_Import!$M357 &amp; APIF_Import!$D$1,Podesavanja!$AA$3:$AD$24, 4, 0), 0)), ".", ","))</f>
        <v>0</v>
      </c>
      <c r="E357" s="364" t="str">
        <f ca="1">IF( ISNA( VLOOKUP( APIF_Import!$M357 &amp; APIF_Import!$E$1,Podesavanja!$AA$3:$AD$24, 4, 0)), "", SUBSTITUTE( VALUE( VLOOKUP( APIF_Import!$C357, INDIRECT( "Lookup_" &amp; APIF_Import!$M357), VLOOKUP( APIF_Import!$M357 &amp; APIF_Import!$E$1,Podesavanja!$AA$3:$AD$24, 4, 0), 0)), ".", ","))</f>
        <v>0</v>
      </c>
      <c r="F357" s="364" t="str">
        <f ca="1">IF( ISNA( VLOOKUP( APIF_Import!$M357 &amp; APIF_Import!$F$1,Podesavanja!$AA$3:$AD$24, 4, 0)), "", VLOOKUP( APIF_Import!$C357, INDIRECT( "Lookup_" &amp; APIF_Import!$M357), VLOOKUP( APIF_Import!$M357 &amp; APIF_Import!$F$1,Podesavanja!$AA$3:$AD$24, 4, 0), 0))</f>
        <v/>
      </c>
      <c r="G357" s="364" t="str">
        <f ca="1">IF( ISNA( VLOOKUP( APIF_Import!$M357 &amp; APIF_Import!$G$1,Podesavanja!$AA$3:$AD$24, 4, 0)), "", VLOOKUP( APIF_Import!$C357, INDIRECT( "Lookup_" &amp; APIF_Import!$M357), VLOOKUP( APIF_Import!$M357 &amp; APIF_Import!$G$1,Podesavanja!$AA$3:$AD$24, 4, 0), 0))</f>
        <v/>
      </c>
      <c r="H357" s="364" t="str">
        <f ca="1">IF( ISNA( VLOOKUP( APIF_Import!$M357 &amp; APIF_Import!$H$1,Podesavanja!$AA$3:$AD$24, 4, 0)), "", VLOOKUP( APIF_Import!$C357, INDIRECT( "Lookup_" &amp; APIF_Import!$M357), VLOOKUP( APIF_Import!$M357 &amp; APIF_Import!$H$1,Podesavanja!$AA$3:$AD$24, 4, 0), 0))</f>
        <v/>
      </c>
      <c r="I357" s="364" t="str">
        <f ca="1">IF( ISNA( VLOOKUP( APIF_Import!$M357 &amp; APIF_Import!$I$1,Podesavanja!$AA$3:$AD$24, 4, 0)), "", VLOOKUP( APIF_Import!$C357, INDIRECT( "Lookup_" &amp; APIF_Import!$M357), VLOOKUP( APIF_Import!$M357 &amp; APIF_Import!$I$1,Podesavanja!$AA$3:$AD$24, 4, 0), 0))</f>
        <v/>
      </c>
      <c r="J357" s="364" t="str">
        <f ca="1">IF( ISNA( VLOOKUP( APIF_Import!$M357 &amp; APIF_Import!$J$1,Podesavanja!$AA$3:$AD$24, 4, 0)), "", VLOOKUP( APIF_Import!$C357, INDIRECT( "Lookup_" &amp; APIF_Import!$M357), VLOOKUP( APIF_Import!$M357 &amp; APIF_Import!$J$1,Podesavanja!$AA$3:$AD$24, 4, 0), 0))</f>
        <v/>
      </c>
      <c r="K357" s="364" t="str">
        <f ca="1">IF( ISNA( VLOOKUP( APIF_Import!$M357 &amp; APIF_Import!$K$1,Podesavanja!$AA$3:$AD$24, 4, 0)), "", VLOOKUP( APIF_Import!$C357, INDIRECT( "Lookup_" &amp; APIF_Import!$M357), VLOOKUP( APIF_Import!$M357 &amp; APIF_Import!$K$1,Podesavanja!$AA$3:$AD$24, 4, 0), 0))</f>
        <v/>
      </c>
      <c r="L357" s="8">
        <v>369</v>
      </c>
      <c r="M357" s="8" t="s">
        <v>1375</v>
      </c>
    </row>
    <row r="358" spans="2:13" x14ac:dyDescent="0.2">
      <c r="B358" s="8">
        <f>VLOOKUP( APIF_Import!$M358, Podesavanja!$N$3:$Q$9, 4, 0)</f>
        <v>4</v>
      </c>
      <c r="C358" s="363">
        <f>VLOOKUP( APIF_Import!$L358, Aop!$A$2:$N$415, 4, 0)</f>
        <v>649</v>
      </c>
      <c r="D358" s="364" t="str">
        <f ca="1">IF( ISNA( VLOOKUP( APIF_Import!$M358 &amp; APIF_Import!$D$1,Podesavanja!$AA$3:$AD$24, 4, 0)), "", SUBSTITUTE( VALUE( VLOOKUP( APIF_Import!$C358, INDIRECT( "Lookup_" &amp; APIF_Import!$M358), VLOOKUP( APIF_Import!$M358 &amp; APIF_Import!$D$1,Podesavanja!$AA$3:$AD$24, 4, 0), 0)), ".", ","))</f>
        <v>200524</v>
      </c>
      <c r="E358" s="364" t="str">
        <f ca="1">IF( ISNA( VLOOKUP( APIF_Import!$M358 &amp; APIF_Import!$E$1,Podesavanja!$AA$3:$AD$24, 4, 0)), "", SUBSTITUTE( VALUE( VLOOKUP( APIF_Import!$C358, INDIRECT( "Lookup_" &amp; APIF_Import!$M358), VLOOKUP( APIF_Import!$M358 &amp; APIF_Import!$E$1,Podesavanja!$AA$3:$AD$24, 4, 0), 0)), ".", ","))</f>
        <v>185443</v>
      </c>
      <c r="F358" s="364" t="str">
        <f ca="1">IF( ISNA( VLOOKUP( APIF_Import!$M358 &amp; APIF_Import!$F$1,Podesavanja!$AA$3:$AD$24, 4, 0)), "", VLOOKUP( APIF_Import!$C358, INDIRECT( "Lookup_" &amp; APIF_Import!$M358), VLOOKUP( APIF_Import!$M358 &amp; APIF_Import!$F$1,Podesavanja!$AA$3:$AD$24, 4, 0), 0))</f>
        <v/>
      </c>
      <c r="G358" s="364" t="str">
        <f ca="1">IF( ISNA( VLOOKUP( APIF_Import!$M358 &amp; APIF_Import!$G$1,Podesavanja!$AA$3:$AD$24, 4, 0)), "", VLOOKUP( APIF_Import!$C358, INDIRECT( "Lookup_" &amp; APIF_Import!$M358), VLOOKUP( APIF_Import!$M358 &amp; APIF_Import!$G$1,Podesavanja!$AA$3:$AD$24, 4, 0), 0))</f>
        <v/>
      </c>
      <c r="H358" s="364" t="str">
        <f ca="1">IF( ISNA( VLOOKUP( APIF_Import!$M358 &amp; APIF_Import!$H$1,Podesavanja!$AA$3:$AD$24, 4, 0)), "", VLOOKUP( APIF_Import!$C358, INDIRECT( "Lookup_" &amp; APIF_Import!$M358), VLOOKUP( APIF_Import!$M358 &amp; APIF_Import!$H$1,Podesavanja!$AA$3:$AD$24, 4, 0), 0))</f>
        <v/>
      </c>
      <c r="I358" s="364" t="str">
        <f ca="1">IF( ISNA( VLOOKUP( APIF_Import!$M358 &amp; APIF_Import!$I$1,Podesavanja!$AA$3:$AD$24, 4, 0)), "", VLOOKUP( APIF_Import!$C358, INDIRECT( "Lookup_" &amp; APIF_Import!$M358), VLOOKUP( APIF_Import!$M358 &amp; APIF_Import!$I$1,Podesavanja!$AA$3:$AD$24, 4, 0), 0))</f>
        <v/>
      </c>
      <c r="J358" s="364" t="str">
        <f ca="1">IF( ISNA( VLOOKUP( APIF_Import!$M358 &amp; APIF_Import!$J$1,Podesavanja!$AA$3:$AD$24, 4, 0)), "", VLOOKUP( APIF_Import!$C358, INDIRECT( "Lookup_" &amp; APIF_Import!$M358), VLOOKUP( APIF_Import!$M358 &amp; APIF_Import!$J$1,Podesavanja!$AA$3:$AD$24, 4, 0), 0))</f>
        <v/>
      </c>
      <c r="K358" s="364" t="str">
        <f ca="1">IF( ISNA( VLOOKUP( APIF_Import!$M358 &amp; APIF_Import!$K$1,Podesavanja!$AA$3:$AD$24, 4, 0)), "", VLOOKUP( APIF_Import!$C358, INDIRECT( "Lookup_" &amp; APIF_Import!$M358), VLOOKUP( APIF_Import!$M358 &amp; APIF_Import!$K$1,Podesavanja!$AA$3:$AD$24, 4, 0), 0))</f>
        <v/>
      </c>
      <c r="L358" s="8">
        <v>370</v>
      </c>
      <c r="M358" s="8" t="s">
        <v>1375</v>
      </c>
    </row>
    <row r="359" spans="2:13" x14ac:dyDescent="0.2">
      <c r="B359" s="8">
        <f>VLOOKUP( APIF_Import!$M359, Podesavanja!$N$3:$Q$9, 4, 0)</f>
        <v>4</v>
      </c>
      <c r="C359" s="363">
        <f>VLOOKUP( APIF_Import!$L359, Aop!$A$2:$N$415, 4, 0)</f>
        <v>650</v>
      </c>
      <c r="D359" s="364" t="str">
        <f ca="1">IF( ISNA( VLOOKUP( APIF_Import!$M359 &amp; APIF_Import!$D$1,Podesavanja!$AA$3:$AD$24, 4, 0)), "", SUBSTITUTE( VALUE( VLOOKUP( APIF_Import!$C359, INDIRECT( "Lookup_" &amp; APIF_Import!$M359), VLOOKUP( APIF_Import!$M359 &amp; APIF_Import!$D$1,Podesavanja!$AA$3:$AD$24, 4, 0), 0)), ".", ","))</f>
        <v>32885</v>
      </c>
      <c r="E359" s="364" t="str">
        <f ca="1">IF( ISNA( VLOOKUP( APIF_Import!$M359 &amp; APIF_Import!$E$1,Podesavanja!$AA$3:$AD$24, 4, 0)), "", SUBSTITUTE( VALUE( VLOOKUP( APIF_Import!$C359, INDIRECT( "Lookup_" &amp; APIF_Import!$M359), VLOOKUP( APIF_Import!$M359 &amp; APIF_Import!$E$1,Podesavanja!$AA$3:$AD$24, 4, 0), 0)), ".", ","))</f>
        <v>31508</v>
      </c>
      <c r="F359" s="364" t="str">
        <f ca="1">IF( ISNA( VLOOKUP( APIF_Import!$M359 &amp; APIF_Import!$F$1,Podesavanja!$AA$3:$AD$24, 4, 0)), "", VLOOKUP( APIF_Import!$C359, INDIRECT( "Lookup_" &amp; APIF_Import!$M359), VLOOKUP( APIF_Import!$M359 &amp; APIF_Import!$F$1,Podesavanja!$AA$3:$AD$24, 4, 0), 0))</f>
        <v/>
      </c>
      <c r="G359" s="364" t="str">
        <f ca="1">IF( ISNA( VLOOKUP( APIF_Import!$M359 &amp; APIF_Import!$G$1,Podesavanja!$AA$3:$AD$24, 4, 0)), "", VLOOKUP( APIF_Import!$C359, INDIRECT( "Lookup_" &amp; APIF_Import!$M359), VLOOKUP( APIF_Import!$M359 &amp; APIF_Import!$G$1,Podesavanja!$AA$3:$AD$24, 4, 0), 0))</f>
        <v/>
      </c>
      <c r="H359" s="364" t="str">
        <f ca="1">IF( ISNA( VLOOKUP( APIF_Import!$M359 &amp; APIF_Import!$H$1,Podesavanja!$AA$3:$AD$24, 4, 0)), "", VLOOKUP( APIF_Import!$C359, INDIRECT( "Lookup_" &amp; APIF_Import!$M359), VLOOKUP( APIF_Import!$M359 &amp; APIF_Import!$H$1,Podesavanja!$AA$3:$AD$24, 4, 0), 0))</f>
        <v/>
      </c>
      <c r="I359" s="364" t="str">
        <f ca="1">IF( ISNA( VLOOKUP( APIF_Import!$M359 &amp; APIF_Import!$I$1,Podesavanja!$AA$3:$AD$24, 4, 0)), "", VLOOKUP( APIF_Import!$C359, INDIRECT( "Lookup_" &amp; APIF_Import!$M359), VLOOKUP( APIF_Import!$M359 &amp; APIF_Import!$I$1,Podesavanja!$AA$3:$AD$24, 4, 0), 0))</f>
        <v/>
      </c>
      <c r="J359" s="364" t="str">
        <f ca="1">IF( ISNA( VLOOKUP( APIF_Import!$M359 &amp; APIF_Import!$J$1,Podesavanja!$AA$3:$AD$24, 4, 0)), "", VLOOKUP( APIF_Import!$C359, INDIRECT( "Lookup_" &amp; APIF_Import!$M359), VLOOKUP( APIF_Import!$M359 &amp; APIF_Import!$J$1,Podesavanja!$AA$3:$AD$24, 4, 0), 0))</f>
        <v/>
      </c>
      <c r="K359" s="364" t="str">
        <f ca="1">IF( ISNA( VLOOKUP( APIF_Import!$M359 &amp; APIF_Import!$K$1,Podesavanja!$AA$3:$AD$24, 4, 0)), "", VLOOKUP( APIF_Import!$C359, INDIRECT( "Lookup_" &amp; APIF_Import!$M359), VLOOKUP( APIF_Import!$M359 &amp; APIF_Import!$K$1,Podesavanja!$AA$3:$AD$24, 4, 0), 0))</f>
        <v/>
      </c>
      <c r="L359" s="8">
        <v>371</v>
      </c>
      <c r="M359" s="8" t="s">
        <v>1375</v>
      </c>
    </row>
    <row r="360" spans="2:13" x14ac:dyDescent="0.2">
      <c r="B360" s="8">
        <f>VLOOKUP( APIF_Import!$M360, Podesavanja!$N$3:$Q$9, 4, 0)</f>
        <v>4</v>
      </c>
      <c r="C360" s="363">
        <f>VLOOKUP( APIF_Import!$L360, Aop!$A$2:$N$415, 4, 0)</f>
        <v>651</v>
      </c>
      <c r="D360" s="364" t="str">
        <f ca="1">IF( ISNA( VLOOKUP( APIF_Import!$M360 &amp; APIF_Import!$D$1,Podesavanja!$AA$3:$AD$24, 4, 0)), "", SUBSTITUTE( VALUE( VLOOKUP( APIF_Import!$C360, INDIRECT( "Lookup_" &amp; APIF_Import!$M360), VLOOKUP( APIF_Import!$M360 &amp; APIF_Import!$D$1,Podesavanja!$AA$3:$AD$24, 4, 0), 0)), ".", ","))</f>
        <v>163</v>
      </c>
      <c r="E360" s="364" t="str">
        <f ca="1">IF( ISNA( VLOOKUP( APIF_Import!$M360 &amp; APIF_Import!$E$1,Podesavanja!$AA$3:$AD$24, 4, 0)), "", SUBSTITUTE( VALUE( VLOOKUP( APIF_Import!$C360, INDIRECT( "Lookup_" &amp; APIF_Import!$M360), VLOOKUP( APIF_Import!$M360 &amp; APIF_Import!$E$1,Podesavanja!$AA$3:$AD$24, 4, 0), 0)), ".", ","))</f>
        <v>516</v>
      </c>
      <c r="F360" s="364" t="str">
        <f ca="1">IF( ISNA( VLOOKUP( APIF_Import!$M360 &amp; APIF_Import!$F$1,Podesavanja!$AA$3:$AD$24, 4, 0)), "", VLOOKUP( APIF_Import!$C360, INDIRECT( "Lookup_" &amp; APIF_Import!$M360), VLOOKUP( APIF_Import!$M360 &amp; APIF_Import!$F$1,Podesavanja!$AA$3:$AD$24, 4, 0), 0))</f>
        <v/>
      </c>
      <c r="G360" s="364" t="str">
        <f ca="1">IF( ISNA( VLOOKUP( APIF_Import!$M360 &amp; APIF_Import!$G$1,Podesavanja!$AA$3:$AD$24, 4, 0)), "", VLOOKUP( APIF_Import!$C360, INDIRECT( "Lookup_" &amp; APIF_Import!$M360), VLOOKUP( APIF_Import!$M360 &amp; APIF_Import!$G$1,Podesavanja!$AA$3:$AD$24, 4, 0), 0))</f>
        <v/>
      </c>
      <c r="H360" s="364" t="str">
        <f ca="1">IF( ISNA( VLOOKUP( APIF_Import!$M360 &amp; APIF_Import!$H$1,Podesavanja!$AA$3:$AD$24, 4, 0)), "", VLOOKUP( APIF_Import!$C360, INDIRECT( "Lookup_" &amp; APIF_Import!$M360), VLOOKUP( APIF_Import!$M360 &amp; APIF_Import!$H$1,Podesavanja!$AA$3:$AD$24, 4, 0), 0))</f>
        <v/>
      </c>
      <c r="I360" s="364" t="str">
        <f ca="1">IF( ISNA( VLOOKUP( APIF_Import!$M360 &amp; APIF_Import!$I$1,Podesavanja!$AA$3:$AD$24, 4, 0)), "", VLOOKUP( APIF_Import!$C360, INDIRECT( "Lookup_" &amp; APIF_Import!$M360), VLOOKUP( APIF_Import!$M360 &amp; APIF_Import!$I$1,Podesavanja!$AA$3:$AD$24, 4, 0), 0))</f>
        <v/>
      </c>
      <c r="J360" s="364" t="str">
        <f ca="1">IF( ISNA( VLOOKUP( APIF_Import!$M360 &amp; APIF_Import!$J$1,Podesavanja!$AA$3:$AD$24, 4, 0)), "", VLOOKUP( APIF_Import!$C360, INDIRECT( "Lookup_" &amp; APIF_Import!$M360), VLOOKUP( APIF_Import!$M360 &amp; APIF_Import!$J$1,Podesavanja!$AA$3:$AD$24, 4, 0), 0))</f>
        <v/>
      </c>
      <c r="K360" s="364" t="str">
        <f ca="1">IF( ISNA( VLOOKUP( APIF_Import!$M360 &amp; APIF_Import!$K$1,Podesavanja!$AA$3:$AD$24, 4, 0)), "", VLOOKUP( APIF_Import!$C360, INDIRECT( "Lookup_" &amp; APIF_Import!$M360), VLOOKUP( APIF_Import!$M360 &amp; APIF_Import!$K$1,Podesavanja!$AA$3:$AD$24, 4, 0), 0))</f>
        <v/>
      </c>
      <c r="L360" s="8">
        <v>372</v>
      </c>
      <c r="M360" s="8" t="s">
        <v>1375</v>
      </c>
    </row>
    <row r="361" spans="2:13" x14ac:dyDescent="0.2">
      <c r="B361" s="8">
        <f>VLOOKUP( APIF_Import!$M361, Podesavanja!$N$3:$Q$9, 4, 0)</f>
        <v>4</v>
      </c>
      <c r="C361" s="363">
        <f>VLOOKUP( APIF_Import!$L361, Aop!$A$2:$N$415, 4, 0)</f>
        <v>652</v>
      </c>
      <c r="D361" s="364" t="str">
        <f ca="1">IF( ISNA( VLOOKUP( APIF_Import!$M361 &amp; APIF_Import!$D$1,Podesavanja!$AA$3:$AD$24, 4, 0)), "", SUBSTITUTE( VALUE( VLOOKUP( APIF_Import!$C361, INDIRECT( "Lookup_" &amp; APIF_Import!$M361), VLOOKUP( APIF_Import!$M361 &amp; APIF_Import!$D$1,Podesavanja!$AA$3:$AD$24, 4, 0), 0)), ".", ","))</f>
        <v>0</v>
      </c>
      <c r="E361" s="364" t="str">
        <f ca="1">IF( ISNA( VLOOKUP( APIF_Import!$M361 &amp; APIF_Import!$E$1,Podesavanja!$AA$3:$AD$24, 4, 0)), "", SUBSTITUTE( VALUE( VLOOKUP( APIF_Import!$C361, INDIRECT( "Lookup_" &amp; APIF_Import!$M361), VLOOKUP( APIF_Import!$M361 &amp; APIF_Import!$E$1,Podesavanja!$AA$3:$AD$24, 4, 0), 0)), ".", ","))</f>
        <v>0</v>
      </c>
      <c r="F361" s="364" t="str">
        <f ca="1">IF( ISNA( VLOOKUP( APIF_Import!$M361 &amp; APIF_Import!$F$1,Podesavanja!$AA$3:$AD$24, 4, 0)), "", VLOOKUP( APIF_Import!$C361, INDIRECT( "Lookup_" &amp; APIF_Import!$M361), VLOOKUP( APIF_Import!$M361 &amp; APIF_Import!$F$1,Podesavanja!$AA$3:$AD$24, 4, 0), 0))</f>
        <v/>
      </c>
      <c r="G361" s="364" t="str">
        <f ca="1">IF( ISNA( VLOOKUP( APIF_Import!$M361 &amp; APIF_Import!$G$1,Podesavanja!$AA$3:$AD$24, 4, 0)), "", VLOOKUP( APIF_Import!$C361, INDIRECT( "Lookup_" &amp; APIF_Import!$M361), VLOOKUP( APIF_Import!$M361 &amp; APIF_Import!$G$1,Podesavanja!$AA$3:$AD$24, 4, 0), 0))</f>
        <v/>
      </c>
      <c r="H361" s="364" t="str">
        <f ca="1">IF( ISNA( VLOOKUP( APIF_Import!$M361 &amp; APIF_Import!$H$1,Podesavanja!$AA$3:$AD$24, 4, 0)), "", VLOOKUP( APIF_Import!$C361, INDIRECT( "Lookup_" &amp; APIF_Import!$M361), VLOOKUP( APIF_Import!$M361 &amp; APIF_Import!$H$1,Podesavanja!$AA$3:$AD$24, 4, 0), 0))</f>
        <v/>
      </c>
      <c r="I361" s="364" t="str">
        <f ca="1">IF( ISNA( VLOOKUP( APIF_Import!$M361 &amp; APIF_Import!$I$1,Podesavanja!$AA$3:$AD$24, 4, 0)), "", VLOOKUP( APIF_Import!$C361, INDIRECT( "Lookup_" &amp; APIF_Import!$M361), VLOOKUP( APIF_Import!$M361 &amp; APIF_Import!$I$1,Podesavanja!$AA$3:$AD$24, 4, 0), 0))</f>
        <v/>
      </c>
      <c r="J361" s="364" t="str">
        <f ca="1">IF( ISNA( VLOOKUP( APIF_Import!$M361 &amp; APIF_Import!$J$1,Podesavanja!$AA$3:$AD$24, 4, 0)), "", VLOOKUP( APIF_Import!$C361, INDIRECT( "Lookup_" &amp; APIF_Import!$M361), VLOOKUP( APIF_Import!$M361 &amp; APIF_Import!$J$1,Podesavanja!$AA$3:$AD$24, 4, 0), 0))</f>
        <v/>
      </c>
      <c r="K361" s="364" t="str">
        <f ca="1">IF( ISNA( VLOOKUP( APIF_Import!$M361 &amp; APIF_Import!$K$1,Podesavanja!$AA$3:$AD$24, 4, 0)), "", VLOOKUP( APIF_Import!$C361, INDIRECT( "Lookup_" &amp; APIF_Import!$M361), VLOOKUP( APIF_Import!$M361 &amp; APIF_Import!$K$1,Podesavanja!$AA$3:$AD$24, 4, 0), 0))</f>
        <v/>
      </c>
      <c r="L361" s="8">
        <v>373</v>
      </c>
      <c r="M361" s="8" t="s">
        <v>1375</v>
      </c>
    </row>
    <row r="362" spans="2:13" x14ac:dyDescent="0.2">
      <c r="B362" s="8">
        <f>VLOOKUP( APIF_Import!$M362, Podesavanja!$N$3:$Q$9, 4, 0)</f>
        <v>4</v>
      </c>
      <c r="C362" s="363">
        <f>VLOOKUP( APIF_Import!$L362, Aop!$A$2:$N$415, 4, 0)</f>
        <v>653</v>
      </c>
      <c r="D362" s="364" t="str">
        <f ca="1">IF( ISNA( VLOOKUP( APIF_Import!$M362 &amp; APIF_Import!$D$1,Podesavanja!$AA$3:$AD$24, 4, 0)), "", SUBSTITUTE( VALUE( VLOOKUP( APIF_Import!$C362, INDIRECT( "Lookup_" &amp; APIF_Import!$M362), VLOOKUP( APIF_Import!$M362 &amp; APIF_Import!$D$1,Podesavanja!$AA$3:$AD$24, 4, 0), 0)), ".", ","))</f>
        <v>43728</v>
      </c>
      <c r="E362" s="364" t="str">
        <f ca="1">IF( ISNA( VLOOKUP( APIF_Import!$M362 &amp; APIF_Import!$E$1,Podesavanja!$AA$3:$AD$24, 4, 0)), "", SUBSTITUTE( VALUE( VLOOKUP( APIF_Import!$C362, INDIRECT( "Lookup_" &amp; APIF_Import!$M362), VLOOKUP( APIF_Import!$M362 &amp; APIF_Import!$E$1,Podesavanja!$AA$3:$AD$24, 4, 0), 0)), ".", ","))</f>
        <v>30242</v>
      </c>
      <c r="F362" s="364" t="str">
        <f ca="1">IF( ISNA( VLOOKUP( APIF_Import!$M362 &amp; APIF_Import!$F$1,Podesavanja!$AA$3:$AD$24, 4, 0)), "", VLOOKUP( APIF_Import!$C362, INDIRECT( "Lookup_" &amp; APIF_Import!$M362), VLOOKUP( APIF_Import!$M362 &amp; APIF_Import!$F$1,Podesavanja!$AA$3:$AD$24, 4, 0), 0))</f>
        <v/>
      </c>
      <c r="G362" s="364" t="str">
        <f ca="1">IF( ISNA( VLOOKUP( APIF_Import!$M362 &amp; APIF_Import!$G$1,Podesavanja!$AA$3:$AD$24, 4, 0)), "", VLOOKUP( APIF_Import!$C362, INDIRECT( "Lookup_" &amp; APIF_Import!$M362), VLOOKUP( APIF_Import!$M362 &amp; APIF_Import!$G$1,Podesavanja!$AA$3:$AD$24, 4, 0), 0))</f>
        <v/>
      </c>
      <c r="H362" s="364" t="str">
        <f ca="1">IF( ISNA( VLOOKUP( APIF_Import!$M362 &amp; APIF_Import!$H$1,Podesavanja!$AA$3:$AD$24, 4, 0)), "", VLOOKUP( APIF_Import!$C362, INDIRECT( "Lookup_" &amp; APIF_Import!$M362), VLOOKUP( APIF_Import!$M362 &amp; APIF_Import!$H$1,Podesavanja!$AA$3:$AD$24, 4, 0), 0))</f>
        <v/>
      </c>
      <c r="I362" s="364" t="str">
        <f ca="1">IF( ISNA( VLOOKUP( APIF_Import!$M362 &amp; APIF_Import!$I$1,Podesavanja!$AA$3:$AD$24, 4, 0)), "", VLOOKUP( APIF_Import!$C362, INDIRECT( "Lookup_" &amp; APIF_Import!$M362), VLOOKUP( APIF_Import!$M362 &amp; APIF_Import!$I$1,Podesavanja!$AA$3:$AD$24, 4, 0), 0))</f>
        <v/>
      </c>
      <c r="J362" s="364" t="str">
        <f ca="1">IF( ISNA( VLOOKUP( APIF_Import!$M362 &amp; APIF_Import!$J$1,Podesavanja!$AA$3:$AD$24, 4, 0)), "", VLOOKUP( APIF_Import!$C362, INDIRECT( "Lookup_" &amp; APIF_Import!$M362), VLOOKUP( APIF_Import!$M362 &amp; APIF_Import!$J$1,Podesavanja!$AA$3:$AD$24, 4, 0), 0))</f>
        <v/>
      </c>
      <c r="K362" s="364" t="str">
        <f ca="1">IF( ISNA( VLOOKUP( APIF_Import!$M362 &amp; APIF_Import!$K$1,Podesavanja!$AA$3:$AD$24, 4, 0)), "", VLOOKUP( APIF_Import!$C362, INDIRECT( "Lookup_" &amp; APIF_Import!$M362), VLOOKUP( APIF_Import!$M362 &amp; APIF_Import!$K$1,Podesavanja!$AA$3:$AD$24, 4, 0), 0))</f>
        <v/>
      </c>
      <c r="L362" s="8">
        <v>374</v>
      </c>
      <c r="M362" s="8" t="s">
        <v>1375</v>
      </c>
    </row>
    <row r="363" spans="2:13" x14ac:dyDescent="0.2">
      <c r="B363" s="8">
        <f>VLOOKUP( APIF_Import!$M363, Podesavanja!$N$3:$Q$9, 4, 0)</f>
        <v>4</v>
      </c>
      <c r="C363" s="363">
        <f>VLOOKUP( APIF_Import!$L363, Aop!$A$2:$N$415, 4, 0)</f>
        <v>654</v>
      </c>
      <c r="D363" s="364" t="str">
        <f ca="1">IF( ISNA( VLOOKUP( APIF_Import!$M363 &amp; APIF_Import!$D$1,Podesavanja!$AA$3:$AD$24, 4, 0)), "", SUBSTITUTE( VALUE( VLOOKUP( APIF_Import!$C363, INDIRECT( "Lookup_" &amp; APIF_Import!$M363), VLOOKUP( APIF_Import!$M363 &amp; APIF_Import!$D$1,Podesavanja!$AA$3:$AD$24, 4, 0), 0)), ".", ","))</f>
        <v>10014</v>
      </c>
      <c r="E363" s="364" t="str">
        <f ca="1">IF( ISNA( VLOOKUP( APIF_Import!$M363 &amp; APIF_Import!$E$1,Podesavanja!$AA$3:$AD$24, 4, 0)), "", SUBSTITUTE( VALUE( VLOOKUP( APIF_Import!$C363, INDIRECT( "Lookup_" &amp; APIF_Import!$M363), VLOOKUP( APIF_Import!$M363 &amp; APIF_Import!$E$1,Podesavanja!$AA$3:$AD$24, 4, 0), 0)), ".", ","))</f>
        <v>9272</v>
      </c>
      <c r="F363" s="364" t="str">
        <f ca="1">IF( ISNA( VLOOKUP( APIF_Import!$M363 &amp; APIF_Import!$F$1,Podesavanja!$AA$3:$AD$24, 4, 0)), "", VLOOKUP( APIF_Import!$C363, INDIRECT( "Lookup_" &amp; APIF_Import!$M363), VLOOKUP( APIF_Import!$M363 &amp; APIF_Import!$F$1,Podesavanja!$AA$3:$AD$24, 4, 0), 0))</f>
        <v/>
      </c>
      <c r="G363" s="364" t="str">
        <f ca="1">IF( ISNA( VLOOKUP( APIF_Import!$M363 &amp; APIF_Import!$G$1,Podesavanja!$AA$3:$AD$24, 4, 0)), "", VLOOKUP( APIF_Import!$C363, INDIRECT( "Lookup_" &amp; APIF_Import!$M363), VLOOKUP( APIF_Import!$M363 &amp; APIF_Import!$G$1,Podesavanja!$AA$3:$AD$24, 4, 0), 0))</f>
        <v/>
      </c>
      <c r="H363" s="364" t="str">
        <f ca="1">IF( ISNA( VLOOKUP( APIF_Import!$M363 &amp; APIF_Import!$H$1,Podesavanja!$AA$3:$AD$24, 4, 0)), "", VLOOKUP( APIF_Import!$C363, INDIRECT( "Lookup_" &amp; APIF_Import!$M363), VLOOKUP( APIF_Import!$M363 &amp; APIF_Import!$H$1,Podesavanja!$AA$3:$AD$24, 4, 0), 0))</f>
        <v/>
      </c>
      <c r="I363" s="364" t="str">
        <f ca="1">IF( ISNA( VLOOKUP( APIF_Import!$M363 &amp; APIF_Import!$I$1,Podesavanja!$AA$3:$AD$24, 4, 0)), "", VLOOKUP( APIF_Import!$C363, INDIRECT( "Lookup_" &amp; APIF_Import!$M363), VLOOKUP( APIF_Import!$M363 &amp; APIF_Import!$I$1,Podesavanja!$AA$3:$AD$24, 4, 0), 0))</f>
        <v/>
      </c>
      <c r="J363" s="364" t="str">
        <f ca="1">IF( ISNA( VLOOKUP( APIF_Import!$M363 &amp; APIF_Import!$J$1,Podesavanja!$AA$3:$AD$24, 4, 0)), "", VLOOKUP( APIF_Import!$C363, INDIRECT( "Lookup_" &amp; APIF_Import!$M363), VLOOKUP( APIF_Import!$M363 &amp; APIF_Import!$J$1,Podesavanja!$AA$3:$AD$24, 4, 0), 0))</f>
        <v/>
      </c>
      <c r="K363" s="364" t="str">
        <f ca="1">IF( ISNA( VLOOKUP( APIF_Import!$M363 &amp; APIF_Import!$K$1,Podesavanja!$AA$3:$AD$24, 4, 0)), "", VLOOKUP( APIF_Import!$C363, INDIRECT( "Lookup_" &amp; APIF_Import!$M363), VLOOKUP( APIF_Import!$M363 &amp; APIF_Import!$K$1,Podesavanja!$AA$3:$AD$24, 4, 0), 0))</f>
        <v/>
      </c>
      <c r="L363" s="8">
        <v>375</v>
      </c>
      <c r="M363" s="8" t="s">
        <v>1375</v>
      </c>
    </row>
    <row r="364" spans="2:13" x14ac:dyDescent="0.2">
      <c r="B364" s="8">
        <f>VLOOKUP( APIF_Import!$M364, Podesavanja!$N$3:$Q$9, 4, 0)</f>
        <v>4</v>
      </c>
      <c r="C364" s="363">
        <f>VLOOKUP( APIF_Import!$L364, Aop!$A$2:$N$415, 4, 0)</f>
        <v>655</v>
      </c>
      <c r="D364" s="364" t="str">
        <f ca="1">IF( ISNA( VLOOKUP( APIF_Import!$M364 &amp; APIF_Import!$D$1,Podesavanja!$AA$3:$AD$24, 4, 0)), "", SUBSTITUTE( VALUE( VLOOKUP( APIF_Import!$C364, INDIRECT( "Lookup_" &amp; APIF_Import!$M364), VLOOKUP( APIF_Import!$M364 &amp; APIF_Import!$D$1,Podesavanja!$AA$3:$AD$24, 4, 0), 0)), ".", ","))</f>
        <v>66417</v>
      </c>
      <c r="E364" s="364" t="str">
        <f ca="1">IF( ISNA( VLOOKUP( APIF_Import!$M364 &amp; APIF_Import!$E$1,Podesavanja!$AA$3:$AD$24, 4, 0)), "", SUBSTITUTE( VALUE( VLOOKUP( APIF_Import!$C364, INDIRECT( "Lookup_" &amp; APIF_Import!$M364), VLOOKUP( APIF_Import!$M364 &amp; APIF_Import!$E$1,Podesavanja!$AA$3:$AD$24, 4, 0), 0)), ".", ","))</f>
        <v>70798</v>
      </c>
      <c r="F364" s="364" t="str">
        <f ca="1">IF( ISNA( VLOOKUP( APIF_Import!$M364 &amp; APIF_Import!$F$1,Podesavanja!$AA$3:$AD$24, 4, 0)), "", VLOOKUP( APIF_Import!$C364, INDIRECT( "Lookup_" &amp; APIF_Import!$M364), VLOOKUP( APIF_Import!$M364 &amp; APIF_Import!$F$1,Podesavanja!$AA$3:$AD$24, 4, 0), 0))</f>
        <v/>
      </c>
      <c r="G364" s="364" t="str">
        <f ca="1">IF( ISNA( VLOOKUP( APIF_Import!$M364 &amp; APIF_Import!$G$1,Podesavanja!$AA$3:$AD$24, 4, 0)), "", VLOOKUP( APIF_Import!$C364, INDIRECT( "Lookup_" &amp; APIF_Import!$M364), VLOOKUP( APIF_Import!$M364 &amp; APIF_Import!$G$1,Podesavanja!$AA$3:$AD$24, 4, 0), 0))</f>
        <v/>
      </c>
      <c r="H364" s="364" t="str">
        <f ca="1">IF( ISNA( VLOOKUP( APIF_Import!$M364 &amp; APIF_Import!$H$1,Podesavanja!$AA$3:$AD$24, 4, 0)), "", VLOOKUP( APIF_Import!$C364, INDIRECT( "Lookup_" &amp; APIF_Import!$M364), VLOOKUP( APIF_Import!$M364 &amp; APIF_Import!$H$1,Podesavanja!$AA$3:$AD$24, 4, 0), 0))</f>
        <v/>
      </c>
      <c r="I364" s="364" t="str">
        <f ca="1">IF( ISNA( VLOOKUP( APIF_Import!$M364 &amp; APIF_Import!$I$1,Podesavanja!$AA$3:$AD$24, 4, 0)), "", VLOOKUP( APIF_Import!$C364, INDIRECT( "Lookup_" &amp; APIF_Import!$M364), VLOOKUP( APIF_Import!$M364 &amp; APIF_Import!$I$1,Podesavanja!$AA$3:$AD$24, 4, 0), 0))</f>
        <v/>
      </c>
      <c r="J364" s="364" t="str">
        <f ca="1">IF( ISNA( VLOOKUP( APIF_Import!$M364 &amp; APIF_Import!$J$1,Podesavanja!$AA$3:$AD$24, 4, 0)), "", VLOOKUP( APIF_Import!$C364, INDIRECT( "Lookup_" &amp; APIF_Import!$M364), VLOOKUP( APIF_Import!$M364 &amp; APIF_Import!$J$1,Podesavanja!$AA$3:$AD$24, 4, 0), 0))</f>
        <v/>
      </c>
      <c r="K364" s="364" t="str">
        <f ca="1">IF( ISNA( VLOOKUP( APIF_Import!$M364 &amp; APIF_Import!$K$1,Podesavanja!$AA$3:$AD$24, 4, 0)), "", VLOOKUP( APIF_Import!$C364, INDIRECT( "Lookup_" &amp; APIF_Import!$M364), VLOOKUP( APIF_Import!$M364 &amp; APIF_Import!$K$1,Podesavanja!$AA$3:$AD$24, 4, 0), 0))</f>
        <v/>
      </c>
      <c r="L364" s="8">
        <v>376</v>
      </c>
      <c r="M364" s="8" t="s">
        <v>1375</v>
      </c>
    </row>
    <row r="365" spans="2:13" x14ac:dyDescent="0.2">
      <c r="B365" s="8">
        <f>VLOOKUP( APIF_Import!$M365, Podesavanja!$N$3:$Q$9, 4, 0)</f>
        <v>4</v>
      </c>
      <c r="C365" s="363">
        <f>VLOOKUP( APIF_Import!$L365, Aop!$A$2:$N$415, 4, 0)</f>
        <v>656</v>
      </c>
      <c r="D365" s="364" t="str">
        <f ca="1">IF( ISNA( VLOOKUP( APIF_Import!$M365 &amp; APIF_Import!$D$1,Podesavanja!$AA$3:$AD$24, 4, 0)), "", SUBSTITUTE( VALUE( VLOOKUP( APIF_Import!$C365, INDIRECT( "Lookup_" &amp; APIF_Import!$M365), VLOOKUP( APIF_Import!$M365 &amp; APIF_Import!$D$1,Podesavanja!$AA$3:$AD$24, 4, 0), 0)), ".", ","))</f>
        <v>10492</v>
      </c>
      <c r="E365" s="364" t="str">
        <f ca="1">IF( ISNA( VLOOKUP( APIF_Import!$M365 &amp; APIF_Import!$E$1,Podesavanja!$AA$3:$AD$24, 4, 0)), "", SUBSTITUTE( VALUE( VLOOKUP( APIF_Import!$C365, INDIRECT( "Lookup_" &amp; APIF_Import!$M365), VLOOKUP( APIF_Import!$M365 &amp; APIF_Import!$E$1,Podesavanja!$AA$3:$AD$24, 4, 0), 0)), ".", ","))</f>
        <v>11089</v>
      </c>
      <c r="F365" s="364" t="str">
        <f ca="1">IF( ISNA( VLOOKUP( APIF_Import!$M365 &amp; APIF_Import!$F$1,Podesavanja!$AA$3:$AD$24, 4, 0)), "", VLOOKUP( APIF_Import!$C365, INDIRECT( "Lookup_" &amp; APIF_Import!$M365), VLOOKUP( APIF_Import!$M365 &amp; APIF_Import!$F$1,Podesavanja!$AA$3:$AD$24, 4, 0), 0))</f>
        <v/>
      </c>
      <c r="G365" s="364" t="str">
        <f ca="1">IF( ISNA( VLOOKUP( APIF_Import!$M365 &amp; APIF_Import!$G$1,Podesavanja!$AA$3:$AD$24, 4, 0)), "", VLOOKUP( APIF_Import!$C365, INDIRECT( "Lookup_" &amp; APIF_Import!$M365), VLOOKUP( APIF_Import!$M365 &amp; APIF_Import!$G$1,Podesavanja!$AA$3:$AD$24, 4, 0), 0))</f>
        <v/>
      </c>
      <c r="H365" s="364" t="str">
        <f ca="1">IF( ISNA( VLOOKUP( APIF_Import!$M365 &amp; APIF_Import!$H$1,Podesavanja!$AA$3:$AD$24, 4, 0)), "", VLOOKUP( APIF_Import!$C365, INDIRECT( "Lookup_" &amp; APIF_Import!$M365), VLOOKUP( APIF_Import!$M365 &amp; APIF_Import!$H$1,Podesavanja!$AA$3:$AD$24, 4, 0), 0))</f>
        <v/>
      </c>
      <c r="I365" s="364" t="str">
        <f ca="1">IF( ISNA( VLOOKUP( APIF_Import!$M365 &amp; APIF_Import!$I$1,Podesavanja!$AA$3:$AD$24, 4, 0)), "", VLOOKUP( APIF_Import!$C365, INDIRECT( "Lookup_" &amp; APIF_Import!$M365), VLOOKUP( APIF_Import!$M365 &amp; APIF_Import!$I$1,Podesavanja!$AA$3:$AD$24, 4, 0), 0))</f>
        <v/>
      </c>
      <c r="J365" s="364" t="str">
        <f ca="1">IF( ISNA( VLOOKUP( APIF_Import!$M365 &amp; APIF_Import!$J$1,Podesavanja!$AA$3:$AD$24, 4, 0)), "", VLOOKUP( APIF_Import!$C365, INDIRECT( "Lookup_" &amp; APIF_Import!$M365), VLOOKUP( APIF_Import!$M365 &amp; APIF_Import!$J$1,Podesavanja!$AA$3:$AD$24, 4, 0), 0))</f>
        <v/>
      </c>
      <c r="K365" s="364" t="str">
        <f ca="1">IF( ISNA( VLOOKUP( APIF_Import!$M365 &amp; APIF_Import!$K$1,Podesavanja!$AA$3:$AD$24, 4, 0)), "", VLOOKUP( APIF_Import!$C365, INDIRECT( "Lookup_" &amp; APIF_Import!$M365), VLOOKUP( APIF_Import!$M365 &amp; APIF_Import!$K$1,Podesavanja!$AA$3:$AD$24, 4, 0), 0))</f>
        <v/>
      </c>
      <c r="L365" s="8">
        <v>377</v>
      </c>
      <c r="M365" s="8" t="s">
        <v>1375</v>
      </c>
    </row>
    <row r="366" spans="2:13" x14ac:dyDescent="0.2">
      <c r="B366" s="8">
        <f>VLOOKUP( APIF_Import!$M366, Podesavanja!$N$3:$Q$9, 4, 0)</f>
        <v>4</v>
      </c>
      <c r="C366" s="363">
        <f>VLOOKUP( APIF_Import!$L366, Aop!$A$2:$N$415, 4, 0)</f>
        <v>657</v>
      </c>
      <c r="D366" s="364" t="str">
        <f ca="1">IF( ISNA( VLOOKUP( APIF_Import!$M366 &amp; APIF_Import!$D$1,Podesavanja!$AA$3:$AD$24, 4, 0)), "", SUBSTITUTE( VALUE( VLOOKUP( APIF_Import!$C366, INDIRECT( "Lookup_" &amp; APIF_Import!$M366), VLOOKUP( APIF_Import!$M366 &amp; APIF_Import!$D$1,Podesavanja!$AA$3:$AD$24, 4, 0), 0)), ".", ","))</f>
        <v>0</v>
      </c>
      <c r="E366" s="364" t="str">
        <f ca="1">IF( ISNA( VLOOKUP( APIF_Import!$M366 &amp; APIF_Import!$E$1,Podesavanja!$AA$3:$AD$24, 4, 0)), "", SUBSTITUTE( VALUE( VLOOKUP( APIF_Import!$C366, INDIRECT( "Lookup_" &amp; APIF_Import!$M366), VLOOKUP( APIF_Import!$M366 &amp; APIF_Import!$E$1,Podesavanja!$AA$3:$AD$24, 4, 0), 0)), ".", ","))</f>
        <v>0</v>
      </c>
      <c r="F366" s="364" t="str">
        <f ca="1">IF( ISNA( VLOOKUP( APIF_Import!$M366 &amp; APIF_Import!$F$1,Podesavanja!$AA$3:$AD$24, 4, 0)), "", VLOOKUP( APIF_Import!$C366, INDIRECT( "Lookup_" &amp; APIF_Import!$M366), VLOOKUP( APIF_Import!$M366 &amp; APIF_Import!$F$1,Podesavanja!$AA$3:$AD$24, 4, 0), 0))</f>
        <v/>
      </c>
      <c r="G366" s="364" t="str">
        <f ca="1">IF( ISNA( VLOOKUP( APIF_Import!$M366 &amp; APIF_Import!$G$1,Podesavanja!$AA$3:$AD$24, 4, 0)), "", VLOOKUP( APIF_Import!$C366, INDIRECT( "Lookup_" &amp; APIF_Import!$M366), VLOOKUP( APIF_Import!$M366 &amp; APIF_Import!$G$1,Podesavanja!$AA$3:$AD$24, 4, 0), 0))</f>
        <v/>
      </c>
      <c r="H366" s="364" t="str">
        <f ca="1">IF( ISNA( VLOOKUP( APIF_Import!$M366 &amp; APIF_Import!$H$1,Podesavanja!$AA$3:$AD$24, 4, 0)), "", VLOOKUP( APIF_Import!$C366, INDIRECT( "Lookup_" &amp; APIF_Import!$M366), VLOOKUP( APIF_Import!$M366 &amp; APIF_Import!$H$1,Podesavanja!$AA$3:$AD$24, 4, 0), 0))</f>
        <v/>
      </c>
      <c r="I366" s="364" t="str">
        <f ca="1">IF( ISNA( VLOOKUP( APIF_Import!$M366 &amp; APIF_Import!$I$1,Podesavanja!$AA$3:$AD$24, 4, 0)), "", VLOOKUP( APIF_Import!$C366, INDIRECT( "Lookup_" &amp; APIF_Import!$M366), VLOOKUP( APIF_Import!$M366 &amp; APIF_Import!$I$1,Podesavanja!$AA$3:$AD$24, 4, 0), 0))</f>
        <v/>
      </c>
      <c r="J366" s="364" t="str">
        <f ca="1">IF( ISNA( VLOOKUP( APIF_Import!$M366 &amp; APIF_Import!$J$1,Podesavanja!$AA$3:$AD$24, 4, 0)), "", VLOOKUP( APIF_Import!$C366, INDIRECT( "Lookup_" &amp; APIF_Import!$M366), VLOOKUP( APIF_Import!$M366 &amp; APIF_Import!$J$1,Podesavanja!$AA$3:$AD$24, 4, 0), 0))</f>
        <v/>
      </c>
      <c r="K366" s="364" t="str">
        <f ca="1">IF( ISNA( VLOOKUP( APIF_Import!$M366 &amp; APIF_Import!$K$1,Podesavanja!$AA$3:$AD$24, 4, 0)), "", VLOOKUP( APIF_Import!$C366, INDIRECT( "Lookup_" &amp; APIF_Import!$M366), VLOOKUP( APIF_Import!$M366 &amp; APIF_Import!$K$1,Podesavanja!$AA$3:$AD$24, 4, 0), 0))</f>
        <v/>
      </c>
      <c r="L366" s="8">
        <v>378</v>
      </c>
      <c r="M366" s="8" t="s">
        <v>1375</v>
      </c>
    </row>
    <row r="367" spans="2:13" x14ac:dyDescent="0.2">
      <c r="B367" s="8">
        <f>VLOOKUP( APIF_Import!$M367, Podesavanja!$N$3:$Q$9, 4, 0)</f>
        <v>4</v>
      </c>
      <c r="C367" s="363">
        <f>VLOOKUP( APIF_Import!$L367, Aop!$A$2:$N$415, 4, 0)</f>
        <v>658</v>
      </c>
      <c r="D367" s="364" t="str">
        <f ca="1">IF( ISNA( VLOOKUP( APIF_Import!$M367 &amp; APIF_Import!$D$1,Podesavanja!$AA$3:$AD$24, 4, 0)), "", SUBSTITUTE( VALUE( VLOOKUP( APIF_Import!$C367, INDIRECT( "Lookup_" &amp; APIF_Import!$M367), VLOOKUP( APIF_Import!$M367 &amp; APIF_Import!$D$1,Podesavanja!$AA$3:$AD$24, 4, 0), 0)), ".", ","))</f>
        <v>23711</v>
      </c>
      <c r="E367" s="364" t="str">
        <f ca="1">IF( ISNA( VLOOKUP( APIF_Import!$M367 &amp; APIF_Import!$E$1,Podesavanja!$AA$3:$AD$24, 4, 0)), "", SUBSTITUTE( VALUE( VLOOKUP( APIF_Import!$C367, INDIRECT( "Lookup_" &amp; APIF_Import!$M367), VLOOKUP( APIF_Import!$M367 &amp; APIF_Import!$E$1,Podesavanja!$AA$3:$AD$24, 4, 0), 0)), ".", ","))</f>
        <v>21176</v>
      </c>
      <c r="F367" s="364" t="str">
        <f ca="1">IF( ISNA( VLOOKUP( APIF_Import!$M367 &amp; APIF_Import!$F$1,Podesavanja!$AA$3:$AD$24, 4, 0)), "", VLOOKUP( APIF_Import!$C367, INDIRECT( "Lookup_" &amp; APIF_Import!$M367), VLOOKUP( APIF_Import!$M367 &amp; APIF_Import!$F$1,Podesavanja!$AA$3:$AD$24, 4, 0), 0))</f>
        <v/>
      </c>
      <c r="G367" s="364" t="str">
        <f ca="1">IF( ISNA( VLOOKUP( APIF_Import!$M367 &amp; APIF_Import!$G$1,Podesavanja!$AA$3:$AD$24, 4, 0)), "", VLOOKUP( APIF_Import!$C367, INDIRECT( "Lookup_" &amp; APIF_Import!$M367), VLOOKUP( APIF_Import!$M367 &amp; APIF_Import!$G$1,Podesavanja!$AA$3:$AD$24, 4, 0), 0))</f>
        <v/>
      </c>
      <c r="H367" s="364" t="str">
        <f ca="1">IF( ISNA( VLOOKUP( APIF_Import!$M367 &amp; APIF_Import!$H$1,Podesavanja!$AA$3:$AD$24, 4, 0)), "", VLOOKUP( APIF_Import!$C367, INDIRECT( "Lookup_" &amp; APIF_Import!$M367), VLOOKUP( APIF_Import!$M367 &amp; APIF_Import!$H$1,Podesavanja!$AA$3:$AD$24, 4, 0), 0))</f>
        <v/>
      </c>
      <c r="I367" s="364" t="str">
        <f ca="1">IF( ISNA( VLOOKUP( APIF_Import!$M367 &amp; APIF_Import!$I$1,Podesavanja!$AA$3:$AD$24, 4, 0)), "", VLOOKUP( APIF_Import!$C367, INDIRECT( "Lookup_" &amp; APIF_Import!$M367), VLOOKUP( APIF_Import!$M367 &amp; APIF_Import!$I$1,Podesavanja!$AA$3:$AD$24, 4, 0), 0))</f>
        <v/>
      </c>
      <c r="J367" s="364" t="str">
        <f ca="1">IF( ISNA( VLOOKUP( APIF_Import!$M367 &amp; APIF_Import!$J$1,Podesavanja!$AA$3:$AD$24, 4, 0)), "", VLOOKUP( APIF_Import!$C367, INDIRECT( "Lookup_" &amp; APIF_Import!$M367), VLOOKUP( APIF_Import!$M367 &amp; APIF_Import!$J$1,Podesavanja!$AA$3:$AD$24, 4, 0), 0))</f>
        <v/>
      </c>
      <c r="K367" s="364" t="str">
        <f ca="1">IF( ISNA( VLOOKUP( APIF_Import!$M367 &amp; APIF_Import!$K$1,Podesavanja!$AA$3:$AD$24, 4, 0)), "", VLOOKUP( APIF_Import!$C367, INDIRECT( "Lookup_" &amp; APIF_Import!$M367), VLOOKUP( APIF_Import!$M367 &amp; APIF_Import!$K$1,Podesavanja!$AA$3:$AD$24, 4, 0), 0))</f>
        <v/>
      </c>
      <c r="L367" s="8">
        <v>379</v>
      </c>
      <c r="M367" s="8" t="s">
        <v>1375</v>
      </c>
    </row>
    <row r="368" spans="2:13" x14ac:dyDescent="0.2">
      <c r="B368" s="8">
        <f>VLOOKUP( APIF_Import!$M368, Podesavanja!$N$3:$Q$9, 4, 0)</f>
        <v>4</v>
      </c>
      <c r="C368" s="363">
        <f>VLOOKUP( APIF_Import!$L368, Aop!$A$2:$N$415, 4, 0)</f>
        <v>659</v>
      </c>
      <c r="D368" s="364" t="str">
        <f ca="1">IF( ISNA( VLOOKUP( APIF_Import!$M368 &amp; APIF_Import!$D$1,Podesavanja!$AA$3:$AD$24, 4, 0)), "", SUBSTITUTE( VALUE( VLOOKUP( APIF_Import!$C368, INDIRECT( "Lookup_" &amp; APIF_Import!$M368), VLOOKUP( APIF_Import!$M368 &amp; APIF_Import!$D$1,Podesavanja!$AA$3:$AD$24, 4, 0), 0)), ".", ","))</f>
        <v>13277</v>
      </c>
      <c r="E368" s="364" t="str">
        <f ca="1">IF( ISNA( VLOOKUP( APIF_Import!$M368 &amp; APIF_Import!$E$1,Podesavanja!$AA$3:$AD$24, 4, 0)), "", SUBSTITUTE( VALUE( VLOOKUP( APIF_Import!$C368, INDIRECT( "Lookup_" &amp; APIF_Import!$M368), VLOOKUP( APIF_Import!$M368 &amp; APIF_Import!$E$1,Podesavanja!$AA$3:$AD$24, 4, 0), 0)), ".", ","))</f>
        <v>11358</v>
      </c>
      <c r="F368" s="364" t="str">
        <f ca="1">IF( ISNA( VLOOKUP( APIF_Import!$M368 &amp; APIF_Import!$F$1,Podesavanja!$AA$3:$AD$24, 4, 0)), "", VLOOKUP( APIF_Import!$C368, INDIRECT( "Lookup_" &amp; APIF_Import!$M368), VLOOKUP( APIF_Import!$M368 &amp; APIF_Import!$F$1,Podesavanja!$AA$3:$AD$24, 4, 0), 0))</f>
        <v/>
      </c>
      <c r="G368" s="364" t="str">
        <f ca="1">IF( ISNA( VLOOKUP( APIF_Import!$M368 &amp; APIF_Import!$G$1,Podesavanja!$AA$3:$AD$24, 4, 0)), "", VLOOKUP( APIF_Import!$C368, INDIRECT( "Lookup_" &amp; APIF_Import!$M368), VLOOKUP( APIF_Import!$M368 &amp; APIF_Import!$G$1,Podesavanja!$AA$3:$AD$24, 4, 0), 0))</f>
        <v/>
      </c>
      <c r="H368" s="364" t="str">
        <f ca="1">IF( ISNA( VLOOKUP( APIF_Import!$M368 &amp; APIF_Import!$H$1,Podesavanja!$AA$3:$AD$24, 4, 0)), "", VLOOKUP( APIF_Import!$C368, INDIRECT( "Lookup_" &amp; APIF_Import!$M368), VLOOKUP( APIF_Import!$M368 &amp; APIF_Import!$H$1,Podesavanja!$AA$3:$AD$24, 4, 0), 0))</f>
        <v/>
      </c>
      <c r="I368" s="364" t="str">
        <f ca="1">IF( ISNA( VLOOKUP( APIF_Import!$M368 &amp; APIF_Import!$I$1,Podesavanja!$AA$3:$AD$24, 4, 0)), "", VLOOKUP( APIF_Import!$C368, INDIRECT( "Lookup_" &amp; APIF_Import!$M368), VLOOKUP( APIF_Import!$M368 &amp; APIF_Import!$I$1,Podesavanja!$AA$3:$AD$24, 4, 0), 0))</f>
        <v/>
      </c>
      <c r="J368" s="364" t="str">
        <f ca="1">IF( ISNA( VLOOKUP( APIF_Import!$M368 &amp; APIF_Import!$J$1,Podesavanja!$AA$3:$AD$24, 4, 0)), "", VLOOKUP( APIF_Import!$C368, INDIRECT( "Lookup_" &amp; APIF_Import!$M368), VLOOKUP( APIF_Import!$M368 &amp; APIF_Import!$J$1,Podesavanja!$AA$3:$AD$24, 4, 0), 0))</f>
        <v/>
      </c>
      <c r="K368" s="364" t="str">
        <f ca="1">IF( ISNA( VLOOKUP( APIF_Import!$M368 &amp; APIF_Import!$K$1,Podesavanja!$AA$3:$AD$24, 4, 0)), "", VLOOKUP( APIF_Import!$C368, INDIRECT( "Lookup_" &amp; APIF_Import!$M368), VLOOKUP( APIF_Import!$M368 &amp; APIF_Import!$K$1,Podesavanja!$AA$3:$AD$24, 4, 0), 0))</f>
        <v/>
      </c>
      <c r="L368" s="8">
        <v>380</v>
      </c>
      <c r="M368" s="8" t="s">
        <v>1375</v>
      </c>
    </row>
    <row r="369" spans="2:13" x14ac:dyDescent="0.2">
      <c r="B369" s="8">
        <f>VLOOKUP( APIF_Import!$M369, Podesavanja!$N$3:$Q$9, 4, 0)</f>
        <v>4</v>
      </c>
      <c r="C369" s="363">
        <f>VLOOKUP( APIF_Import!$L369, Aop!$A$2:$N$415, 4, 0)</f>
        <v>660</v>
      </c>
      <c r="D369" s="364" t="str">
        <f ca="1">IF( ISNA( VLOOKUP( APIF_Import!$M369 &amp; APIF_Import!$D$1,Podesavanja!$AA$3:$AD$24, 4, 0)), "", SUBSTITUTE( VALUE( VLOOKUP( APIF_Import!$C369, INDIRECT( "Lookup_" &amp; APIF_Import!$M369), VLOOKUP( APIF_Import!$M369 &amp; APIF_Import!$D$1,Podesavanja!$AA$3:$AD$24, 4, 0), 0)), ".", ","))</f>
        <v>0</v>
      </c>
      <c r="E369" s="364" t="str">
        <f ca="1">IF( ISNA( VLOOKUP( APIF_Import!$M369 &amp; APIF_Import!$E$1,Podesavanja!$AA$3:$AD$24, 4, 0)), "", SUBSTITUTE( VALUE( VLOOKUP( APIF_Import!$C369, INDIRECT( "Lookup_" &amp; APIF_Import!$M369), VLOOKUP( APIF_Import!$M369 &amp; APIF_Import!$E$1,Podesavanja!$AA$3:$AD$24, 4, 0), 0)), ".", ","))</f>
        <v>0</v>
      </c>
      <c r="F369" s="364" t="str">
        <f ca="1">IF( ISNA( VLOOKUP( APIF_Import!$M369 &amp; APIF_Import!$F$1,Podesavanja!$AA$3:$AD$24, 4, 0)), "", VLOOKUP( APIF_Import!$C369, INDIRECT( "Lookup_" &amp; APIF_Import!$M369), VLOOKUP( APIF_Import!$M369 &amp; APIF_Import!$F$1,Podesavanja!$AA$3:$AD$24, 4, 0), 0))</f>
        <v/>
      </c>
      <c r="G369" s="364" t="str">
        <f ca="1">IF( ISNA( VLOOKUP( APIF_Import!$M369 &amp; APIF_Import!$G$1,Podesavanja!$AA$3:$AD$24, 4, 0)), "", VLOOKUP( APIF_Import!$C369, INDIRECT( "Lookup_" &amp; APIF_Import!$M369), VLOOKUP( APIF_Import!$M369 &amp; APIF_Import!$G$1,Podesavanja!$AA$3:$AD$24, 4, 0), 0))</f>
        <v/>
      </c>
      <c r="H369" s="364" t="str">
        <f ca="1">IF( ISNA( VLOOKUP( APIF_Import!$M369 &amp; APIF_Import!$H$1,Podesavanja!$AA$3:$AD$24, 4, 0)), "", VLOOKUP( APIF_Import!$C369, INDIRECT( "Lookup_" &amp; APIF_Import!$M369), VLOOKUP( APIF_Import!$M369 &amp; APIF_Import!$H$1,Podesavanja!$AA$3:$AD$24, 4, 0), 0))</f>
        <v/>
      </c>
      <c r="I369" s="364" t="str">
        <f ca="1">IF( ISNA( VLOOKUP( APIF_Import!$M369 &amp; APIF_Import!$I$1,Podesavanja!$AA$3:$AD$24, 4, 0)), "", VLOOKUP( APIF_Import!$C369, INDIRECT( "Lookup_" &amp; APIF_Import!$M369), VLOOKUP( APIF_Import!$M369 &amp; APIF_Import!$I$1,Podesavanja!$AA$3:$AD$24, 4, 0), 0))</f>
        <v/>
      </c>
      <c r="J369" s="364" t="str">
        <f ca="1">IF( ISNA( VLOOKUP( APIF_Import!$M369 &amp; APIF_Import!$J$1,Podesavanja!$AA$3:$AD$24, 4, 0)), "", VLOOKUP( APIF_Import!$C369, INDIRECT( "Lookup_" &amp; APIF_Import!$M369), VLOOKUP( APIF_Import!$M369 &amp; APIF_Import!$J$1,Podesavanja!$AA$3:$AD$24, 4, 0), 0))</f>
        <v/>
      </c>
      <c r="K369" s="364" t="str">
        <f ca="1">IF( ISNA( VLOOKUP( APIF_Import!$M369 &amp; APIF_Import!$K$1,Podesavanja!$AA$3:$AD$24, 4, 0)), "", VLOOKUP( APIF_Import!$C369, INDIRECT( "Lookup_" &amp; APIF_Import!$M369), VLOOKUP( APIF_Import!$M369 &amp; APIF_Import!$K$1,Podesavanja!$AA$3:$AD$24, 4, 0), 0))</f>
        <v/>
      </c>
      <c r="L369" s="8">
        <v>381</v>
      </c>
      <c r="M369" s="8" t="s">
        <v>1375</v>
      </c>
    </row>
    <row r="370" spans="2:13" x14ac:dyDescent="0.2">
      <c r="B370" s="8">
        <f>VLOOKUP( APIF_Import!$M370, Podesavanja!$N$3:$Q$9, 4, 0)</f>
        <v>4</v>
      </c>
      <c r="C370" s="363">
        <f>VLOOKUP( APIF_Import!$L370, Aop!$A$2:$N$415, 4, 0)</f>
        <v>661</v>
      </c>
      <c r="D370" s="364" t="str">
        <f ca="1">IF( ISNA( VLOOKUP( APIF_Import!$M370 &amp; APIF_Import!$D$1,Podesavanja!$AA$3:$AD$24, 4, 0)), "", SUBSTITUTE( VALUE( VLOOKUP( APIF_Import!$C370, INDIRECT( "Lookup_" &amp; APIF_Import!$M370), VLOOKUP( APIF_Import!$M370 &amp; APIF_Import!$D$1,Podesavanja!$AA$3:$AD$24, 4, 0), 0)), ".", ","))</f>
        <v>1789246</v>
      </c>
      <c r="E370" s="364" t="str">
        <f ca="1">IF( ISNA( VLOOKUP( APIF_Import!$M370 &amp; APIF_Import!$E$1,Podesavanja!$AA$3:$AD$24, 4, 0)), "", SUBSTITUTE( VALUE( VLOOKUP( APIF_Import!$C370, INDIRECT( "Lookup_" &amp; APIF_Import!$M370), VLOOKUP( APIF_Import!$M370 &amp; APIF_Import!$E$1,Podesavanja!$AA$3:$AD$24, 4, 0), 0)), ".", ","))</f>
        <v>1475812</v>
      </c>
      <c r="F370" s="364" t="str">
        <f ca="1">IF( ISNA( VLOOKUP( APIF_Import!$M370 &amp; APIF_Import!$F$1,Podesavanja!$AA$3:$AD$24, 4, 0)), "", VLOOKUP( APIF_Import!$C370, INDIRECT( "Lookup_" &amp; APIF_Import!$M370), VLOOKUP( APIF_Import!$M370 &amp; APIF_Import!$F$1,Podesavanja!$AA$3:$AD$24, 4, 0), 0))</f>
        <v/>
      </c>
      <c r="G370" s="364" t="str">
        <f ca="1">IF( ISNA( VLOOKUP( APIF_Import!$M370 &amp; APIF_Import!$G$1,Podesavanja!$AA$3:$AD$24, 4, 0)), "", VLOOKUP( APIF_Import!$C370, INDIRECT( "Lookup_" &amp; APIF_Import!$M370), VLOOKUP( APIF_Import!$M370 &amp; APIF_Import!$G$1,Podesavanja!$AA$3:$AD$24, 4, 0), 0))</f>
        <v/>
      </c>
      <c r="H370" s="364" t="str">
        <f ca="1">IF( ISNA( VLOOKUP( APIF_Import!$M370 &amp; APIF_Import!$H$1,Podesavanja!$AA$3:$AD$24, 4, 0)), "", VLOOKUP( APIF_Import!$C370, INDIRECT( "Lookup_" &amp; APIF_Import!$M370), VLOOKUP( APIF_Import!$M370 &amp; APIF_Import!$H$1,Podesavanja!$AA$3:$AD$24, 4, 0), 0))</f>
        <v/>
      </c>
      <c r="I370" s="364" t="str">
        <f ca="1">IF( ISNA( VLOOKUP( APIF_Import!$M370 &amp; APIF_Import!$I$1,Podesavanja!$AA$3:$AD$24, 4, 0)), "", VLOOKUP( APIF_Import!$C370, INDIRECT( "Lookup_" &amp; APIF_Import!$M370), VLOOKUP( APIF_Import!$M370 &amp; APIF_Import!$I$1,Podesavanja!$AA$3:$AD$24, 4, 0), 0))</f>
        <v/>
      </c>
      <c r="J370" s="364" t="str">
        <f ca="1">IF( ISNA( VLOOKUP( APIF_Import!$M370 &amp; APIF_Import!$J$1,Podesavanja!$AA$3:$AD$24, 4, 0)), "", VLOOKUP( APIF_Import!$C370, INDIRECT( "Lookup_" &amp; APIF_Import!$M370), VLOOKUP( APIF_Import!$M370 &amp; APIF_Import!$J$1,Podesavanja!$AA$3:$AD$24, 4, 0), 0))</f>
        <v/>
      </c>
      <c r="K370" s="364" t="str">
        <f ca="1">IF( ISNA( VLOOKUP( APIF_Import!$M370 &amp; APIF_Import!$K$1,Podesavanja!$AA$3:$AD$24, 4, 0)), "", VLOOKUP( APIF_Import!$C370, INDIRECT( "Lookup_" &amp; APIF_Import!$M370), VLOOKUP( APIF_Import!$M370 &amp; APIF_Import!$K$1,Podesavanja!$AA$3:$AD$24, 4, 0), 0))</f>
        <v/>
      </c>
      <c r="L370" s="8">
        <v>382</v>
      </c>
      <c r="M370" s="8" t="s">
        <v>1375</v>
      </c>
    </row>
    <row r="371" spans="2:13" x14ac:dyDescent="0.2">
      <c r="B371" s="8">
        <f>VLOOKUP( APIF_Import!$M371, Podesavanja!$N$3:$Q$9, 4, 0)</f>
        <v>4</v>
      </c>
      <c r="C371" s="363">
        <f>VLOOKUP( APIF_Import!$L371, Aop!$A$2:$N$415, 4, 0)</f>
        <v>662</v>
      </c>
      <c r="D371" s="364" t="str">
        <f ca="1">IF( ISNA( VLOOKUP( APIF_Import!$M371 &amp; APIF_Import!$D$1,Podesavanja!$AA$3:$AD$24, 4, 0)), "", SUBSTITUTE( VALUE( VLOOKUP( APIF_Import!$C371, INDIRECT( "Lookup_" &amp; APIF_Import!$M371), VLOOKUP( APIF_Import!$M371 &amp; APIF_Import!$D$1,Podesavanja!$AA$3:$AD$24, 4, 0), 0)), ".", ","))</f>
        <v>1758895</v>
      </c>
      <c r="E371" s="364" t="str">
        <f ca="1">IF( ISNA( VLOOKUP( APIF_Import!$M371 &amp; APIF_Import!$E$1,Podesavanja!$AA$3:$AD$24, 4, 0)), "", SUBSTITUTE( VALUE( VLOOKUP( APIF_Import!$C371, INDIRECT( "Lookup_" &amp; APIF_Import!$M371), VLOOKUP( APIF_Import!$M371 &amp; APIF_Import!$E$1,Podesavanja!$AA$3:$AD$24, 4, 0), 0)), ".", ","))</f>
        <v>1357077</v>
      </c>
      <c r="F371" s="364" t="str">
        <f ca="1">IF( ISNA( VLOOKUP( APIF_Import!$M371 &amp; APIF_Import!$F$1,Podesavanja!$AA$3:$AD$24, 4, 0)), "", VLOOKUP( APIF_Import!$C371, INDIRECT( "Lookup_" &amp; APIF_Import!$M371), VLOOKUP( APIF_Import!$M371 &amp; APIF_Import!$F$1,Podesavanja!$AA$3:$AD$24, 4, 0), 0))</f>
        <v/>
      </c>
      <c r="G371" s="364" t="str">
        <f ca="1">IF( ISNA( VLOOKUP( APIF_Import!$M371 &amp; APIF_Import!$G$1,Podesavanja!$AA$3:$AD$24, 4, 0)), "", VLOOKUP( APIF_Import!$C371, INDIRECT( "Lookup_" &amp; APIF_Import!$M371), VLOOKUP( APIF_Import!$M371 &amp; APIF_Import!$G$1,Podesavanja!$AA$3:$AD$24, 4, 0), 0))</f>
        <v/>
      </c>
      <c r="H371" s="364" t="str">
        <f ca="1">IF( ISNA( VLOOKUP( APIF_Import!$M371 &amp; APIF_Import!$H$1,Podesavanja!$AA$3:$AD$24, 4, 0)), "", VLOOKUP( APIF_Import!$C371, INDIRECT( "Lookup_" &amp; APIF_Import!$M371), VLOOKUP( APIF_Import!$M371 &amp; APIF_Import!$H$1,Podesavanja!$AA$3:$AD$24, 4, 0), 0))</f>
        <v/>
      </c>
      <c r="I371" s="364" t="str">
        <f ca="1">IF( ISNA( VLOOKUP( APIF_Import!$M371 &amp; APIF_Import!$I$1,Podesavanja!$AA$3:$AD$24, 4, 0)), "", VLOOKUP( APIF_Import!$C371, INDIRECT( "Lookup_" &amp; APIF_Import!$M371), VLOOKUP( APIF_Import!$M371 &amp; APIF_Import!$I$1,Podesavanja!$AA$3:$AD$24, 4, 0), 0))</f>
        <v/>
      </c>
      <c r="J371" s="364" t="str">
        <f ca="1">IF( ISNA( VLOOKUP( APIF_Import!$M371 &amp; APIF_Import!$J$1,Podesavanja!$AA$3:$AD$24, 4, 0)), "", VLOOKUP( APIF_Import!$C371, INDIRECT( "Lookup_" &amp; APIF_Import!$M371), VLOOKUP( APIF_Import!$M371 &amp; APIF_Import!$J$1,Podesavanja!$AA$3:$AD$24, 4, 0), 0))</f>
        <v/>
      </c>
      <c r="K371" s="364" t="str">
        <f ca="1">IF( ISNA( VLOOKUP( APIF_Import!$M371 &amp; APIF_Import!$K$1,Podesavanja!$AA$3:$AD$24, 4, 0)), "", VLOOKUP( APIF_Import!$C371, INDIRECT( "Lookup_" &amp; APIF_Import!$M371), VLOOKUP( APIF_Import!$M371 &amp; APIF_Import!$K$1,Podesavanja!$AA$3:$AD$24, 4, 0), 0))</f>
        <v/>
      </c>
      <c r="L371" s="8">
        <v>383</v>
      </c>
      <c r="M371" s="8" t="s">
        <v>1375</v>
      </c>
    </row>
    <row r="372" spans="2:13" x14ac:dyDescent="0.2">
      <c r="B372" s="8">
        <f>VLOOKUP( APIF_Import!$M372, Podesavanja!$N$3:$Q$9, 4, 0)</f>
        <v>4</v>
      </c>
      <c r="C372" s="363">
        <f>VLOOKUP( APIF_Import!$L372, Aop!$A$2:$N$415, 4, 0)</f>
        <v>663</v>
      </c>
      <c r="D372" s="364" t="str">
        <f ca="1">IF( ISNA( VLOOKUP( APIF_Import!$M372 &amp; APIF_Import!$D$1,Podesavanja!$AA$3:$AD$24, 4, 0)), "", SUBSTITUTE( VALUE( VLOOKUP( APIF_Import!$C372, INDIRECT( "Lookup_" &amp; APIF_Import!$M372), VLOOKUP( APIF_Import!$M372 &amp; APIF_Import!$D$1,Podesavanja!$AA$3:$AD$24, 4, 0), 0)), ".", ","))</f>
        <v>0</v>
      </c>
      <c r="E372" s="364" t="str">
        <f ca="1">IF( ISNA( VLOOKUP( APIF_Import!$M372 &amp; APIF_Import!$E$1,Podesavanja!$AA$3:$AD$24, 4, 0)), "", SUBSTITUTE( VALUE( VLOOKUP( APIF_Import!$C372, INDIRECT( "Lookup_" &amp; APIF_Import!$M372), VLOOKUP( APIF_Import!$M372 &amp; APIF_Import!$E$1,Podesavanja!$AA$3:$AD$24, 4, 0), 0)), ".", ","))</f>
        <v>39224</v>
      </c>
      <c r="F372" s="364" t="str">
        <f ca="1">IF( ISNA( VLOOKUP( APIF_Import!$M372 &amp; APIF_Import!$F$1,Podesavanja!$AA$3:$AD$24, 4, 0)), "", VLOOKUP( APIF_Import!$C372, INDIRECT( "Lookup_" &amp; APIF_Import!$M372), VLOOKUP( APIF_Import!$M372 &amp; APIF_Import!$F$1,Podesavanja!$AA$3:$AD$24, 4, 0), 0))</f>
        <v/>
      </c>
      <c r="G372" s="364" t="str">
        <f ca="1">IF( ISNA( VLOOKUP( APIF_Import!$M372 &amp; APIF_Import!$G$1,Podesavanja!$AA$3:$AD$24, 4, 0)), "", VLOOKUP( APIF_Import!$C372, INDIRECT( "Lookup_" &amp; APIF_Import!$M372), VLOOKUP( APIF_Import!$M372 &amp; APIF_Import!$G$1,Podesavanja!$AA$3:$AD$24, 4, 0), 0))</f>
        <v/>
      </c>
      <c r="H372" s="364" t="str">
        <f ca="1">IF( ISNA( VLOOKUP( APIF_Import!$M372 &amp; APIF_Import!$H$1,Podesavanja!$AA$3:$AD$24, 4, 0)), "", VLOOKUP( APIF_Import!$C372, INDIRECT( "Lookup_" &amp; APIF_Import!$M372), VLOOKUP( APIF_Import!$M372 &amp; APIF_Import!$H$1,Podesavanja!$AA$3:$AD$24, 4, 0), 0))</f>
        <v/>
      </c>
      <c r="I372" s="364" t="str">
        <f ca="1">IF( ISNA( VLOOKUP( APIF_Import!$M372 &amp; APIF_Import!$I$1,Podesavanja!$AA$3:$AD$24, 4, 0)), "", VLOOKUP( APIF_Import!$C372, INDIRECT( "Lookup_" &amp; APIF_Import!$M372), VLOOKUP( APIF_Import!$M372 &amp; APIF_Import!$I$1,Podesavanja!$AA$3:$AD$24, 4, 0), 0))</f>
        <v/>
      </c>
      <c r="J372" s="364" t="str">
        <f ca="1">IF( ISNA( VLOOKUP( APIF_Import!$M372 &amp; APIF_Import!$J$1,Podesavanja!$AA$3:$AD$24, 4, 0)), "", VLOOKUP( APIF_Import!$C372, INDIRECT( "Lookup_" &amp; APIF_Import!$M372), VLOOKUP( APIF_Import!$M372 &amp; APIF_Import!$J$1,Podesavanja!$AA$3:$AD$24, 4, 0), 0))</f>
        <v/>
      </c>
      <c r="K372" s="364" t="str">
        <f ca="1">IF( ISNA( VLOOKUP( APIF_Import!$M372 &amp; APIF_Import!$K$1,Podesavanja!$AA$3:$AD$24, 4, 0)), "", VLOOKUP( APIF_Import!$C372, INDIRECT( "Lookup_" &amp; APIF_Import!$M372), VLOOKUP( APIF_Import!$M372 &amp; APIF_Import!$K$1,Podesavanja!$AA$3:$AD$24, 4, 0), 0))</f>
        <v/>
      </c>
      <c r="L372" s="8">
        <v>384</v>
      </c>
      <c r="M372" s="8" t="s">
        <v>1375</v>
      </c>
    </row>
    <row r="373" spans="2:13" x14ac:dyDescent="0.2">
      <c r="B373" s="8">
        <f>VLOOKUP( APIF_Import!$M373, Podesavanja!$N$3:$Q$9, 4, 0)</f>
        <v>4</v>
      </c>
      <c r="C373" s="363">
        <f>VLOOKUP( APIF_Import!$L373, Aop!$A$2:$N$415, 4, 0)</f>
        <v>664</v>
      </c>
      <c r="D373" s="364" t="str">
        <f ca="1">IF( ISNA( VLOOKUP( APIF_Import!$M373 &amp; APIF_Import!$D$1,Podesavanja!$AA$3:$AD$24, 4, 0)), "", SUBSTITUTE( VALUE( VLOOKUP( APIF_Import!$C373, INDIRECT( "Lookup_" &amp; APIF_Import!$M373), VLOOKUP( APIF_Import!$M373 &amp; APIF_Import!$D$1,Podesavanja!$AA$3:$AD$24, 4, 0), 0)), ".", ","))</f>
        <v>0</v>
      </c>
      <c r="E373" s="364" t="str">
        <f ca="1">IF( ISNA( VLOOKUP( APIF_Import!$M373 &amp; APIF_Import!$E$1,Podesavanja!$AA$3:$AD$24, 4, 0)), "", SUBSTITUTE( VALUE( VLOOKUP( APIF_Import!$C373, INDIRECT( "Lookup_" &amp; APIF_Import!$M373), VLOOKUP( APIF_Import!$M373 &amp; APIF_Import!$E$1,Podesavanja!$AA$3:$AD$24, 4, 0), 0)), ".", ","))</f>
        <v>0</v>
      </c>
      <c r="F373" s="364" t="str">
        <f ca="1">IF( ISNA( VLOOKUP( APIF_Import!$M373 &amp; APIF_Import!$F$1,Podesavanja!$AA$3:$AD$24, 4, 0)), "", VLOOKUP( APIF_Import!$C373, INDIRECT( "Lookup_" &amp; APIF_Import!$M373), VLOOKUP( APIF_Import!$M373 &amp; APIF_Import!$F$1,Podesavanja!$AA$3:$AD$24, 4, 0), 0))</f>
        <v/>
      </c>
      <c r="G373" s="364" t="str">
        <f ca="1">IF( ISNA( VLOOKUP( APIF_Import!$M373 &amp; APIF_Import!$G$1,Podesavanja!$AA$3:$AD$24, 4, 0)), "", VLOOKUP( APIF_Import!$C373, INDIRECT( "Lookup_" &amp; APIF_Import!$M373), VLOOKUP( APIF_Import!$M373 &amp; APIF_Import!$G$1,Podesavanja!$AA$3:$AD$24, 4, 0), 0))</f>
        <v/>
      </c>
      <c r="H373" s="364" t="str">
        <f ca="1">IF( ISNA( VLOOKUP( APIF_Import!$M373 &amp; APIF_Import!$H$1,Podesavanja!$AA$3:$AD$24, 4, 0)), "", VLOOKUP( APIF_Import!$C373, INDIRECT( "Lookup_" &amp; APIF_Import!$M373), VLOOKUP( APIF_Import!$M373 &amp; APIF_Import!$H$1,Podesavanja!$AA$3:$AD$24, 4, 0), 0))</f>
        <v/>
      </c>
      <c r="I373" s="364" t="str">
        <f ca="1">IF( ISNA( VLOOKUP( APIF_Import!$M373 &amp; APIF_Import!$I$1,Podesavanja!$AA$3:$AD$24, 4, 0)), "", VLOOKUP( APIF_Import!$C373, INDIRECT( "Lookup_" &amp; APIF_Import!$M373), VLOOKUP( APIF_Import!$M373 &amp; APIF_Import!$I$1,Podesavanja!$AA$3:$AD$24, 4, 0), 0))</f>
        <v/>
      </c>
      <c r="J373" s="364" t="str">
        <f ca="1">IF( ISNA( VLOOKUP( APIF_Import!$M373 &amp; APIF_Import!$J$1,Podesavanja!$AA$3:$AD$24, 4, 0)), "", VLOOKUP( APIF_Import!$C373, INDIRECT( "Lookup_" &amp; APIF_Import!$M373), VLOOKUP( APIF_Import!$M373 &amp; APIF_Import!$J$1,Podesavanja!$AA$3:$AD$24, 4, 0), 0))</f>
        <v/>
      </c>
      <c r="K373" s="364" t="str">
        <f ca="1">IF( ISNA( VLOOKUP( APIF_Import!$M373 &amp; APIF_Import!$K$1,Podesavanja!$AA$3:$AD$24, 4, 0)), "", VLOOKUP( APIF_Import!$C373, INDIRECT( "Lookup_" &amp; APIF_Import!$M373), VLOOKUP( APIF_Import!$M373 &amp; APIF_Import!$K$1,Podesavanja!$AA$3:$AD$24, 4, 0), 0))</f>
        <v/>
      </c>
      <c r="L373" s="8">
        <v>385</v>
      </c>
      <c r="M373" s="8" t="s">
        <v>1375</v>
      </c>
    </row>
    <row r="374" spans="2:13" x14ac:dyDescent="0.2">
      <c r="B374" s="8">
        <f>VLOOKUP( APIF_Import!$M374, Podesavanja!$N$3:$Q$9, 4, 0)</f>
        <v>4</v>
      </c>
      <c r="C374" s="363">
        <f>VLOOKUP( APIF_Import!$L374, Aop!$A$2:$N$415, 4, 0)</f>
        <v>665</v>
      </c>
      <c r="D374" s="364" t="str">
        <f ca="1">IF( ISNA( VLOOKUP( APIF_Import!$M374 &amp; APIF_Import!$D$1,Podesavanja!$AA$3:$AD$24, 4, 0)), "", SUBSTITUTE( VALUE( VLOOKUP( APIF_Import!$C374, INDIRECT( "Lookup_" &amp; APIF_Import!$M374), VLOOKUP( APIF_Import!$M374 &amp; APIF_Import!$D$1,Podesavanja!$AA$3:$AD$24, 4, 0), 0)), ".", ","))</f>
        <v>1529299</v>
      </c>
      <c r="E374" s="364" t="str">
        <f ca="1">IF( ISNA( VLOOKUP( APIF_Import!$M374 &amp; APIF_Import!$E$1,Podesavanja!$AA$3:$AD$24, 4, 0)), "", SUBSTITUTE( VALUE( VLOOKUP( APIF_Import!$C374, INDIRECT( "Lookup_" &amp; APIF_Import!$M374), VLOOKUP( APIF_Import!$M374 &amp; APIF_Import!$E$1,Podesavanja!$AA$3:$AD$24, 4, 0), 0)), ".", ","))</f>
        <v>1148702</v>
      </c>
      <c r="F374" s="364" t="str">
        <f ca="1">IF( ISNA( VLOOKUP( APIF_Import!$M374 &amp; APIF_Import!$F$1,Podesavanja!$AA$3:$AD$24, 4, 0)), "", VLOOKUP( APIF_Import!$C374, INDIRECT( "Lookup_" &amp; APIF_Import!$M374), VLOOKUP( APIF_Import!$M374 &amp; APIF_Import!$F$1,Podesavanja!$AA$3:$AD$24, 4, 0), 0))</f>
        <v/>
      </c>
      <c r="G374" s="364" t="str">
        <f ca="1">IF( ISNA( VLOOKUP( APIF_Import!$M374 &amp; APIF_Import!$G$1,Podesavanja!$AA$3:$AD$24, 4, 0)), "", VLOOKUP( APIF_Import!$C374, INDIRECT( "Lookup_" &amp; APIF_Import!$M374), VLOOKUP( APIF_Import!$M374 &amp; APIF_Import!$G$1,Podesavanja!$AA$3:$AD$24, 4, 0), 0))</f>
        <v/>
      </c>
      <c r="H374" s="364" t="str">
        <f ca="1">IF( ISNA( VLOOKUP( APIF_Import!$M374 &amp; APIF_Import!$H$1,Podesavanja!$AA$3:$AD$24, 4, 0)), "", VLOOKUP( APIF_Import!$C374, INDIRECT( "Lookup_" &amp; APIF_Import!$M374), VLOOKUP( APIF_Import!$M374 &amp; APIF_Import!$H$1,Podesavanja!$AA$3:$AD$24, 4, 0), 0))</f>
        <v/>
      </c>
      <c r="I374" s="364" t="str">
        <f ca="1">IF( ISNA( VLOOKUP( APIF_Import!$M374 &amp; APIF_Import!$I$1,Podesavanja!$AA$3:$AD$24, 4, 0)), "", VLOOKUP( APIF_Import!$C374, INDIRECT( "Lookup_" &amp; APIF_Import!$M374), VLOOKUP( APIF_Import!$M374 &amp; APIF_Import!$I$1,Podesavanja!$AA$3:$AD$24, 4, 0), 0))</f>
        <v/>
      </c>
      <c r="J374" s="364" t="str">
        <f ca="1">IF( ISNA( VLOOKUP( APIF_Import!$M374 &amp; APIF_Import!$J$1,Podesavanja!$AA$3:$AD$24, 4, 0)), "", VLOOKUP( APIF_Import!$C374, INDIRECT( "Lookup_" &amp; APIF_Import!$M374), VLOOKUP( APIF_Import!$M374 &amp; APIF_Import!$J$1,Podesavanja!$AA$3:$AD$24, 4, 0), 0))</f>
        <v/>
      </c>
      <c r="K374" s="364" t="str">
        <f ca="1">IF( ISNA( VLOOKUP( APIF_Import!$M374 &amp; APIF_Import!$K$1,Podesavanja!$AA$3:$AD$24, 4, 0)), "", VLOOKUP( APIF_Import!$C374, INDIRECT( "Lookup_" &amp; APIF_Import!$M374), VLOOKUP( APIF_Import!$M374 &amp; APIF_Import!$K$1,Podesavanja!$AA$3:$AD$24, 4, 0), 0))</f>
        <v/>
      </c>
      <c r="L374" s="8">
        <v>386</v>
      </c>
      <c r="M374" s="8" t="s">
        <v>1375</v>
      </c>
    </row>
    <row r="375" spans="2:13" x14ac:dyDescent="0.2">
      <c r="B375" s="8">
        <f>VLOOKUP( APIF_Import!$M375, Podesavanja!$N$3:$Q$9, 4, 0)</f>
        <v>4</v>
      </c>
      <c r="C375" s="363">
        <f>VLOOKUP( APIF_Import!$L375, Aop!$A$2:$N$415, 4, 0)</f>
        <v>666</v>
      </c>
      <c r="D375" s="364" t="str">
        <f ca="1">IF( ISNA( VLOOKUP( APIF_Import!$M375 &amp; APIF_Import!$D$1,Podesavanja!$AA$3:$AD$24, 4, 0)), "", SUBSTITUTE( VALUE( VLOOKUP( APIF_Import!$C375, INDIRECT( "Lookup_" &amp; APIF_Import!$M375), VLOOKUP( APIF_Import!$M375 &amp; APIF_Import!$D$1,Podesavanja!$AA$3:$AD$24, 4, 0), 0)), ".", ","))</f>
        <v>1529299</v>
      </c>
      <c r="E375" s="364" t="str">
        <f ca="1">IF( ISNA( VLOOKUP( APIF_Import!$M375 &amp; APIF_Import!$E$1,Podesavanja!$AA$3:$AD$24, 4, 0)), "", SUBSTITUTE( VALUE( VLOOKUP( APIF_Import!$C375, INDIRECT( "Lookup_" &amp; APIF_Import!$M375), VLOOKUP( APIF_Import!$M375 &amp; APIF_Import!$E$1,Podesavanja!$AA$3:$AD$24, 4, 0), 0)), ".", ","))</f>
        <v>1148702</v>
      </c>
      <c r="F375" s="364" t="str">
        <f ca="1">IF( ISNA( VLOOKUP( APIF_Import!$M375 &amp; APIF_Import!$F$1,Podesavanja!$AA$3:$AD$24, 4, 0)), "", VLOOKUP( APIF_Import!$C375, INDIRECT( "Lookup_" &amp; APIF_Import!$M375), VLOOKUP( APIF_Import!$M375 &amp; APIF_Import!$F$1,Podesavanja!$AA$3:$AD$24, 4, 0), 0))</f>
        <v/>
      </c>
      <c r="G375" s="364" t="str">
        <f ca="1">IF( ISNA( VLOOKUP( APIF_Import!$M375 &amp; APIF_Import!$G$1,Podesavanja!$AA$3:$AD$24, 4, 0)), "", VLOOKUP( APIF_Import!$C375, INDIRECT( "Lookup_" &amp; APIF_Import!$M375), VLOOKUP( APIF_Import!$M375 &amp; APIF_Import!$G$1,Podesavanja!$AA$3:$AD$24, 4, 0), 0))</f>
        <v/>
      </c>
      <c r="H375" s="364" t="str">
        <f ca="1">IF( ISNA( VLOOKUP( APIF_Import!$M375 &amp; APIF_Import!$H$1,Podesavanja!$AA$3:$AD$24, 4, 0)), "", VLOOKUP( APIF_Import!$C375, INDIRECT( "Lookup_" &amp; APIF_Import!$M375), VLOOKUP( APIF_Import!$M375 &amp; APIF_Import!$H$1,Podesavanja!$AA$3:$AD$24, 4, 0), 0))</f>
        <v/>
      </c>
      <c r="I375" s="364" t="str">
        <f ca="1">IF( ISNA( VLOOKUP( APIF_Import!$M375 &amp; APIF_Import!$I$1,Podesavanja!$AA$3:$AD$24, 4, 0)), "", VLOOKUP( APIF_Import!$C375, INDIRECT( "Lookup_" &amp; APIF_Import!$M375), VLOOKUP( APIF_Import!$M375 &amp; APIF_Import!$I$1,Podesavanja!$AA$3:$AD$24, 4, 0), 0))</f>
        <v/>
      </c>
      <c r="J375" s="364" t="str">
        <f ca="1">IF( ISNA( VLOOKUP( APIF_Import!$M375 &amp; APIF_Import!$J$1,Podesavanja!$AA$3:$AD$24, 4, 0)), "", VLOOKUP( APIF_Import!$C375, INDIRECT( "Lookup_" &amp; APIF_Import!$M375), VLOOKUP( APIF_Import!$M375 &amp; APIF_Import!$J$1,Podesavanja!$AA$3:$AD$24, 4, 0), 0))</f>
        <v/>
      </c>
      <c r="K375" s="364" t="str">
        <f ca="1">IF( ISNA( VLOOKUP( APIF_Import!$M375 &amp; APIF_Import!$K$1,Podesavanja!$AA$3:$AD$24, 4, 0)), "", VLOOKUP( APIF_Import!$C375, INDIRECT( "Lookup_" &amp; APIF_Import!$M375), VLOOKUP( APIF_Import!$M375 &amp; APIF_Import!$K$1,Podesavanja!$AA$3:$AD$24, 4, 0), 0))</f>
        <v/>
      </c>
      <c r="L375" s="8">
        <v>387</v>
      </c>
      <c r="M375" s="8" t="s">
        <v>1375</v>
      </c>
    </row>
    <row r="376" spans="2:13" x14ac:dyDescent="0.2">
      <c r="B376" s="8">
        <f>VLOOKUP( APIF_Import!$M376, Podesavanja!$N$3:$Q$9, 4, 0)</f>
        <v>4</v>
      </c>
      <c r="C376" s="363">
        <f>VLOOKUP( APIF_Import!$L376, Aop!$A$2:$N$415, 4, 0)</f>
        <v>667</v>
      </c>
      <c r="D376" s="364" t="str">
        <f ca="1">IF( ISNA( VLOOKUP( APIF_Import!$M376 &amp; APIF_Import!$D$1,Podesavanja!$AA$3:$AD$24, 4, 0)), "", SUBSTITUTE( VALUE( VLOOKUP( APIF_Import!$C376, INDIRECT( "Lookup_" &amp; APIF_Import!$M376), VLOOKUP( APIF_Import!$M376 &amp; APIF_Import!$D$1,Podesavanja!$AA$3:$AD$24, 4, 0), 0)), ".", ","))</f>
        <v>0</v>
      </c>
      <c r="E376" s="364" t="str">
        <f ca="1">IF( ISNA( VLOOKUP( APIF_Import!$M376 &amp; APIF_Import!$E$1,Podesavanja!$AA$3:$AD$24, 4, 0)), "", SUBSTITUTE( VALUE( VLOOKUP( APIF_Import!$C376, INDIRECT( "Lookup_" &amp; APIF_Import!$M376), VLOOKUP( APIF_Import!$M376 &amp; APIF_Import!$E$1,Podesavanja!$AA$3:$AD$24, 4, 0), 0)), ".", ","))</f>
        <v>0</v>
      </c>
      <c r="F376" s="364" t="str">
        <f ca="1">IF( ISNA( VLOOKUP( APIF_Import!$M376 &amp; APIF_Import!$F$1,Podesavanja!$AA$3:$AD$24, 4, 0)), "", VLOOKUP( APIF_Import!$C376, INDIRECT( "Lookup_" &amp; APIF_Import!$M376), VLOOKUP( APIF_Import!$M376 &amp; APIF_Import!$F$1,Podesavanja!$AA$3:$AD$24, 4, 0), 0))</f>
        <v/>
      </c>
      <c r="G376" s="364" t="str">
        <f ca="1">IF( ISNA( VLOOKUP( APIF_Import!$M376 &amp; APIF_Import!$G$1,Podesavanja!$AA$3:$AD$24, 4, 0)), "", VLOOKUP( APIF_Import!$C376, INDIRECT( "Lookup_" &amp; APIF_Import!$M376), VLOOKUP( APIF_Import!$M376 &amp; APIF_Import!$G$1,Podesavanja!$AA$3:$AD$24, 4, 0), 0))</f>
        <v/>
      </c>
      <c r="H376" s="364" t="str">
        <f ca="1">IF( ISNA( VLOOKUP( APIF_Import!$M376 &amp; APIF_Import!$H$1,Podesavanja!$AA$3:$AD$24, 4, 0)), "", VLOOKUP( APIF_Import!$C376, INDIRECT( "Lookup_" &amp; APIF_Import!$M376), VLOOKUP( APIF_Import!$M376 &amp; APIF_Import!$H$1,Podesavanja!$AA$3:$AD$24, 4, 0), 0))</f>
        <v/>
      </c>
      <c r="I376" s="364" t="str">
        <f ca="1">IF( ISNA( VLOOKUP( APIF_Import!$M376 &amp; APIF_Import!$I$1,Podesavanja!$AA$3:$AD$24, 4, 0)), "", VLOOKUP( APIF_Import!$C376, INDIRECT( "Lookup_" &amp; APIF_Import!$M376), VLOOKUP( APIF_Import!$M376 &amp; APIF_Import!$I$1,Podesavanja!$AA$3:$AD$24, 4, 0), 0))</f>
        <v/>
      </c>
      <c r="J376" s="364" t="str">
        <f ca="1">IF( ISNA( VLOOKUP( APIF_Import!$M376 &amp; APIF_Import!$J$1,Podesavanja!$AA$3:$AD$24, 4, 0)), "", VLOOKUP( APIF_Import!$C376, INDIRECT( "Lookup_" &amp; APIF_Import!$M376), VLOOKUP( APIF_Import!$M376 &amp; APIF_Import!$J$1,Podesavanja!$AA$3:$AD$24, 4, 0), 0))</f>
        <v/>
      </c>
      <c r="K376" s="364" t="str">
        <f ca="1">IF( ISNA( VLOOKUP( APIF_Import!$M376 &amp; APIF_Import!$K$1,Podesavanja!$AA$3:$AD$24, 4, 0)), "", VLOOKUP( APIF_Import!$C376, INDIRECT( "Lookup_" &amp; APIF_Import!$M376), VLOOKUP( APIF_Import!$M376 &amp; APIF_Import!$K$1,Podesavanja!$AA$3:$AD$24, 4, 0), 0))</f>
        <v/>
      </c>
      <c r="L376" s="8">
        <v>388</v>
      </c>
      <c r="M376" s="8" t="s">
        <v>1375</v>
      </c>
    </row>
    <row r="377" spans="2:13" x14ac:dyDescent="0.2">
      <c r="B377" s="8">
        <f>VLOOKUP( APIF_Import!$M377, Podesavanja!$N$3:$Q$9, 4, 0)</f>
        <v>4</v>
      </c>
      <c r="C377" s="363">
        <f>VLOOKUP( APIF_Import!$L377, Aop!$A$2:$N$415, 4, 0)</f>
        <v>668</v>
      </c>
      <c r="D377" s="364" t="str">
        <f ca="1">IF( ISNA( VLOOKUP( APIF_Import!$M377 &amp; APIF_Import!$D$1,Podesavanja!$AA$3:$AD$24, 4, 0)), "", SUBSTITUTE( VALUE( VLOOKUP( APIF_Import!$C377, INDIRECT( "Lookup_" &amp; APIF_Import!$M377), VLOOKUP( APIF_Import!$M377 &amp; APIF_Import!$D$1,Podesavanja!$AA$3:$AD$24, 4, 0), 0)), ".", ","))</f>
        <v>0</v>
      </c>
      <c r="E377" s="364" t="str">
        <f ca="1">IF( ISNA( VLOOKUP( APIF_Import!$M377 &amp; APIF_Import!$E$1,Podesavanja!$AA$3:$AD$24, 4, 0)), "", SUBSTITUTE( VALUE( VLOOKUP( APIF_Import!$C377, INDIRECT( "Lookup_" &amp; APIF_Import!$M377), VLOOKUP( APIF_Import!$M377 &amp; APIF_Import!$E$1,Podesavanja!$AA$3:$AD$24, 4, 0), 0)), ".", ","))</f>
        <v>0</v>
      </c>
      <c r="F377" s="364" t="str">
        <f ca="1">IF( ISNA( VLOOKUP( APIF_Import!$M377 &amp; APIF_Import!$F$1,Podesavanja!$AA$3:$AD$24, 4, 0)), "", VLOOKUP( APIF_Import!$C377, INDIRECT( "Lookup_" &amp; APIF_Import!$M377), VLOOKUP( APIF_Import!$M377 &amp; APIF_Import!$F$1,Podesavanja!$AA$3:$AD$24, 4, 0), 0))</f>
        <v/>
      </c>
      <c r="G377" s="364" t="str">
        <f ca="1">IF( ISNA( VLOOKUP( APIF_Import!$M377 &amp; APIF_Import!$G$1,Podesavanja!$AA$3:$AD$24, 4, 0)), "", VLOOKUP( APIF_Import!$C377, INDIRECT( "Lookup_" &amp; APIF_Import!$M377), VLOOKUP( APIF_Import!$M377 &amp; APIF_Import!$G$1,Podesavanja!$AA$3:$AD$24, 4, 0), 0))</f>
        <v/>
      </c>
      <c r="H377" s="364" t="str">
        <f ca="1">IF( ISNA( VLOOKUP( APIF_Import!$M377 &amp; APIF_Import!$H$1,Podesavanja!$AA$3:$AD$24, 4, 0)), "", VLOOKUP( APIF_Import!$C377, INDIRECT( "Lookup_" &amp; APIF_Import!$M377), VLOOKUP( APIF_Import!$M377 &amp; APIF_Import!$H$1,Podesavanja!$AA$3:$AD$24, 4, 0), 0))</f>
        <v/>
      </c>
      <c r="I377" s="364" t="str">
        <f ca="1">IF( ISNA( VLOOKUP( APIF_Import!$M377 &amp; APIF_Import!$I$1,Podesavanja!$AA$3:$AD$24, 4, 0)), "", VLOOKUP( APIF_Import!$C377, INDIRECT( "Lookup_" &amp; APIF_Import!$M377), VLOOKUP( APIF_Import!$M377 &amp; APIF_Import!$I$1,Podesavanja!$AA$3:$AD$24, 4, 0), 0))</f>
        <v/>
      </c>
      <c r="J377" s="364" t="str">
        <f ca="1">IF( ISNA( VLOOKUP( APIF_Import!$M377 &amp; APIF_Import!$J$1,Podesavanja!$AA$3:$AD$24, 4, 0)), "", VLOOKUP( APIF_Import!$C377, INDIRECT( "Lookup_" &amp; APIF_Import!$M377), VLOOKUP( APIF_Import!$M377 &amp; APIF_Import!$J$1,Podesavanja!$AA$3:$AD$24, 4, 0), 0))</f>
        <v/>
      </c>
      <c r="K377" s="364" t="str">
        <f ca="1">IF( ISNA( VLOOKUP( APIF_Import!$M377 &amp; APIF_Import!$K$1,Podesavanja!$AA$3:$AD$24, 4, 0)), "", VLOOKUP( APIF_Import!$C377, INDIRECT( "Lookup_" &amp; APIF_Import!$M377), VLOOKUP( APIF_Import!$M377 &amp; APIF_Import!$K$1,Podesavanja!$AA$3:$AD$24, 4, 0), 0))</f>
        <v/>
      </c>
      <c r="L377" s="8">
        <v>389</v>
      </c>
      <c r="M377" s="8" t="s">
        <v>1375</v>
      </c>
    </row>
    <row r="378" spans="2:13" x14ac:dyDescent="0.2">
      <c r="B378" s="8">
        <f>VLOOKUP( APIF_Import!$M378, Podesavanja!$N$3:$Q$9, 4, 0)</f>
        <v>4</v>
      </c>
      <c r="C378" s="363">
        <f>VLOOKUP( APIF_Import!$L378, Aop!$A$2:$N$415, 4, 0)</f>
        <v>669</v>
      </c>
      <c r="D378" s="364" t="str">
        <f ca="1">IF( ISNA( VLOOKUP( APIF_Import!$M378 &amp; APIF_Import!$D$1,Podesavanja!$AA$3:$AD$24, 4, 0)), "", SUBSTITUTE( VALUE( VLOOKUP( APIF_Import!$C378, INDIRECT( "Lookup_" &amp; APIF_Import!$M378), VLOOKUP( APIF_Import!$M378 &amp; APIF_Import!$D$1,Podesavanja!$AA$3:$AD$24, 4, 0), 0)), ".", ","))</f>
        <v>0</v>
      </c>
      <c r="E378" s="364" t="str">
        <f ca="1">IF( ISNA( VLOOKUP( APIF_Import!$M378 &amp; APIF_Import!$E$1,Podesavanja!$AA$3:$AD$24, 4, 0)), "", SUBSTITUTE( VALUE( VLOOKUP( APIF_Import!$C378, INDIRECT( "Lookup_" &amp; APIF_Import!$M378), VLOOKUP( APIF_Import!$M378 &amp; APIF_Import!$E$1,Podesavanja!$AA$3:$AD$24, 4, 0), 0)), ".", ","))</f>
        <v>0</v>
      </c>
      <c r="F378" s="364" t="str">
        <f ca="1">IF( ISNA( VLOOKUP( APIF_Import!$M378 &amp; APIF_Import!$F$1,Podesavanja!$AA$3:$AD$24, 4, 0)), "", VLOOKUP( APIF_Import!$C378, INDIRECT( "Lookup_" &amp; APIF_Import!$M378), VLOOKUP( APIF_Import!$M378 &amp; APIF_Import!$F$1,Podesavanja!$AA$3:$AD$24, 4, 0), 0))</f>
        <v/>
      </c>
      <c r="G378" s="364" t="str">
        <f ca="1">IF( ISNA( VLOOKUP( APIF_Import!$M378 &amp; APIF_Import!$G$1,Podesavanja!$AA$3:$AD$24, 4, 0)), "", VLOOKUP( APIF_Import!$C378, INDIRECT( "Lookup_" &amp; APIF_Import!$M378), VLOOKUP( APIF_Import!$M378 &amp; APIF_Import!$G$1,Podesavanja!$AA$3:$AD$24, 4, 0), 0))</f>
        <v/>
      </c>
      <c r="H378" s="364" t="str">
        <f ca="1">IF( ISNA( VLOOKUP( APIF_Import!$M378 &amp; APIF_Import!$H$1,Podesavanja!$AA$3:$AD$24, 4, 0)), "", VLOOKUP( APIF_Import!$C378, INDIRECT( "Lookup_" &amp; APIF_Import!$M378), VLOOKUP( APIF_Import!$M378 &amp; APIF_Import!$H$1,Podesavanja!$AA$3:$AD$24, 4, 0), 0))</f>
        <v/>
      </c>
      <c r="I378" s="364" t="str">
        <f ca="1">IF( ISNA( VLOOKUP( APIF_Import!$M378 &amp; APIF_Import!$I$1,Podesavanja!$AA$3:$AD$24, 4, 0)), "", VLOOKUP( APIF_Import!$C378, INDIRECT( "Lookup_" &amp; APIF_Import!$M378), VLOOKUP( APIF_Import!$M378 &amp; APIF_Import!$I$1,Podesavanja!$AA$3:$AD$24, 4, 0), 0))</f>
        <v/>
      </c>
      <c r="J378" s="364" t="str">
        <f ca="1">IF( ISNA( VLOOKUP( APIF_Import!$M378 &amp; APIF_Import!$J$1,Podesavanja!$AA$3:$AD$24, 4, 0)), "", VLOOKUP( APIF_Import!$C378, INDIRECT( "Lookup_" &amp; APIF_Import!$M378), VLOOKUP( APIF_Import!$M378 &amp; APIF_Import!$J$1,Podesavanja!$AA$3:$AD$24, 4, 0), 0))</f>
        <v/>
      </c>
      <c r="K378" s="364" t="str">
        <f ca="1">IF( ISNA( VLOOKUP( APIF_Import!$M378 &amp; APIF_Import!$K$1,Podesavanja!$AA$3:$AD$24, 4, 0)), "", VLOOKUP( APIF_Import!$C378, INDIRECT( "Lookup_" &amp; APIF_Import!$M378), VLOOKUP( APIF_Import!$M378 &amp; APIF_Import!$K$1,Podesavanja!$AA$3:$AD$24, 4, 0), 0))</f>
        <v/>
      </c>
      <c r="L378" s="8">
        <v>390</v>
      </c>
      <c r="M378" s="8" t="s">
        <v>1375</v>
      </c>
    </row>
    <row r="379" spans="2:13" x14ac:dyDescent="0.2">
      <c r="B379" s="8">
        <f>VLOOKUP( APIF_Import!$M379, Podesavanja!$N$3:$Q$9, 4, 0)</f>
        <v>4</v>
      </c>
      <c r="C379" s="363">
        <f>VLOOKUP( APIF_Import!$L379, Aop!$A$2:$N$415, 4, 0)</f>
        <v>670</v>
      </c>
      <c r="D379" s="364" t="str">
        <f ca="1">IF( ISNA( VLOOKUP( APIF_Import!$M379 &amp; APIF_Import!$D$1,Podesavanja!$AA$3:$AD$24, 4, 0)), "", SUBSTITUTE( VALUE( VLOOKUP( APIF_Import!$C379, INDIRECT( "Lookup_" &amp; APIF_Import!$M379), VLOOKUP( APIF_Import!$M379 &amp; APIF_Import!$D$1,Podesavanja!$AA$3:$AD$24, 4, 0), 0)), ".", ","))</f>
        <v>147258</v>
      </c>
      <c r="E379" s="364" t="str">
        <f ca="1">IF( ISNA( VLOOKUP( APIF_Import!$M379 &amp; APIF_Import!$E$1,Podesavanja!$AA$3:$AD$24, 4, 0)), "", SUBSTITUTE( VALUE( VLOOKUP( APIF_Import!$C379, INDIRECT( "Lookup_" &amp; APIF_Import!$M379), VLOOKUP( APIF_Import!$M379 &amp; APIF_Import!$E$1,Podesavanja!$AA$3:$AD$24, 4, 0), 0)), ".", ","))</f>
        <v>146111</v>
      </c>
      <c r="F379" s="364" t="str">
        <f ca="1">IF( ISNA( VLOOKUP( APIF_Import!$M379 &amp; APIF_Import!$F$1,Podesavanja!$AA$3:$AD$24, 4, 0)), "", VLOOKUP( APIF_Import!$C379, INDIRECT( "Lookup_" &amp; APIF_Import!$M379), VLOOKUP( APIF_Import!$M379 &amp; APIF_Import!$F$1,Podesavanja!$AA$3:$AD$24, 4, 0), 0))</f>
        <v/>
      </c>
      <c r="G379" s="364" t="str">
        <f ca="1">IF( ISNA( VLOOKUP( APIF_Import!$M379 &amp; APIF_Import!$G$1,Podesavanja!$AA$3:$AD$24, 4, 0)), "", VLOOKUP( APIF_Import!$C379, INDIRECT( "Lookup_" &amp; APIF_Import!$M379), VLOOKUP( APIF_Import!$M379 &amp; APIF_Import!$G$1,Podesavanja!$AA$3:$AD$24, 4, 0), 0))</f>
        <v/>
      </c>
      <c r="H379" s="364" t="str">
        <f ca="1">IF( ISNA( VLOOKUP( APIF_Import!$M379 &amp; APIF_Import!$H$1,Podesavanja!$AA$3:$AD$24, 4, 0)), "", VLOOKUP( APIF_Import!$C379, INDIRECT( "Lookup_" &amp; APIF_Import!$M379), VLOOKUP( APIF_Import!$M379 &amp; APIF_Import!$H$1,Podesavanja!$AA$3:$AD$24, 4, 0), 0))</f>
        <v/>
      </c>
      <c r="I379" s="364" t="str">
        <f ca="1">IF( ISNA( VLOOKUP( APIF_Import!$M379 &amp; APIF_Import!$I$1,Podesavanja!$AA$3:$AD$24, 4, 0)), "", VLOOKUP( APIF_Import!$C379, INDIRECT( "Lookup_" &amp; APIF_Import!$M379), VLOOKUP( APIF_Import!$M379 &amp; APIF_Import!$I$1,Podesavanja!$AA$3:$AD$24, 4, 0), 0))</f>
        <v/>
      </c>
      <c r="J379" s="364" t="str">
        <f ca="1">IF( ISNA( VLOOKUP( APIF_Import!$M379 &amp; APIF_Import!$J$1,Podesavanja!$AA$3:$AD$24, 4, 0)), "", VLOOKUP( APIF_Import!$C379, INDIRECT( "Lookup_" &amp; APIF_Import!$M379), VLOOKUP( APIF_Import!$M379 &amp; APIF_Import!$J$1,Podesavanja!$AA$3:$AD$24, 4, 0), 0))</f>
        <v/>
      </c>
      <c r="K379" s="364" t="str">
        <f ca="1">IF( ISNA( VLOOKUP( APIF_Import!$M379 &amp; APIF_Import!$K$1,Podesavanja!$AA$3:$AD$24, 4, 0)), "", VLOOKUP( APIF_Import!$C379, INDIRECT( "Lookup_" &amp; APIF_Import!$M379), VLOOKUP( APIF_Import!$M379 &amp; APIF_Import!$K$1,Podesavanja!$AA$3:$AD$24, 4, 0), 0))</f>
        <v/>
      </c>
      <c r="L379" s="8">
        <v>391</v>
      </c>
      <c r="M379" s="8" t="s">
        <v>1375</v>
      </c>
    </row>
    <row r="380" spans="2:13" x14ac:dyDescent="0.2">
      <c r="B380" s="8">
        <f>VLOOKUP( APIF_Import!$M380, Podesavanja!$N$3:$Q$9, 4, 0)</f>
        <v>6</v>
      </c>
      <c r="C380" s="363">
        <f>VLOOKUP( APIF_Import!$L380, Aop!$A$2:$N$415, 4, 0)</f>
        <v>901</v>
      </c>
      <c r="D380" s="364" t="str">
        <f ca="1">IF( ISNA( VLOOKUP( APIF_Import!$M380 &amp; APIF_Import!$D$1,Podesavanja!$AA$3:$AD$24, 4, 0)), "", SUBSTITUTE( VALUE( VLOOKUP( APIF_Import!$C380, INDIRECT( "Lookup_" &amp; APIF_Import!$M380), VLOOKUP( APIF_Import!$M380 &amp; APIF_Import!$D$1,Podesavanja!$AA$3:$AD$24, 4, 0), 0)), ".", ","))</f>
        <v>2833016</v>
      </c>
      <c r="E380" s="364" t="str">
        <f ca="1">IF( ISNA( VLOOKUP( APIF_Import!$M380 &amp; APIF_Import!$E$1,Podesavanja!$AA$3:$AD$24, 4, 0)), "", SUBSTITUTE( VALUE( VLOOKUP( APIF_Import!$C380, INDIRECT( "Lookup_" &amp; APIF_Import!$M380), VLOOKUP( APIF_Import!$M380 &amp; APIF_Import!$E$1,Podesavanja!$AA$3:$AD$24, 4, 0), 0)), ".", ","))</f>
        <v>0</v>
      </c>
      <c r="F380" s="364">
        <f ca="1">IF( ISNA( VLOOKUP( APIF_Import!$M380 &amp; APIF_Import!$F$1,Podesavanja!$AA$3:$AD$24, 4, 0)), "", VLOOKUP( APIF_Import!$C380, INDIRECT( "Lookup_" &amp; APIF_Import!$M380), VLOOKUP( APIF_Import!$M380 &amp; APIF_Import!$F$1,Podesavanja!$AA$3:$AD$24, 4, 0), 0))</f>
        <v>0</v>
      </c>
      <c r="G380" s="364">
        <f ca="1">IF( ISNA( VLOOKUP( APIF_Import!$M380 &amp; APIF_Import!$G$1,Podesavanja!$AA$3:$AD$24, 4, 0)), "", VLOOKUP( APIF_Import!$C380, INDIRECT( "Lookup_" &amp; APIF_Import!$M380), VLOOKUP( APIF_Import!$M380 &amp; APIF_Import!$G$1,Podesavanja!$AA$3:$AD$24, 4, 0), 0))</f>
        <v>341598</v>
      </c>
      <c r="H380" s="364">
        <f ca="1">IF( ISNA( VLOOKUP( APIF_Import!$M380 &amp; APIF_Import!$H$1,Podesavanja!$AA$3:$AD$24, 4, 0)), "", VLOOKUP( APIF_Import!$C380, INDIRECT( "Lookup_" &amp; APIF_Import!$M380), VLOOKUP( APIF_Import!$M380 &amp; APIF_Import!$H$1,Podesavanja!$AA$3:$AD$24, 4, 0), 0))</f>
        <v>240959</v>
      </c>
      <c r="I380" s="364">
        <f ca="1">IF( ISNA( VLOOKUP( APIF_Import!$M380 &amp; APIF_Import!$I$1,Podesavanja!$AA$3:$AD$24, 4, 0)), "", VLOOKUP( APIF_Import!$C380, INDIRECT( "Lookup_" &amp; APIF_Import!$M380), VLOOKUP( APIF_Import!$M380 &amp; APIF_Import!$I$1,Podesavanja!$AA$3:$AD$24, 4, 0), 0))</f>
        <v>3415573</v>
      </c>
      <c r="J380" s="364">
        <f ca="1">IF( ISNA( VLOOKUP( APIF_Import!$M380 &amp; APIF_Import!$J$1,Podesavanja!$AA$3:$AD$24, 4, 0)), "", VLOOKUP( APIF_Import!$C380, INDIRECT( "Lookup_" &amp; APIF_Import!$M380), VLOOKUP( APIF_Import!$M380 &amp; APIF_Import!$J$1,Podesavanja!$AA$3:$AD$24, 4, 0), 0))</f>
        <v>0</v>
      </c>
      <c r="K380" s="364">
        <f ca="1">IF( ISNA( VLOOKUP( APIF_Import!$M380 &amp; APIF_Import!$K$1,Podesavanja!$AA$3:$AD$24, 4, 0)), "", VLOOKUP( APIF_Import!$C380, INDIRECT( "Lookup_" &amp; APIF_Import!$M380), VLOOKUP( APIF_Import!$M380 &amp; APIF_Import!$K$1,Podesavanja!$AA$3:$AD$24, 4, 0), 0))</f>
        <v>3415573</v>
      </c>
      <c r="L380" s="8">
        <v>392</v>
      </c>
      <c r="M380" s="8" t="s">
        <v>1376</v>
      </c>
    </row>
    <row r="381" spans="2:13" x14ac:dyDescent="0.2">
      <c r="B381" s="8">
        <f>VLOOKUP( APIF_Import!$M381, Podesavanja!$N$3:$Q$9, 4, 0)</f>
        <v>6</v>
      </c>
      <c r="C381" s="363">
        <f>VLOOKUP( APIF_Import!$L381, Aop!$A$2:$N$415, 4, 0)</f>
        <v>902</v>
      </c>
      <c r="D381" s="364" t="str">
        <f ca="1">IF( ISNA( VLOOKUP( APIF_Import!$M381 &amp; APIF_Import!$D$1,Podesavanja!$AA$3:$AD$24, 4, 0)), "", SUBSTITUTE( VALUE( VLOOKUP( APIF_Import!$C381, INDIRECT( "Lookup_" &amp; APIF_Import!$M381), VLOOKUP( APIF_Import!$M381 &amp; APIF_Import!$D$1,Podesavanja!$AA$3:$AD$24, 4, 0), 0)), ".", ","))</f>
        <v>0</v>
      </c>
      <c r="E381" s="364" t="str">
        <f ca="1">IF( ISNA( VLOOKUP( APIF_Import!$M381 &amp; APIF_Import!$E$1,Podesavanja!$AA$3:$AD$24, 4, 0)), "", SUBSTITUTE( VALUE( VLOOKUP( APIF_Import!$C381, INDIRECT( "Lookup_" &amp; APIF_Import!$M381), VLOOKUP( APIF_Import!$M381 &amp; APIF_Import!$E$1,Podesavanja!$AA$3:$AD$24, 4, 0), 0)), ".", ","))</f>
        <v>0</v>
      </c>
      <c r="F381" s="364">
        <f ca="1">IF( ISNA( VLOOKUP( APIF_Import!$M381 &amp; APIF_Import!$F$1,Podesavanja!$AA$3:$AD$24, 4, 0)), "", VLOOKUP( APIF_Import!$C381, INDIRECT( "Lookup_" &amp; APIF_Import!$M381), VLOOKUP( APIF_Import!$M381 &amp; APIF_Import!$F$1,Podesavanja!$AA$3:$AD$24, 4, 0), 0))</f>
        <v>0</v>
      </c>
      <c r="G381" s="364">
        <f ca="1">IF( ISNA( VLOOKUP( APIF_Import!$M381 &amp; APIF_Import!$G$1,Podesavanja!$AA$3:$AD$24, 4, 0)), "", VLOOKUP( APIF_Import!$C381, INDIRECT( "Lookup_" &amp; APIF_Import!$M381), VLOOKUP( APIF_Import!$M381 &amp; APIF_Import!$G$1,Podesavanja!$AA$3:$AD$24, 4, 0), 0))</f>
        <v>0</v>
      </c>
      <c r="H381" s="364">
        <f ca="1">IF( ISNA( VLOOKUP( APIF_Import!$M381 &amp; APIF_Import!$H$1,Podesavanja!$AA$3:$AD$24, 4, 0)), "", VLOOKUP( APIF_Import!$C381, INDIRECT( "Lookup_" &amp; APIF_Import!$M381), VLOOKUP( APIF_Import!$M381 &amp; APIF_Import!$H$1,Podesavanja!$AA$3:$AD$24, 4, 0), 0))</f>
        <v>0</v>
      </c>
      <c r="I381" s="364">
        <f ca="1">IF( ISNA( VLOOKUP( APIF_Import!$M381 &amp; APIF_Import!$I$1,Podesavanja!$AA$3:$AD$24, 4, 0)), "", VLOOKUP( APIF_Import!$C381, INDIRECT( "Lookup_" &amp; APIF_Import!$M381), VLOOKUP( APIF_Import!$M381 &amp; APIF_Import!$I$1,Podesavanja!$AA$3:$AD$24, 4, 0), 0))</f>
        <v>0</v>
      </c>
      <c r="J381" s="364">
        <f ca="1">IF( ISNA( VLOOKUP( APIF_Import!$M381 &amp; APIF_Import!$J$1,Podesavanja!$AA$3:$AD$24, 4, 0)), "", VLOOKUP( APIF_Import!$C381, INDIRECT( "Lookup_" &amp; APIF_Import!$M381), VLOOKUP( APIF_Import!$M381 &amp; APIF_Import!$J$1,Podesavanja!$AA$3:$AD$24, 4, 0), 0))</f>
        <v>0</v>
      </c>
      <c r="K381" s="364">
        <f ca="1">IF( ISNA( VLOOKUP( APIF_Import!$M381 &amp; APIF_Import!$K$1,Podesavanja!$AA$3:$AD$24, 4, 0)), "", VLOOKUP( APIF_Import!$C381, INDIRECT( "Lookup_" &amp; APIF_Import!$M381), VLOOKUP( APIF_Import!$M381 &amp; APIF_Import!$K$1,Podesavanja!$AA$3:$AD$24, 4, 0), 0))</f>
        <v>0</v>
      </c>
      <c r="L381" s="8">
        <v>393</v>
      </c>
      <c r="M381" s="8" t="s">
        <v>1376</v>
      </c>
    </row>
    <row r="382" spans="2:13" x14ac:dyDescent="0.2">
      <c r="B382" s="8">
        <f>VLOOKUP( APIF_Import!$M382, Podesavanja!$N$3:$Q$9, 4, 0)</f>
        <v>6</v>
      </c>
      <c r="C382" s="363">
        <f>VLOOKUP( APIF_Import!$L382, Aop!$A$2:$N$415, 4, 0)</f>
        <v>903</v>
      </c>
      <c r="D382" s="364" t="str">
        <f ca="1">IF( ISNA( VLOOKUP( APIF_Import!$M382 &amp; APIF_Import!$D$1,Podesavanja!$AA$3:$AD$24, 4, 0)), "", SUBSTITUTE( VALUE( VLOOKUP( APIF_Import!$C382, INDIRECT( "Lookup_" &amp; APIF_Import!$M382), VLOOKUP( APIF_Import!$M382 &amp; APIF_Import!$D$1,Podesavanja!$AA$3:$AD$24, 4, 0), 0)), ".", ","))</f>
        <v>0</v>
      </c>
      <c r="E382" s="364" t="str">
        <f ca="1">IF( ISNA( VLOOKUP( APIF_Import!$M382 &amp; APIF_Import!$E$1,Podesavanja!$AA$3:$AD$24, 4, 0)), "", SUBSTITUTE( VALUE( VLOOKUP( APIF_Import!$C382, INDIRECT( "Lookup_" &amp; APIF_Import!$M382), VLOOKUP( APIF_Import!$M382 &amp; APIF_Import!$E$1,Podesavanja!$AA$3:$AD$24, 4, 0), 0)), ".", ","))</f>
        <v>0</v>
      </c>
      <c r="F382" s="364">
        <f ca="1">IF( ISNA( VLOOKUP( APIF_Import!$M382 &amp; APIF_Import!$F$1,Podesavanja!$AA$3:$AD$24, 4, 0)), "", VLOOKUP( APIF_Import!$C382, INDIRECT( "Lookup_" &amp; APIF_Import!$M382), VLOOKUP( APIF_Import!$M382 &amp; APIF_Import!$F$1,Podesavanja!$AA$3:$AD$24, 4, 0), 0))</f>
        <v>0</v>
      </c>
      <c r="G382" s="364">
        <f ca="1">IF( ISNA( VLOOKUP( APIF_Import!$M382 &amp; APIF_Import!$G$1,Podesavanja!$AA$3:$AD$24, 4, 0)), "", VLOOKUP( APIF_Import!$C382, INDIRECT( "Lookup_" &amp; APIF_Import!$M382), VLOOKUP( APIF_Import!$M382 &amp; APIF_Import!$G$1,Podesavanja!$AA$3:$AD$24, 4, 0), 0))</f>
        <v>0</v>
      </c>
      <c r="H382" s="364">
        <f ca="1">IF( ISNA( VLOOKUP( APIF_Import!$M382 &amp; APIF_Import!$H$1,Podesavanja!$AA$3:$AD$24, 4, 0)), "", VLOOKUP( APIF_Import!$C382, INDIRECT( "Lookup_" &amp; APIF_Import!$M382), VLOOKUP( APIF_Import!$M382 &amp; APIF_Import!$H$1,Podesavanja!$AA$3:$AD$24, 4, 0), 0))</f>
        <v>0</v>
      </c>
      <c r="I382" s="364">
        <f ca="1">IF( ISNA( VLOOKUP( APIF_Import!$M382 &amp; APIF_Import!$I$1,Podesavanja!$AA$3:$AD$24, 4, 0)), "", VLOOKUP( APIF_Import!$C382, INDIRECT( "Lookup_" &amp; APIF_Import!$M382), VLOOKUP( APIF_Import!$M382 &amp; APIF_Import!$I$1,Podesavanja!$AA$3:$AD$24, 4, 0), 0))</f>
        <v>0</v>
      </c>
      <c r="J382" s="364">
        <f ca="1">IF( ISNA( VLOOKUP( APIF_Import!$M382 &amp; APIF_Import!$J$1,Podesavanja!$AA$3:$AD$24, 4, 0)), "", VLOOKUP( APIF_Import!$C382, INDIRECT( "Lookup_" &amp; APIF_Import!$M382), VLOOKUP( APIF_Import!$M382 &amp; APIF_Import!$J$1,Podesavanja!$AA$3:$AD$24, 4, 0), 0))</f>
        <v>0</v>
      </c>
      <c r="K382" s="364">
        <f ca="1">IF( ISNA( VLOOKUP( APIF_Import!$M382 &amp; APIF_Import!$K$1,Podesavanja!$AA$3:$AD$24, 4, 0)), "", VLOOKUP( APIF_Import!$C382, INDIRECT( "Lookup_" &amp; APIF_Import!$M382), VLOOKUP( APIF_Import!$M382 &amp; APIF_Import!$K$1,Podesavanja!$AA$3:$AD$24, 4, 0), 0))</f>
        <v>0</v>
      </c>
      <c r="L382" s="8">
        <v>394</v>
      </c>
      <c r="M382" s="8" t="s">
        <v>1376</v>
      </c>
    </row>
    <row r="383" spans="2:13" x14ac:dyDescent="0.2">
      <c r="B383" s="8">
        <f>VLOOKUP( APIF_Import!$M383, Podesavanja!$N$3:$Q$9, 4, 0)</f>
        <v>6</v>
      </c>
      <c r="C383" s="363">
        <f>VLOOKUP( APIF_Import!$L383, Aop!$A$2:$N$415, 4, 0)</f>
        <v>904</v>
      </c>
      <c r="D383" s="364" t="str">
        <f ca="1">IF( ISNA( VLOOKUP( APIF_Import!$M383 &amp; APIF_Import!$D$1,Podesavanja!$AA$3:$AD$24, 4, 0)), "", SUBSTITUTE( VALUE( VLOOKUP( APIF_Import!$C383, INDIRECT( "Lookup_" &amp; APIF_Import!$M383), VLOOKUP( APIF_Import!$M383 &amp; APIF_Import!$D$1,Podesavanja!$AA$3:$AD$24, 4, 0), 0)), ".", ","))</f>
        <v>2833016</v>
      </c>
      <c r="E383" s="364" t="str">
        <f ca="1">IF( ISNA( VLOOKUP( APIF_Import!$M383 &amp; APIF_Import!$E$1,Podesavanja!$AA$3:$AD$24, 4, 0)), "", SUBSTITUTE( VALUE( VLOOKUP( APIF_Import!$C383, INDIRECT( "Lookup_" &amp; APIF_Import!$M383), VLOOKUP( APIF_Import!$M383 &amp; APIF_Import!$E$1,Podesavanja!$AA$3:$AD$24, 4, 0), 0)), ".", ","))</f>
        <v>0</v>
      </c>
      <c r="F383" s="364">
        <f ca="1">IF( ISNA( VLOOKUP( APIF_Import!$M383 &amp; APIF_Import!$F$1,Podesavanja!$AA$3:$AD$24, 4, 0)), "", VLOOKUP( APIF_Import!$C383, INDIRECT( "Lookup_" &amp; APIF_Import!$M383), VLOOKUP( APIF_Import!$M383 &amp; APIF_Import!$F$1,Podesavanja!$AA$3:$AD$24, 4, 0), 0))</f>
        <v>0</v>
      </c>
      <c r="G383" s="364">
        <f ca="1">IF( ISNA( VLOOKUP( APIF_Import!$M383 &amp; APIF_Import!$G$1,Podesavanja!$AA$3:$AD$24, 4, 0)), "", VLOOKUP( APIF_Import!$C383, INDIRECT( "Lookup_" &amp; APIF_Import!$M383), VLOOKUP( APIF_Import!$M383 &amp; APIF_Import!$G$1,Podesavanja!$AA$3:$AD$24, 4, 0), 0))</f>
        <v>341598</v>
      </c>
      <c r="H383" s="364">
        <f ca="1">IF( ISNA( VLOOKUP( APIF_Import!$M383 &amp; APIF_Import!$H$1,Podesavanja!$AA$3:$AD$24, 4, 0)), "", VLOOKUP( APIF_Import!$C383, INDIRECT( "Lookup_" &amp; APIF_Import!$M383), VLOOKUP( APIF_Import!$M383 &amp; APIF_Import!$H$1,Podesavanja!$AA$3:$AD$24, 4, 0), 0))</f>
        <v>240959</v>
      </c>
      <c r="I383" s="364">
        <f ca="1">IF( ISNA( VLOOKUP( APIF_Import!$M383 &amp; APIF_Import!$I$1,Podesavanja!$AA$3:$AD$24, 4, 0)), "", VLOOKUP( APIF_Import!$C383, INDIRECT( "Lookup_" &amp; APIF_Import!$M383), VLOOKUP( APIF_Import!$M383 &amp; APIF_Import!$I$1,Podesavanja!$AA$3:$AD$24, 4, 0), 0))</f>
        <v>3415573</v>
      </c>
      <c r="J383" s="364">
        <f ca="1">IF( ISNA( VLOOKUP( APIF_Import!$M383 &amp; APIF_Import!$J$1,Podesavanja!$AA$3:$AD$24, 4, 0)), "", VLOOKUP( APIF_Import!$C383, INDIRECT( "Lookup_" &amp; APIF_Import!$M383), VLOOKUP( APIF_Import!$M383 &amp; APIF_Import!$J$1,Podesavanja!$AA$3:$AD$24, 4, 0), 0))</f>
        <v>0</v>
      </c>
      <c r="K383" s="364">
        <f ca="1">IF( ISNA( VLOOKUP( APIF_Import!$M383 &amp; APIF_Import!$K$1,Podesavanja!$AA$3:$AD$24, 4, 0)), "", VLOOKUP( APIF_Import!$C383, INDIRECT( "Lookup_" &amp; APIF_Import!$M383), VLOOKUP( APIF_Import!$M383 &amp; APIF_Import!$K$1,Podesavanja!$AA$3:$AD$24, 4, 0), 0))</f>
        <v>3415573</v>
      </c>
      <c r="L383" s="8">
        <v>395</v>
      </c>
      <c r="M383" s="8" t="s">
        <v>1376</v>
      </c>
    </row>
    <row r="384" spans="2:13" x14ac:dyDescent="0.2">
      <c r="B384" s="8">
        <f>VLOOKUP( APIF_Import!$M384, Podesavanja!$N$3:$Q$9, 4, 0)</f>
        <v>6</v>
      </c>
      <c r="C384" s="363">
        <f>VLOOKUP( APIF_Import!$L384, Aop!$A$2:$N$415, 4, 0)</f>
        <v>905</v>
      </c>
      <c r="D384" s="364" t="str">
        <f ca="1">IF( ISNA( VLOOKUP( APIF_Import!$M384 &amp; APIF_Import!$D$1,Podesavanja!$AA$3:$AD$24, 4, 0)), "", SUBSTITUTE( VALUE( VLOOKUP( APIF_Import!$C384, INDIRECT( "Lookup_" &amp; APIF_Import!$M384), VLOOKUP( APIF_Import!$M384 &amp; APIF_Import!$D$1,Podesavanja!$AA$3:$AD$24, 4, 0), 0)), ".", ","))</f>
        <v>0</v>
      </c>
      <c r="E384" s="364" t="str">
        <f ca="1">IF( ISNA( VLOOKUP( APIF_Import!$M384 &amp; APIF_Import!$E$1,Podesavanja!$AA$3:$AD$24, 4, 0)), "", SUBSTITUTE( VALUE( VLOOKUP( APIF_Import!$C384, INDIRECT( "Lookup_" &amp; APIF_Import!$M384), VLOOKUP( APIF_Import!$M384 &amp; APIF_Import!$E$1,Podesavanja!$AA$3:$AD$24, 4, 0), 0)), ".", ","))</f>
        <v>0</v>
      </c>
      <c r="F384" s="364">
        <f ca="1">IF( ISNA( VLOOKUP( APIF_Import!$M384 &amp; APIF_Import!$F$1,Podesavanja!$AA$3:$AD$24, 4, 0)), "", VLOOKUP( APIF_Import!$C384, INDIRECT( "Lookup_" &amp; APIF_Import!$M384), VLOOKUP( APIF_Import!$M384 &amp; APIF_Import!$F$1,Podesavanja!$AA$3:$AD$24, 4, 0), 0))</f>
        <v>0</v>
      </c>
      <c r="G384" s="364">
        <f ca="1">IF( ISNA( VLOOKUP( APIF_Import!$M384 &amp; APIF_Import!$G$1,Podesavanja!$AA$3:$AD$24, 4, 0)), "", VLOOKUP( APIF_Import!$C384, INDIRECT( "Lookup_" &amp; APIF_Import!$M384), VLOOKUP( APIF_Import!$M384 &amp; APIF_Import!$G$1,Podesavanja!$AA$3:$AD$24, 4, 0), 0))</f>
        <v>0</v>
      </c>
      <c r="H384" s="364">
        <f ca="1">IF( ISNA( VLOOKUP( APIF_Import!$M384 &amp; APIF_Import!$H$1,Podesavanja!$AA$3:$AD$24, 4, 0)), "", VLOOKUP( APIF_Import!$C384, INDIRECT( "Lookup_" &amp; APIF_Import!$M384), VLOOKUP( APIF_Import!$M384 &amp; APIF_Import!$H$1,Podesavanja!$AA$3:$AD$24, 4, 0), 0))</f>
        <v>0</v>
      </c>
      <c r="I384" s="364">
        <f ca="1">IF( ISNA( VLOOKUP( APIF_Import!$M384 &amp; APIF_Import!$I$1,Podesavanja!$AA$3:$AD$24, 4, 0)), "", VLOOKUP( APIF_Import!$C384, INDIRECT( "Lookup_" &amp; APIF_Import!$M384), VLOOKUP( APIF_Import!$M384 &amp; APIF_Import!$I$1,Podesavanja!$AA$3:$AD$24, 4, 0), 0))</f>
        <v>0</v>
      </c>
      <c r="J384" s="364">
        <f ca="1">IF( ISNA( VLOOKUP( APIF_Import!$M384 &amp; APIF_Import!$J$1,Podesavanja!$AA$3:$AD$24, 4, 0)), "", VLOOKUP( APIF_Import!$C384, INDIRECT( "Lookup_" &amp; APIF_Import!$M384), VLOOKUP( APIF_Import!$M384 &amp; APIF_Import!$J$1,Podesavanja!$AA$3:$AD$24, 4, 0), 0))</f>
        <v>0</v>
      </c>
      <c r="K384" s="364">
        <f ca="1">IF( ISNA( VLOOKUP( APIF_Import!$M384 &amp; APIF_Import!$K$1,Podesavanja!$AA$3:$AD$24, 4, 0)), "", VLOOKUP( APIF_Import!$C384, INDIRECT( "Lookup_" &amp; APIF_Import!$M384), VLOOKUP( APIF_Import!$M384 &amp; APIF_Import!$K$1,Podesavanja!$AA$3:$AD$24, 4, 0), 0))</f>
        <v>0</v>
      </c>
      <c r="L384" s="8">
        <v>396</v>
      </c>
      <c r="M384" s="8" t="s">
        <v>1376</v>
      </c>
    </row>
    <row r="385" spans="2:13" x14ac:dyDescent="0.2">
      <c r="B385" s="8">
        <f>VLOOKUP( APIF_Import!$M385, Podesavanja!$N$3:$Q$9, 4, 0)</f>
        <v>6</v>
      </c>
      <c r="C385" s="363">
        <f>VLOOKUP( APIF_Import!$L385, Aop!$A$2:$N$415, 4, 0)</f>
        <v>906</v>
      </c>
      <c r="D385" s="364" t="str">
        <f ca="1">IF( ISNA( VLOOKUP( APIF_Import!$M385 &amp; APIF_Import!$D$1,Podesavanja!$AA$3:$AD$24, 4, 0)), "", SUBSTITUTE( VALUE( VLOOKUP( APIF_Import!$C385, INDIRECT( "Lookup_" &amp; APIF_Import!$M385), VLOOKUP( APIF_Import!$M385 &amp; APIF_Import!$D$1,Podesavanja!$AA$3:$AD$24, 4, 0), 0)), ".", ","))</f>
        <v>0</v>
      </c>
      <c r="E385" s="364" t="str">
        <f ca="1">IF( ISNA( VLOOKUP( APIF_Import!$M385 &amp; APIF_Import!$E$1,Podesavanja!$AA$3:$AD$24, 4, 0)), "", SUBSTITUTE( VALUE( VLOOKUP( APIF_Import!$C385, INDIRECT( "Lookup_" &amp; APIF_Import!$M385), VLOOKUP( APIF_Import!$M385 &amp; APIF_Import!$E$1,Podesavanja!$AA$3:$AD$24, 4, 0), 0)), ".", ","))</f>
        <v>0</v>
      </c>
      <c r="F385" s="364">
        <f ca="1">IF( ISNA( VLOOKUP( APIF_Import!$M385 &amp; APIF_Import!$F$1,Podesavanja!$AA$3:$AD$24, 4, 0)), "", VLOOKUP( APIF_Import!$C385, INDIRECT( "Lookup_" &amp; APIF_Import!$M385), VLOOKUP( APIF_Import!$M385 &amp; APIF_Import!$F$1,Podesavanja!$AA$3:$AD$24, 4, 0), 0))</f>
        <v>0</v>
      </c>
      <c r="G385" s="364">
        <f ca="1">IF( ISNA( VLOOKUP( APIF_Import!$M385 &amp; APIF_Import!$G$1,Podesavanja!$AA$3:$AD$24, 4, 0)), "", VLOOKUP( APIF_Import!$C385, INDIRECT( "Lookup_" &amp; APIF_Import!$M385), VLOOKUP( APIF_Import!$M385 &amp; APIF_Import!$G$1,Podesavanja!$AA$3:$AD$24, 4, 0), 0))</f>
        <v>0</v>
      </c>
      <c r="H385" s="364">
        <f ca="1">IF( ISNA( VLOOKUP( APIF_Import!$M385 &amp; APIF_Import!$H$1,Podesavanja!$AA$3:$AD$24, 4, 0)), "", VLOOKUP( APIF_Import!$C385, INDIRECT( "Lookup_" &amp; APIF_Import!$M385), VLOOKUP( APIF_Import!$M385 &amp; APIF_Import!$H$1,Podesavanja!$AA$3:$AD$24, 4, 0), 0))</f>
        <v>0</v>
      </c>
      <c r="I385" s="364">
        <f ca="1">IF( ISNA( VLOOKUP( APIF_Import!$M385 &amp; APIF_Import!$I$1,Podesavanja!$AA$3:$AD$24, 4, 0)), "", VLOOKUP( APIF_Import!$C385, INDIRECT( "Lookup_" &amp; APIF_Import!$M385), VLOOKUP( APIF_Import!$M385 &amp; APIF_Import!$I$1,Podesavanja!$AA$3:$AD$24, 4, 0), 0))</f>
        <v>0</v>
      </c>
      <c r="J385" s="364">
        <f ca="1">IF( ISNA( VLOOKUP( APIF_Import!$M385 &amp; APIF_Import!$J$1,Podesavanja!$AA$3:$AD$24, 4, 0)), "", VLOOKUP( APIF_Import!$C385, INDIRECT( "Lookup_" &amp; APIF_Import!$M385), VLOOKUP( APIF_Import!$M385 &amp; APIF_Import!$J$1,Podesavanja!$AA$3:$AD$24, 4, 0), 0))</f>
        <v>0</v>
      </c>
      <c r="K385" s="364">
        <f ca="1">IF( ISNA( VLOOKUP( APIF_Import!$M385 &amp; APIF_Import!$K$1,Podesavanja!$AA$3:$AD$24, 4, 0)), "", VLOOKUP( APIF_Import!$C385, INDIRECT( "Lookup_" &amp; APIF_Import!$M385), VLOOKUP( APIF_Import!$M385 &amp; APIF_Import!$K$1,Podesavanja!$AA$3:$AD$24, 4, 0), 0))</f>
        <v>0</v>
      </c>
      <c r="L385" s="8">
        <v>397</v>
      </c>
      <c r="M385" s="8" t="s">
        <v>1376</v>
      </c>
    </row>
    <row r="386" spans="2:13" x14ac:dyDescent="0.2">
      <c r="B386" s="8">
        <f>VLOOKUP( APIF_Import!$M386, Podesavanja!$N$3:$Q$9, 4, 0)</f>
        <v>6</v>
      </c>
      <c r="C386" s="363">
        <f>VLOOKUP( APIF_Import!$L386, Aop!$A$2:$N$415, 4, 0)</f>
        <v>907</v>
      </c>
      <c r="D386" s="364" t="str">
        <f ca="1">IF( ISNA( VLOOKUP( APIF_Import!$M386 &amp; APIF_Import!$D$1,Podesavanja!$AA$3:$AD$24, 4, 0)), "", SUBSTITUTE( VALUE( VLOOKUP( APIF_Import!$C386, INDIRECT( "Lookup_" &amp; APIF_Import!$M386), VLOOKUP( APIF_Import!$M386 &amp; APIF_Import!$D$1,Podesavanja!$AA$3:$AD$24, 4, 0), 0)), ".", ","))</f>
        <v>0</v>
      </c>
      <c r="E386" s="364" t="str">
        <f ca="1">IF( ISNA( VLOOKUP( APIF_Import!$M386 &amp; APIF_Import!$E$1,Podesavanja!$AA$3:$AD$24, 4, 0)), "", SUBSTITUTE( VALUE( VLOOKUP( APIF_Import!$C386, INDIRECT( "Lookup_" &amp; APIF_Import!$M386), VLOOKUP( APIF_Import!$M386 &amp; APIF_Import!$E$1,Podesavanja!$AA$3:$AD$24, 4, 0), 0)), ".", ","))</f>
        <v>0</v>
      </c>
      <c r="F386" s="364">
        <f ca="1">IF( ISNA( VLOOKUP( APIF_Import!$M386 &amp; APIF_Import!$F$1,Podesavanja!$AA$3:$AD$24, 4, 0)), "", VLOOKUP( APIF_Import!$C386, INDIRECT( "Lookup_" &amp; APIF_Import!$M386), VLOOKUP( APIF_Import!$M386 &amp; APIF_Import!$F$1,Podesavanja!$AA$3:$AD$24, 4, 0), 0))</f>
        <v>0</v>
      </c>
      <c r="G386" s="364">
        <f ca="1">IF( ISNA( VLOOKUP( APIF_Import!$M386 &amp; APIF_Import!$G$1,Podesavanja!$AA$3:$AD$24, 4, 0)), "", VLOOKUP( APIF_Import!$C386, INDIRECT( "Lookup_" &amp; APIF_Import!$M386), VLOOKUP( APIF_Import!$M386 &amp; APIF_Import!$G$1,Podesavanja!$AA$3:$AD$24, 4, 0), 0))</f>
        <v>0</v>
      </c>
      <c r="H386" s="364">
        <f ca="1">IF( ISNA( VLOOKUP( APIF_Import!$M386 &amp; APIF_Import!$H$1,Podesavanja!$AA$3:$AD$24, 4, 0)), "", VLOOKUP( APIF_Import!$C386, INDIRECT( "Lookup_" &amp; APIF_Import!$M386), VLOOKUP( APIF_Import!$M386 &amp; APIF_Import!$H$1,Podesavanja!$AA$3:$AD$24, 4, 0), 0))</f>
        <v>0</v>
      </c>
      <c r="I386" s="364">
        <f ca="1">IF( ISNA( VLOOKUP( APIF_Import!$M386 &amp; APIF_Import!$I$1,Podesavanja!$AA$3:$AD$24, 4, 0)), "", VLOOKUP( APIF_Import!$C386, INDIRECT( "Lookup_" &amp; APIF_Import!$M386), VLOOKUP( APIF_Import!$M386 &amp; APIF_Import!$I$1,Podesavanja!$AA$3:$AD$24, 4, 0), 0))</f>
        <v>0</v>
      </c>
      <c r="J386" s="364">
        <f ca="1">IF( ISNA( VLOOKUP( APIF_Import!$M386 &amp; APIF_Import!$J$1,Podesavanja!$AA$3:$AD$24, 4, 0)), "", VLOOKUP( APIF_Import!$C386, INDIRECT( "Lookup_" &amp; APIF_Import!$M386), VLOOKUP( APIF_Import!$M386 &amp; APIF_Import!$J$1,Podesavanja!$AA$3:$AD$24, 4, 0), 0))</f>
        <v>0</v>
      </c>
      <c r="K386" s="364">
        <f ca="1">IF( ISNA( VLOOKUP( APIF_Import!$M386 &amp; APIF_Import!$K$1,Podesavanja!$AA$3:$AD$24, 4, 0)), "", VLOOKUP( APIF_Import!$C386, INDIRECT( "Lookup_" &amp; APIF_Import!$M386), VLOOKUP( APIF_Import!$M386 &amp; APIF_Import!$K$1,Podesavanja!$AA$3:$AD$24, 4, 0), 0))</f>
        <v>0</v>
      </c>
      <c r="L386" s="8">
        <v>398</v>
      </c>
      <c r="M386" s="8" t="s">
        <v>1376</v>
      </c>
    </row>
    <row r="387" spans="2:13" x14ac:dyDescent="0.2">
      <c r="B387" s="8">
        <f>VLOOKUP( APIF_Import!$M387, Podesavanja!$N$3:$Q$9, 4, 0)</f>
        <v>6</v>
      </c>
      <c r="C387" s="363">
        <f>VLOOKUP( APIF_Import!$L387, Aop!$A$2:$N$415, 4, 0)</f>
        <v>908</v>
      </c>
      <c r="D387" s="364" t="str">
        <f ca="1">IF( ISNA( VLOOKUP( APIF_Import!$M387 &amp; APIF_Import!$D$1,Podesavanja!$AA$3:$AD$24, 4, 0)), "", SUBSTITUTE( VALUE( VLOOKUP( APIF_Import!$C387, INDIRECT( "Lookup_" &amp; APIF_Import!$M387), VLOOKUP( APIF_Import!$M387 &amp; APIF_Import!$D$1,Podesavanja!$AA$3:$AD$24, 4, 0), 0)), ".", ","))</f>
        <v>0</v>
      </c>
      <c r="E387" s="364" t="str">
        <f ca="1">IF( ISNA( VLOOKUP( APIF_Import!$M387 &amp; APIF_Import!$E$1,Podesavanja!$AA$3:$AD$24, 4, 0)), "", SUBSTITUTE( VALUE( VLOOKUP( APIF_Import!$C387, INDIRECT( "Lookup_" &amp; APIF_Import!$M387), VLOOKUP( APIF_Import!$M387 &amp; APIF_Import!$E$1,Podesavanja!$AA$3:$AD$24, 4, 0), 0)), ".", ","))</f>
        <v>0</v>
      </c>
      <c r="F387" s="364">
        <f ca="1">IF( ISNA( VLOOKUP( APIF_Import!$M387 &amp; APIF_Import!$F$1,Podesavanja!$AA$3:$AD$24, 4, 0)), "", VLOOKUP( APIF_Import!$C387, INDIRECT( "Lookup_" &amp; APIF_Import!$M387), VLOOKUP( APIF_Import!$M387 &amp; APIF_Import!$F$1,Podesavanja!$AA$3:$AD$24, 4, 0), 0))</f>
        <v>0</v>
      </c>
      <c r="G387" s="364">
        <f ca="1">IF( ISNA( VLOOKUP( APIF_Import!$M387 &amp; APIF_Import!$G$1,Podesavanja!$AA$3:$AD$24, 4, 0)), "", VLOOKUP( APIF_Import!$C387, INDIRECT( "Lookup_" &amp; APIF_Import!$M387), VLOOKUP( APIF_Import!$M387 &amp; APIF_Import!$G$1,Podesavanja!$AA$3:$AD$24, 4, 0), 0))</f>
        <v>0</v>
      </c>
      <c r="H387" s="364">
        <f ca="1">IF( ISNA( VLOOKUP( APIF_Import!$M387 &amp; APIF_Import!$H$1,Podesavanja!$AA$3:$AD$24, 4, 0)), "", VLOOKUP( APIF_Import!$C387, INDIRECT( "Lookup_" &amp; APIF_Import!$M387), VLOOKUP( APIF_Import!$M387 &amp; APIF_Import!$H$1,Podesavanja!$AA$3:$AD$24, 4, 0), 0))</f>
        <v>7290</v>
      </c>
      <c r="I387" s="364">
        <f ca="1">IF( ISNA( VLOOKUP( APIF_Import!$M387 &amp; APIF_Import!$I$1,Podesavanja!$AA$3:$AD$24, 4, 0)), "", VLOOKUP( APIF_Import!$C387, INDIRECT( "Lookup_" &amp; APIF_Import!$M387), VLOOKUP( APIF_Import!$M387 &amp; APIF_Import!$I$1,Podesavanja!$AA$3:$AD$24, 4, 0), 0))</f>
        <v>7290</v>
      </c>
      <c r="J387" s="364">
        <f ca="1">IF( ISNA( VLOOKUP( APIF_Import!$M387 &amp; APIF_Import!$J$1,Podesavanja!$AA$3:$AD$24, 4, 0)), "", VLOOKUP( APIF_Import!$C387, INDIRECT( "Lookup_" &amp; APIF_Import!$M387), VLOOKUP( APIF_Import!$M387 &amp; APIF_Import!$J$1,Podesavanja!$AA$3:$AD$24, 4, 0), 0))</f>
        <v>0</v>
      </c>
      <c r="K387" s="364">
        <f ca="1">IF( ISNA( VLOOKUP( APIF_Import!$M387 &amp; APIF_Import!$K$1,Podesavanja!$AA$3:$AD$24, 4, 0)), "", VLOOKUP( APIF_Import!$C387, INDIRECT( "Lookup_" &amp; APIF_Import!$M387), VLOOKUP( APIF_Import!$M387 &amp; APIF_Import!$K$1,Podesavanja!$AA$3:$AD$24, 4, 0), 0))</f>
        <v>7290</v>
      </c>
      <c r="L387" s="8">
        <v>399</v>
      </c>
      <c r="M387" s="8" t="s">
        <v>1376</v>
      </c>
    </row>
    <row r="388" spans="2:13" x14ac:dyDescent="0.2">
      <c r="B388" s="8">
        <f>VLOOKUP( APIF_Import!$M388, Podesavanja!$N$3:$Q$9, 4, 0)</f>
        <v>6</v>
      </c>
      <c r="C388" s="363">
        <f>VLOOKUP( APIF_Import!$L388, Aop!$A$2:$N$415, 4, 0)</f>
        <v>909</v>
      </c>
      <c r="D388" s="364" t="str">
        <f ca="1">IF( ISNA( VLOOKUP( APIF_Import!$M388 &amp; APIF_Import!$D$1,Podesavanja!$AA$3:$AD$24, 4, 0)), "", SUBSTITUTE( VALUE( VLOOKUP( APIF_Import!$C388, INDIRECT( "Lookup_" &amp; APIF_Import!$M388), VLOOKUP( APIF_Import!$M388 &amp; APIF_Import!$D$1,Podesavanja!$AA$3:$AD$24, 4, 0), 0)), ".", ","))</f>
        <v>0</v>
      </c>
      <c r="E388" s="364" t="str">
        <f ca="1">IF( ISNA( VLOOKUP( APIF_Import!$M388 &amp; APIF_Import!$E$1,Podesavanja!$AA$3:$AD$24, 4, 0)), "", SUBSTITUTE( VALUE( VLOOKUP( APIF_Import!$C388, INDIRECT( "Lookup_" &amp; APIF_Import!$M388), VLOOKUP( APIF_Import!$M388 &amp; APIF_Import!$E$1,Podesavanja!$AA$3:$AD$24, 4, 0), 0)), ".", ","))</f>
        <v>0</v>
      </c>
      <c r="F388" s="364">
        <f ca="1">IF( ISNA( VLOOKUP( APIF_Import!$M388 &amp; APIF_Import!$F$1,Podesavanja!$AA$3:$AD$24, 4, 0)), "", VLOOKUP( APIF_Import!$C388, INDIRECT( "Lookup_" &amp; APIF_Import!$M388), VLOOKUP( APIF_Import!$M388 &amp; APIF_Import!$F$1,Podesavanja!$AA$3:$AD$24, 4, 0), 0))</f>
        <v>0</v>
      </c>
      <c r="G388" s="364">
        <f ca="1">IF( ISNA( VLOOKUP( APIF_Import!$M388 &amp; APIF_Import!$G$1,Podesavanja!$AA$3:$AD$24, 4, 0)), "", VLOOKUP( APIF_Import!$C388, INDIRECT( "Lookup_" &amp; APIF_Import!$M388), VLOOKUP( APIF_Import!$M388 &amp; APIF_Import!$G$1,Podesavanja!$AA$3:$AD$24, 4, 0), 0))</f>
        <v>0</v>
      </c>
      <c r="H388" s="364">
        <f ca="1">IF( ISNA( VLOOKUP( APIF_Import!$M388 &amp; APIF_Import!$H$1,Podesavanja!$AA$3:$AD$24, 4, 0)), "", VLOOKUP( APIF_Import!$C388, INDIRECT( "Lookup_" &amp; APIF_Import!$M388), VLOOKUP( APIF_Import!$M388 &amp; APIF_Import!$H$1,Podesavanja!$AA$3:$AD$24, 4, 0), 0))</f>
        <v>0</v>
      </c>
      <c r="I388" s="364">
        <f ca="1">IF( ISNA( VLOOKUP( APIF_Import!$M388 &amp; APIF_Import!$I$1,Podesavanja!$AA$3:$AD$24, 4, 0)), "", VLOOKUP( APIF_Import!$C388, INDIRECT( "Lookup_" &amp; APIF_Import!$M388), VLOOKUP( APIF_Import!$M388 &amp; APIF_Import!$I$1,Podesavanja!$AA$3:$AD$24, 4, 0), 0))</f>
        <v>0</v>
      </c>
      <c r="J388" s="364">
        <f ca="1">IF( ISNA( VLOOKUP( APIF_Import!$M388 &amp; APIF_Import!$J$1,Podesavanja!$AA$3:$AD$24, 4, 0)), "", VLOOKUP( APIF_Import!$C388, INDIRECT( "Lookup_" &amp; APIF_Import!$M388), VLOOKUP( APIF_Import!$M388 &amp; APIF_Import!$J$1,Podesavanja!$AA$3:$AD$24, 4, 0), 0))</f>
        <v>0</v>
      </c>
      <c r="K388" s="364">
        <f ca="1">IF( ISNA( VLOOKUP( APIF_Import!$M388 &amp; APIF_Import!$K$1,Podesavanja!$AA$3:$AD$24, 4, 0)), "", VLOOKUP( APIF_Import!$C388, INDIRECT( "Lookup_" &amp; APIF_Import!$M388), VLOOKUP( APIF_Import!$M388 &amp; APIF_Import!$K$1,Podesavanja!$AA$3:$AD$24, 4, 0), 0))</f>
        <v>0</v>
      </c>
      <c r="L388" s="8">
        <v>400</v>
      </c>
      <c r="M388" s="8" t="s">
        <v>1376</v>
      </c>
    </row>
    <row r="389" spans="2:13" x14ac:dyDescent="0.2">
      <c r="B389" s="8">
        <f>VLOOKUP( APIF_Import!$M389, Podesavanja!$N$3:$Q$9, 4, 0)</f>
        <v>6</v>
      </c>
      <c r="C389" s="363">
        <f>VLOOKUP( APIF_Import!$L389, Aop!$A$2:$N$415, 4, 0)</f>
        <v>910</v>
      </c>
      <c r="D389" s="364" t="str">
        <f ca="1">IF( ISNA( VLOOKUP( APIF_Import!$M389 &amp; APIF_Import!$D$1,Podesavanja!$AA$3:$AD$24, 4, 0)), "", SUBSTITUTE( VALUE( VLOOKUP( APIF_Import!$C389, INDIRECT( "Lookup_" &amp; APIF_Import!$M389), VLOOKUP( APIF_Import!$M389 &amp; APIF_Import!$D$1,Podesavanja!$AA$3:$AD$24, 4, 0), 0)), ".", ","))</f>
        <v>0</v>
      </c>
      <c r="E389" s="364" t="str">
        <f ca="1">IF( ISNA( VLOOKUP( APIF_Import!$M389 &amp; APIF_Import!$E$1,Podesavanja!$AA$3:$AD$24, 4, 0)), "", SUBSTITUTE( VALUE( VLOOKUP( APIF_Import!$C389, INDIRECT( "Lookup_" &amp; APIF_Import!$M389), VLOOKUP( APIF_Import!$M389 &amp; APIF_Import!$E$1,Podesavanja!$AA$3:$AD$24, 4, 0), 0)), ".", ","))</f>
        <v>0</v>
      </c>
      <c r="F389" s="364">
        <f ca="1">IF( ISNA( VLOOKUP( APIF_Import!$M389 &amp; APIF_Import!$F$1,Podesavanja!$AA$3:$AD$24, 4, 0)), "", VLOOKUP( APIF_Import!$C389, INDIRECT( "Lookup_" &amp; APIF_Import!$M389), VLOOKUP( APIF_Import!$M389 &amp; APIF_Import!$F$1,Podesavanja!$AA$3:$AD$24, 4, 0), 0))</f>
        <v>0</v>
      </c>
      <c r="G389" s="364">
        <f ca="1">IF( ISNA( VLOOKUP( APIF_Import!$M389 &amp; APIF_Import!$G$1,Podesavanja!$AA$3:$AD$24, 4, 0)), "", VLOOKUP( APIF_Import!$C389, INDIRECT( "Lookup_" &amp; APIF_Import!$M389), VLOOKUP( APIF_Import!$M389 &amp; APIF_Import!$G$1,Podesavanja!$AA$3:$AD$24, 4, 0), 0))</f>
        <v>0</v>
      </c>
      <c r="H389" s="364">
        <f ca="1">IF( ISNA( VLOOKUP( APIF_Import!$M389 &amp; APIF_Import!$H$1,Podesavanja!$AA$3:$AD$24, 4, 0)), "", VLOOKUP( APIF_Import!$C389, INDIRECT( "Lookup_" &amp; APIF_Import!$M389), VLOOKUP( APIF_Import!$M389 &amp; APIF_Import!$H$1,Podesavanja!$AA$3:$AD$24, 4, 0), 0))</f>
        <v>0</v>
      </c>
      <c r="I389" s="364">
        <f ca="1">IF( ISNA( VLOOKUP( APIF_Import!$M389 &amp; APIF_Import!$I$1,Podesavanja!$AA$3:$AD$24, 4, 0)), "", VLOOKUP( APIF_Import!$C389, INDIRECT( "Lookup_" &amp; APIF_Import!$M389), VLOOKUP( APIF_Import!$M389 &amp; APIF_Import!$I$1,Podesavanja!$AA$3:$AD$24, 4, 0), 0))</f>
        <v>0</v>
      </c>
      <c r="J389" s="364">
        <f ca="1">IF( ISNA( VLOOKUP( APIF_Import!$M389 &amp; APIF_Import!$J$1,Podesavanja!$AA$3:$AD$24, 4, 0)), "", VLOOKUP( APIF_Import!$C389, INDIRECT( "Lookup_" &amp; APIF_Import!$M389), VLOOKUP( APIF_Import!$M389 &amp; APIF_Import!$J$1,Podesavanja!$AA$3:$AD$24, 4, 0), 0))</f>
        <v>0</v>
      </c>
      <c r="K389" s="364">
        <f ca="1">IF( ISNA( VLOOKUP( APIF_Import!$M389 &amp; APIF_Import!$K$1,Podesavanja!$AA$3:$AD$24, 4, 0)), "", VLOOKUP( APIF_Import!$C389, INDIRECT( "Lookup_" &amp; APIF_Import!$M389), VLOOKUP( APIF_Import!$M389 &amp; APIF_Import!$K$1,Podesavanja!$AA$3:$AD$24, 4, 0), 0))</f>
        <v>0</v>
      </c>
      <c r="L389" s="8">
        <v>401</v>
      </c>
      <c r="M389" s="8" t="s">
        <v>1376</v>
      </c>
    </row>
    <row r="390" spans="2:13" x14ac:dyDescent="0.2">
      <c r="B390" s="8">
        <f>VLOOKUP( APIF_Import!$M390, Podesavanja!$N$3:$Q$9, 4, 0)</f>
        <v>6</v>
      </c>
      <c r="C390" s="363">
        <f>VLOOKUP( APIF_Import!$L390, Aop!$A$2:$N$415, 4, 0)</f>
        <v>911</v>
      </c>
      <c r="D390" s="364" t="str">
        <f ca="1">IF( ISNA( VLOOKUP( APIF_Import!$M390 &amp; APIF_Import!$D$1,Podesavanja!$AA$3:$AD$24, 4, 0)), "", SUBSTITUTE( VALUE( VLOOKUP( APIF_Import!$C390, INDIRECT( "Lookup_" &amp; APIF_Import!$M390), VLOOKUP( APIF_Import!$M390 &amp; APIF_Import!$D$1,Podesavanja!$AA$3:$AD$24, 4, 0), 0)), ".", ","))</f>
        <v>0</v>
      </c>
      <c r="E390" s="364" t="str">
        <f ca="1">IF( ISNA( VLOOKUP( APIF_Import!$M390 &amp; APIF_Import!$E$1,Podesavanja!$AA$3:$AD$24, 4, 0)), "", SUBSTITUTE( VALUE( VLOOKUP( APIF_Import!$C390, INDIRECT( "Lookup_" &amp; APIF_Import!$M390), VLOOKUP( APIF_Import!$M390 &amp; APIF_Import!$E$1,Podesavanja!$AA$3:$AD$24, 4, 0), 0)), ".", ","))</f>
        <v>0</v>
      </c>
      <c r="F390" s="364">
        <f ca="1">IF( ISNA( VLOOKUP( APIF_Import!$M390 &amp; APIF_Import!$F$1,Podesavanja!$AA$3:$AD$24, 4, 0)), "", VLOOKUP( APIF_Import!$C390, INDIRECT( "Lookup_" &amp; APIF_Import!$M390), VLOOKUP( APIF_Import!$M390 &amp; APIF_Import!$F$1,Podesavanja!$AA$3:$AD$24, 4, 0), 0))</f>
        <v>0</v>
      </c>
      <c r="G390" s="364">
        <f ca="1">IF( ISNA( VLOOKUP( APIF_Import!$M390 &amp; APIF_Import!$G$1,Podesavanja!$AA$3:$AD$24, 4, 0)), "", VLOOKUP( APIF_Import!$C390, INDIRECT( "Lookup_" &amp; APIF_Import!$M390), VLOOKUP( APIF_Import!$M390 &amp; APIF_Import!$G$1,Podesavanja!$AA$3:$AD$24, 4, 0), 0))</f>
        <v>-58296</v>
      </c>
      <c r="H390" s="364">
        <f ca="1">IF( ISNA( VLOOKUP( APIF_Import!$M390 &amp; APIF_Import!$H$1,Podesavanja!$AA$3:$AD$24, 4, 0)), "", VLOOKUP( APIF_Import!$C390, INDIRECT( "Lookup_" &amp; APIF_Import!$M390), VLOOKUP( APIF_Import!$M390 &amp; APIF_Import!$H$1,Podesavanja!$AA$3:$AD$24, 4, 0), 0))</f>
        <v>-75653</v>
      </c>
      <c r="I390" s="364">
        <f ca="1">IF( ISNA( VLOOKUP( APIF_Import!$M390 &amp; APIF_Import!$I$1,Podesavanja!$AA$3:$AD$24, 4, 0)), "", VLOOKUP( APIF_Import!$C390, INDIRECT( "Lookup_" &amp; APIF_Import!$M390), VLOOKUP( APIF_Import!$M390 &amp; APIF_Import!$I$1,Podesavanja!$AA$3:$AD$24, 4, 0), 0))</f>
        <v>-133949</v>
      </c>
      <c r="J390" s="364">
        <f ca="1">IF( ISNA( VLOOKUP( APIF_Import!$M390 &amp; APIF_Import!$J$1,Podesavanja!$AA$3:$AD$24, 4, 0)), "", VLOOKUP( APIF_Import!$C390, INDIRECT( "Lookup_" &amp; APIF_Import!$M390), VLOOKUP( APIF_Import!$M390 &amp; APIF_Import!$J$1,Podesavanja!$AA$3:$AD$24, 4, 0), 0))</f>
        <v>0</v>
      </c>
      <c r="K390" s="364">
        <f ca="1">IF( ISNA( VLOOKUP( APIF_Import!$M390 &amp; APIF_Import!$K$1,Podesavanja!$AA$3:$AD$24, 4, 0)), "", VLOOKUP( APIF_Import!$C390, INDIRECT( "Lookup_" &amp; APIF_Import!$M390), VLOOKUP( APIF_Import!$M390 &amp; APIF_Import!$K$1,Podesavanja!$AA$3:$AD$24, 4, 0), 0))</f>
        <v>-133949</v>
      </c>
      <c r="L390" s="8">
        <v>402</v>
      </c>
      <c r="M390" s="8" t="s">
        <v>1376</v>
      </c>
    </row>
    <row r="391" spans="2:13" x14ac:dyDescent="0.2">
      <c r="B391" s="8">
        <f>VLOOKUP( APIF_Import!$M391, Podesavanja!$N$3:$Q$9, 4, 0)</f>
        <v>6</v>
      </c>
      <c r="C391" s="363">
        <f>VLOOKUP( APIF_Import!$L391, Aop!$A$2:$N$415, 4, 0)</f>
        <v>912</v>
      </c>
      <c r="D391" s="364" t="str">
        <f ca="1">IF( ISNA( VLOOKUP( APIF_Import!$M391 &amp; APIF_Import!$D$1,Podesavanja!$AA$3:$AD$24, 4, 0)), "", SUBSTITUTE( VALUE( VLOOKUP( APIF_Import!$C391, INDIRECT( "Lookup_" &amp; APIF_Import!$M391), VLOOKUP( APIF_Import!$M391 &amp; APIF_Import!$D$1,Podesavanja!$AA$3:$AD$24, 4, 0), 0)), ".", ","))</f>
        <v>2833016</v>
      </c>
      <c r="E391" s="364" t="str">
        <f ca="1">IF( ISNA( VLOOKUP( APIF_Import!$M391 &amp; APIF_Import!$E$1,Podesavanja!$AA$3:$AD$24, 4, 0)), "", SUBSTITUTE( VALUE( VLOOKUP( APIF_Import!$C391, INDIRECT( "Lookup_" &amp; APIF_Import!$M391), VLOOKUP( APIF_Import!$M391 &amp; APIF_Import!$E$1,Podesavanja!$AA$3:$AD$24, 4, 0), 0)), ".", ","))</f>
        <v>0</v>
      </c>
      <c r="F391" s="364">
        <f ca="1">IF( ISNA( VLOOKUP( APIF_Import!$M391 &amp; APIF_Import!$F$1,Podesavanja!$AA$3:$AD$24, 4, 0)), "", VLOOKUP( APIF_Import!$C391, INDIRECT( "Lookup_" &amp; APIF_Import!$M391), VLOOKUP( APIF_Import!$M391 &amp; APIF_Import!$F$1,Podesavanja!$AA$3:$AD$24, 4, 0), 0))</f>
        <v>0</v>
      </c>
      <c r="G391" s="364">
        <f ca="1">IF( ISNA( VLOOKUP( APIF_Import!$M391 &amp; APIF_Import!$G$1,Podesavanja!$AA$3:$AD$24, 4, 0)), "", VLOOKUP( APIF_Import!$C391, INDIRECT( "Lookup_" &amp; APIF_Import!$M391), VLOOKUP( APIF_Import!$M391 &amp; APIF_Import!$G$1,Podesavanja!$AA$3:$AD$24, 4, 0), 0))</f>
        <v>283302</v>
      </c>
      <c r="H391" s="364">
        <f ca="1">IF( ISNA( VLOOKUP( APIF_Import!$M391 &amp; APIF_Import!$H$1,Podesavanja!$AA$3:$AD$24, 4, 0)), "", VLOOKUP( APIF_Import!$C391, INDIRECT( "Lookup_" &amp; APIF_Import!$M391), VLOOKUP( APIF_Import!$M391 &amp; APIF_Import!$H$1,Podesavanja!$AA$3:$AD$24, 4, 0), 0))</f>
        <v>172596</v>
      </c>
      <c r="I391" s="364">
        <f ca="1">IF( ISNA( VLOOKUP( APIF_Import!$M391 &amp; APIF_Import!$I$1,Podesavanja!$AA$3:$AD$24, 4, 0)), "", VLOOKUP( APIF_Import!$C391, INDIRECT( "Lookup_" &amp; APIF_Import!$M391), VLOOKUP( APIF_Import!$M391 &amp; APIF_Import!$I$1,Podesavanja!$AA$3:$AD$24, 4, 0), 0))</f>
        <v>3288914</v>
      </c>
      <c r="J391" s="364">
        <f ca="1">IF( ISNA( VLOOKUP( APIF_Import!$M391 &amp; APIF_Import!$J$1,Podesavanja!$AA$3:$AD$24, 4, 0)), "", VLOOKUP( APIF_Import!$C391, INDIRECT( "Lookup_" &amp; APIF_Import!$M391), VLOOKUP( APIF_Import!$M391 &amp; APIF_Import!$J$1,Podesavanja!$AA$3:$AD$24, 4, 0), 0))</f>
        <v>0</v>
      </c>
      <c r="K391" s="364">
        <f ca="1">IF( ISNA( VLOOKUP( APIF_Import!$M391 &amp; APIF_Import!$K$1,Podesavanja!$AA$3:$AD$24, 4, 0)), "", VLOOKUP( APIF_Import!$C391, INDIRECT( "Lookup_" &amp; APIF_Import!$M391), VLOOKUP( APIF_Import!$M391 &amp; APIF_Import!$K$1,Podesavanja!$AA$3:$AD$24, 4, 0), 0))</f>
        <v>3288914</v>
      </c>
      <c r="L391" s="8">
        <v>403</v>
      </c>
      <c r="M391" s="8" t="s">
        <v>1376</v>
      </c>
    </row>
    <row r="392" spans="2:13" x14ac:dyDescent="0.2">
      <c r="B392" s="8">
        <f>VLOOKUP( APIF_Import!$M392, Podesavanja!$N$3:$Q$9, 4, 0)</f>
        <v>6</v>
      </c>
      <c r="C392" s="363">
        <f>VLOOKUP( APIF_Import!$L392, Aop!$A$2:$N$415, 4, 0)</f>
        <v>913</v>
      </c>
      <c r="D392" s="364" t="str">
        <f ca="1">IF( ISNA( VLOOKUP( APIF_Import!$M392 &amp; APIF_Import!$D$1,Podesavanja!$AA$3:$AD$24, 4, 0)), "", SUBSTITUTE( VALUE( VLOOKUP( APIF_Import!$C392, INDIRECT( "Lookup_" &amp; APIF_Import!$M392), VLOOKUP( APIF_Import!$M392 &amp; APIF_Import!$D$1,Podesavanja!$AA$3:$AD$24, 4, 0), 0)), ".", ","))</f>
        <v>0</v>
      </c>
      <c r="E392" s="364" t="str">
        <f ca="1">IF( ISNA( VLOOKUP( APIF_Import!$M392 &amp; APIF_Import!$E$1,Podesavanja!$AA$3:$AD$24, 4, 0)), "", SUBSTITUTE( VALUE( VLOOKUP( APIF_Import!$C392, INDIRECT( "Lookup_" &amp; APIF_Import!$M392), VLOOKUP( APIF_Import!$M392 &amp; APIF_Import!$E$1,Podesavanja!$AA$3:$AD$24, 4, 0), 0)), ".", ","))</f>
        <v>0</v>
      </c>
      <c r="F392" s="364">
        <f ca="1">IF( ISNA( VLOOKUP( APIF_Import!$M392 &amp; APIF_Import!$F$1,Podesavanja!$AA$3:$AD$24, 4, 0)), "", VLOOKUP( APIF_Import!$C392, INDIRECT( "Lookup_" &amp; APIF_Import!$M392), VLOOKUP( APIF_Import!$M392 &amp; APIF_Import!$F$1,Podesavanja!$AA$3:$AD$24, 4, 0), 0))</f>
        <v>0</v>
      </c>
      <c r="G392" s="364">
        <f ca="1">IF( ISNA( VLOOKUP( APIF_Import!$M392 &amp; APIF_Import!$G$1,Podesavanja!$AA$3:$AD$24, 4, 0)), "", VLOOKUP( APIF_Import!$C392, INDIRECT( "Lookup_" &amp; APIF_Import!$M392), VLOOKUP( APIF_Import!$M392 &amp; APIF_Import!$G$1,Podesavanja!$AA$3:$AD$24, 4, 0), 0))</f>
        <v>0</v>
      </c>
      <c r="H392" s="364">
        <f ca="1">IF( ISNA( VLOOKUP( APIF_Import!$M392 &amp; APIF_Import!$H$1,Podesavanja!$AA$3:$AD$24, 4, 0)), "", VLOOKUP( APIF_Import!$C392, INDIRECT( "Lookup_" &amp; APIF_Import!$M392), VLOOKUP( APIF_Import!$M392 &amp; APIF_Import!$H$1,Podesavanja!$AA$3:$AD$24, 4, 0), 0))</f>
        <v>0</v>
      </c>
      <c r="I392" s="364">
        <f ca="1">IF( ISNA( VLOOKUP( APIF_Import!$M392 &amp; APIF_Import!$I$1,Podesavanja!$AA$3:$AD$24, 4, 0)), "", VLOOKUP( APIF_Import!$C392, INDIRECT( "Lookup_" &amp; APIF_Import!$M392), VLOOKUP( APIF_Import!$M392 &amp; APIF_Import!$I$1,Podesavanja!$AA$3:$AD$24, 4, 0), 0))</f>
        <v>0</v>
      </c>
      <c r="J392" s="364">
        <f ca="1">IF( ISNA( VLOOKUP( APIF_Import!$M392 &amp; APIF_Import!$J$1,Podesavanja!$AA$3:$AD$24, 4, 0)), "", VLOOKUP( APIF_Import!$C392, INDIRECT( "Lookup_" &amp; APIF_Import!$M392), VLOOKUP( APIF_Import!$M392 &amp; APIF_Import!$J$1,Podesavanja!$AA$3:$AD$24, 4, 0), 0))</f>
        <v>0</v>
      </c>
      <c r="K392" s="364">
        <f ca="1">IF( ISNA( VLOOKUP( APIF_Import!$M392 &amp; APIF_Import!$K$1,Podesavanja!$AA$3:$AD$24, 4, 0)), "", VLOOKUP( APIF_Import!$C392, INDIRECT( "Lookup_" &amp; APIF_Import!$M392), VLOOKUP( APIF_Import!$M392 &amp; APIF_Import!$K$1,Podesavanja!$AA$3:$AD$24, 4, 0), 0))</f>
        <v>0</v>
      </c>
      <c r="L392" s="8">
        <v>404</v>
      </c>
      <c r="M392" s="8" t="s">
        <v>1376</v>
      </c>
    </row>
    <row r="393" spans="2:13" x14ac:dyDescent="0.2">
      <c r="B393" s="8">
        <f>VLOOKUP( APIF_Import!$M393, Podesavanja!$N$3:$Q$9, 4, 0)</f>
        <v>6</v>
      </c>
      <c r="C393" s="363">
        <f>VLOOKUP( APIF_Import!$L393, Aop!$A$2:$N$415, 4, 0)</f>
        <v>914</v>
      </c>
      <c r="D393" s="364" t="str">
        <f ca="1">IF( ISNA( VLOOKUP( APIF_Import!$M393 &amp; APIF_Import!$D$1,Podesavanja!$AA$3:$AD$24, 4, 0)), "", SUBSTITUTE( VALUE( VLOOKUP( APIF_Import!$C393, INDIRECT( "Lookup_" &amp; APIF_Import!$M393), VLOOKUP( APIF_Import!$M393 &amp; APIF_Import!$D$1,Podesavanja!$AA$3:$AD$24, 4, 0), 0)), ".", ","))</f>
        <v>0</v>
      </c>
      <c r="E393" s="364" t="str">
        <f ca="1">IF( ISNA( VLOOKUP( APIF_Import!$M393 &amp; APIF_Import!$E$1,Podesavanja!$AA$3:$AD$24, 4, 0)), "", SUBSTITUTE( VALUE( VLOOKUP( APIF_Import!$C393, INDIRECT( "Lookup_" &amp; APIF_Import!$M393), VLOOKUP( APIF_Import!$M393 &amp; APIF_Import!$E$1,Podesavanja!$AA$3:$AD$24, 4, 0), 0)), ".", ","))</f>
        <v>0</v>
      </c>
      <c r="F393" s="364">
        <f ca="1">IF( ISNA( VLOOKUP( APIF_Import!$M393 &amp; APIF_Import!$F$1,Podesavanja!$AA$3:$AD$24, 4, 0)), "", VLOOKUP( APIF_Import!$C393, INDIRECT( "Lookup_" &amp; APIF_Import!$M393), VLOOKUP( APIF_Import!$M393 &amp; APIF_Import!$F$1,Podesavanja!$AA$3:$AD$24, 4, 0), 0))</f>
        <v>0</v>
      </c>
      <c r="G393" s="364">
        <f ca="1">IF( ISNA( VLOOKUP( APIF_Import!$M393 &amp; APIF_Import!$G$1,Podesavanja!$AA$3:$AD$24, 4, 0)), "", VLOOKUP( APIF_Import!$C393, INDIRECT( "Lookup_" &amp; APIF_Import!$M393), VLOOKUP( APIF_Import!$M393 &amp; APIF_Import!$G$1,Podesavanja!$AA$3:$AD$24, 4, 0), 0))</f>
        <v>0</v>
      </c>
      <c r="H393" s="364">
        <f ca="1">IF( ISNA( VLOOKUP( APIF_Import!$M393 &amp; APIF_Import!$H$1,Podesavanja!$AA$3:$AD$24, 4, 0)), "", VLOOKUP( APIF_Import!$C393, INDIRECT( "Lookup_" &amp; APIF_Import!$M393), VLOOKUP( APIF_Import!$M393 &amp; APIF_Import!$H$1,Podesavanja!$AA$3:$AD$24, 4, 0), 0))</f>
        <v>0</v>
      </c>
      <c r="I393" s="364">
        <f ca="1">IF( ISNA( VLOOKUP( APIF_Import!$M393 &amp; APIF_Import!$I$1,Podesavanja!$AA$3:$AD$24, 4, 0)), "", VLOOKUP( APIF_Import!$C393, INDIRECT( "Lookup_" &amp; APIF_Import!$M393), VLOOKUP( APIF_Import!$M393 &amp; APIF_Import!$I$1,Podesavanja!$AA$3:$AD$24, 4, 0), 0))</f>
        <v>0</v>
      </c>
      <c r="J393" s="364">
        <f ca="1">IF( ISNA( VLOOKUP( APIF_Import!$M393 &amp; APIF_Import!$J$1,Podesavanja!$AA$3:$AD$24, 4, 0)), "", VLOOKUP( APIF_Import!$C393, INDIRECT( "Lookup_" &amp; APIF_Import!$M393), VLOOKUP( APIF_Import!$M393 &amp; APIF_Import!$J$1,Podesavanja!$AA$3:$AD$24, 4, 0), 0))</f>
        <v>0</v>
      </c>
      <c r="K393" s="364">
        <f ca="1">IF( ISNA( VLOOKUP( APIF_Import!$M393 &amp; APIF_Import!$K$1,Podesavanja!$AA$3:$AD$24, 4, 0)), "", VLOOKUP( APIF_Import!$C393, INDIRECT( "Lookup_" &amp; APIF_Import!$M393), VLOOKUP( APIF_Import!$M393 &amp; APIF_Import!$K$1,Podesavanja!$AA$3:$AD$24, 4, 0), 0))</f>
        <v>0</v>
      </c>
      <c r="L393" s="8">
        <v>405</v>
      </c>
      <c r="M393" s="8" t="s">
        <v>1376</v>
      </c>
    </row>
    <row r="394" spans="2:13" x14ac:dyDescent="0.2">
      <c r="B394" s="8">
        <f>VLOOKUP( APIF_Import!$M394, Podesavanja!$N$3:$Q$9, 4, 0)</f>
        <v>6</v>
      </c>
      <c r="C394" s="363">
        <f>VLOOKUP( APIF_Import!$L394, Aop!$A$2:$N$415, 4, 0)</f>
        <v>915</v>
      </c>
      <c r="D394" s="364" t="str">
        <f ca="1">IF( ISNA( VLOOKUP( APIF_Import!$M394 &amp; APIF_Import!$D$1,Podesavanja!$AA$3:$AD$24, 4, 0)), "", SUBSTITUTE( VALUE( VLOOKUP( APIF_Import!$C394, INDIRECT( "Lookup_" &amp; APIF_Import!$M394), VLOOKUP( APIF_Import!$M394 &amp; APIF_Import!$D$1,Podesavanja!$AA$3:$AD$24, 4, 0), 0)), ".", ","))</f>
        <v>2833016</v>
      </c>
      <c r="E394" s="364" t="str">
        <f ca="1">IF( ISNA( VLOOKUP( APIF_Import!$M394 &amp; APIF_Import!$E$1,Podesavanja!$AA$3:$AD$24, 4, 0)), "", SUBSTITUTE( VALUE( VLOOKUP( APIF_Import!$C394, INDIRECT( "Lookup_" &amp; APIF_Import!$M394), VLOOKUP( APIF_Import!$M394 &amp; APIF_Import!$E$1,Podesavanja!$AA$3:$AD$24, 4, 0), 0)), ".", ","))</f>
        <v>0</v>
      </c>
      <c r="F394" s="364">
        <f ca="1">IF( ISNA( VLOOKUP( APIF_Import!$M394 &amp; APIF_Import!$F$1,Podesavanja!$AA$3:$AD$24, 4, 0)), "", VLOOKUP( APIF_Import!$C394, INDIRECT( "Lookup_" &amp; APIF_Import!$M394), VLOOKUP( APIF_Import!$M394 &amp; APIF_Import!$F$1,Podesavanja!$AA$3:$AD$24, 4, 0), 0))</f>
        <v>0</v>
      </c>
      <c r="G394" s="364">
        <f ca="1">IF( ISNA( VLOOKUP( APIF_Import!$M394 &amp; APIF_Import!$G$1,Podesavanja!$AA$3:$AD$24, 4, 0)), "", VLOOKUP( APIF_Import!$C394, INDIRECT( "Lookup_" &amp; APIF_Import!$M394), VLOOKUP( APIF_Import!$M394 &amp; APIF_Import!$G$1,Podesavanja!$AA$3:$AD$24, 4, 0), 0))</f>
        <v>283302</v>
      </c>
      <c r="H394" s="364">
        <f ca="1">IF( ISNA( VLOOKUP( APIF_Import!$M394 &amp; APIF_Import!$H$1,Podesavanja!$AA$3:$AD$24, 4, 0)), "", VLOOKUP( APIF_Import!$C394, INDIRECT( "Lookup_" &amp; APIF_Import!$M394), VLOOKUP( APIF_Import!$M394 &amp; APIF_Import!$H$1,Podesavanja!$AA$3:$AD$24, 4, 0), 0))</f>
        <v>172596</v>
      </c>
      <c r="I394" s="364">
        <f ca="1">IF( ISNA( VLOOKUP( APIF_Import!$M394 &amp; APIF_Import!$I$1,Podesavanja!$AA$3:$AD$24, 4, 0)), "", VLOOKUP( APIF_Import!$C394, INDIRECT( "Lookup_" &amp; APIF_Import!$M394), VLOOKUP( APIF_Import!$M394 &amp; APIF_Import!$I$1,Podesavanja!$AA$3:$AD$24, 4, 0), 0))</f>
        <v>3288914</v>
      </c>
      <c r="J394" s="364">
        <f ca="1">IF( ISNA( VLOOKUP( APIF_Import!$M394 &amp; APIF_Import!$J$1,Podesavanja!$AA$3:$AD$24, 4, 0)), "", VLOOKUP( APIF_Import!$C394, INDIRECT( "Lookup_" &amp; APIF_Import!$M394), VLOOKUP( APIF_Import!$M394 &amp; APIF_Import!$J$1,Podesavanja!$AA$3:$AD$24, 4, 0), 0))</f>
        <v>0</v>
      </c>
      <c r="K394" s="364">
        <f ca="1">IF( ISNA( VLOOKUP( APIF_Import!$M394 &amp; APIF_Import!$K$1,Podesavanja!$AA$3:$AD$24, 4, 0)), "", VLOOKUP( APIF_Import!$C394, INDIRECT( "Lookup_" &amp; APIF_Import!$M394), VLOOKUP( APIF_Import!$M394 &amp; APIF_Import!$K$1,Podesavanja!$AA$3:$AD$24, 4, 0), 0))</f>
        <v>3288914</v>
      </c>
      <c r="L394" s="8">
        <v>406</v>
      </c>
      <c r="M394" s="8" t="s">
        <v>1376</v>
      </c>
    </row>
    <row r="395" spans="2:13" x14ac:dyDescent="0.2">
      <c r="B395" s="8">
        <f>VLOOKUP( APIF_Import!$M395, Podesavanja!$N$3:$Q$9, 4, 0)</f>
        <v>6</v>
      </c>
      <c r="C395" s="363">
        <f>VLOOKUP( APIF_Import!$L395, Aop!$A$2:$N$415, 4, 0)</f>
        <v>916</v>
      </c>
      <c r="D395" s="364" t="str">
        <f ca="1">IF( ISNA( VLOOKUP( APIF_Import!$M395 &amp; APIF_Import!$D$1,Podesavanja!$AA$3:$AD$24, 4, 0)), "", SUBSTITUTE( VALUE( VLOOKUP( APIF_Import!$C395, INDIRECT( "Lookup_" &amp; APIF_Import!$M395), VLOOKUP( APIF_Import!$M395 &amp; APIF_Import!$D$1,Podesavanja!$AA$3:$AD$24, 4, 0), 0)), ".", ","))</f>
        <v>0</v>
      </c>
      <c r="E395" s="364" t="str">
        <f ca="1">IF( ISNA( VLOOKUP( APIF_Import!$M395 &amp; APIF_Import!$E$1,Podesavanja!$AA$3:$AD$24, 4, 0)), "", SUBSTITUTE( VALUE( VLOOKUP( APIF_Import!$C395, INDIRECT( "Lookup_" &amp; APIF_Import!$M395), VLOOKUP( APIF_Import!$M395 &amp; APIF_Import!$E$1,Podesavanja!$AA$3:$AD$24, 4, 0), 0)), ".", ","))</f>
        <v>0</v>
      </c>
      <c r="F395" s="364">
        <f ca="1">IF( ISNA( VLOOKUP( APIF_Import!$M395 &amp; APIF_Import!$F$1,Podesavanja!$AA$3:$AD$24, 4, 0)), "", VLOOKUP( APIF_Import!$C395, INDIRECT( "Lookup_" &amp; APIF_Import!$M395), VLOOKUP( APIF_Import!$M395 &amp; APIF_Import!$F$1,Podesavanja!$AA$3:$AD$24, 4, 0), 0))</f>
        <v>0</v>
      </c>
      <c r="G395" s="364">
        <f ca="1">IF( ISNA( VLOOKUP( APIF_Import!$M395 &amp; APIF_Import!$G$1,Podesavanja!$AA$3:$AD$24, 4, 0)), "", VLOOKUP( APIF_Import!$C395, INDIRECT( "Lookup_" &amp; APIF_Import!$M395), VLOOKUP( APIF_Import!$M395 &amp; APIF_Import!$G$1,Podesavanja!$AA$3:$AD$24, 4, 0), 0))</f>
        <v>0</v>
      </c>
      <c r="H395" s="364">
        <f ca="1">IF( ISNA( VLOOKUP( APIF_Import!$M395 &amp; APIF_Import!$H$1,Podesavanja!$AA$3:$AD$24, 4, 0)), "", VLOOKUP( APIF_Import!$C395, INDIRECT( "Lookup_" &amp; APIF_Import!$M395), VLOOKUP( APIF_Import!$M395 &amp; APIF_Import!$H$1,Podesavanja!$AA$3:$AD$24, 4, 0), 0))</f>
        <v>0</v>
      </c>
      <c r="I395" s="364">
        <f ca="1">IF( ISNA( VLOOKUP( APIF_Import!$M395 &amp; APIF_Import!$I$1,Podesavanja!$AA$3:$AD$24, 4, 0)), "", VLOOKUP( APIF_Import!$C395, INDIRECT( "Lookup_" &amp; APIF_Import!$M395), VLOOKUP( APIF_Import!$M395 &amp; APIF_Import!$I$1,Podesavanja!$AA$3:$AD$24, 4, 0), 0))</f>
        <v>0</v>
      </c>
      <c r="J395" s="364">
        <f ca="1">IF( ISNA( VLOOKUP( APIF_Import!$M395 &amp; APIF_Import!$J$1,Podesavanja!$AA$3:$AD$24, 4, 0)), "", VLOOKUP( APIF_Import!$C395, INDIRECT( "Lookup_" &amp; APIF_Import!$M395), VLOOKUP( APIF_Import!$M395 &amp; APIF_Import!$J$1,Podesavanja!$AA$3:$AD$24, 4, 0), 0))</f>
        <v>0</v>
      </c>
      <c r="K395" s="364">
        <f ca="1">IF( ISNA( VLOOKUP( APIF_Import!$M395 &amp; APIF_Import!$K$1,Podesavanja!$AA$3:$AD$24, 4, 0)), "", VLOOKUP( APIF_Import!$C395, INDIRECT( "Lookup_" &amp; APIF_Import!$M395), VLOOKUP( APIF_Import!$M395 &amp; APIF_Import!$K$1,Podesavanja!$AA$3:$AD$24, 4, 0), 0))</f>
        <v>0</v>
      </c>
      <c r="L395" s="8">
        <v>407</v>
      </c>
      <c r="M395" s="8" t="s">
        <v>1376</v>
      </c>
    </row>
    <row r="396" spans="2:13" x14ac:dyDescent="0.2">
      <c r="B396" s="8">
        <f>VLOOKUP( APIF_Import!$M396, Podesavanja!$N$3:$Q$9, 4, 0)</f>
        <v>6</v>
      </c>
      <c r="C396" s="363">
        <f>VLOOKUP( APIF_Import!$L396, Aop!$A$2:$N$415, 4, 0)</f>
        <v>917</v>
      </c>
      <c r="D396" s="364" t="str">
        <f ca="1">IF( ISNA( VLOOKUP( APIF_Import!$M396 &amp; APIF_Import!$D$1,Podesavanja!$AA$3:$AD$24, 4, 0)), "", SUBSTITUTE( VALUE( VLOOKUP( APIF_Import!$C396, INDIRECT( "Lookup_" &amp; APIF_Import!$M396), VLOOKUP( APIF_Import!$M396 &amp; APIF_Import!$D$1,Podesavanja!$AA$3:$AD$24, 4, 0), 0)), ".", ","))</f>
        <v>0</v>
      </c>
      <c r="E396" s="364" t="str">
        <f ca="1">IF( ISNA( VLOOKUP( APIF_Import!$M396 &amp; APIF_Import!$E$1,Podesavanja!$AA$3:$AD$24, 4, 0)), "", SUBSTITUTE( VALUE( VLOOKUP( APIF_Import!$C396, INDIRECT( "Lookup_" &amp; APIF_Import!$M396), VLOOKUP( APIF_Import!$M396 &amp; APIF_Import!$E$1,Podesavanja!$AA$3:$AD$24, 4, 0), 0)), ".", ","))</f>
        <v>0</v>
      </c>
      <c r="F396" s="364">
        <f ca="1">IF( ISNA( VLOOKUP( APIF_Import!$M396 &amp; APIF_Import!$F$1,Podesavanja!$AA$3:$AD$24, 4, 0)), "", VLOOKUP( APIF_Import!$C396, INDIRECT( "Lookup_" &amp; APIF_Import!$M396), VLOOKUP( APIF_Import!$M396 &amp; APIF_Import!$F$1,Podesavanja!$AA$3:$AD$24, 4, 0), 0))</f>
        <v>0</v>
      </c>
      <c r="G396" s="364">
        <f ca="1">IF( ISNA( VLOOKUP( APIF_Import!$M396 &amp; APIF_Import!$G$1,Podesavanja!$AA$3:$AD$24, 4, 0)), "", VLOOKUP( APIF_Import!$C396, INDIRECT( "Lookup_" &amp; APIF_Import!$M396), VLOOKUP( APIF_Import!$M396 &amp; APIF_Import!$G$1,Podesavanja!$AA$3:$AD$24, 4, 0), 0))</f>
        <v>0</v>
      </c>
      <c r="H396" s="364">
        <f ca="1">IF( ISNA( VLOOKUP( APIF_Import!$M396 &amp; APIF_Import!$H$1,Podesavanja!$AA$3:$AD$24, 4, 0)), "", VLOOKUP( APIF_Import!$C396, INDIRECT( "Lookup_" &amp; APIF_Import!$M396), VLOOKUP( APIF_Import!$M396 &amp; APIF_Import!$H$1,Podesavanja!$AA$3:$AD$24, 4, 0), 0))</f>
        <v>0</v>
      </c>
      <c r="I396" s="364">
        <f ca="1">IF( ISNA( VLOOKUP( APIF_Import!$M396 &amp; APIF_Import!$I$1,Podesavanja!$AA$3:$AD$24, 4, 0)), "", VLOOKUP( APIF_Import!$C396, INDIRECT( "Lookup_" &amp; APIF_Import!$M396), VLOOKUP( APIF_Import!$M396 &amp; APIF_Import!$I$1,Podesavanja!$AA$3:$AD$24, 4, 0), 0))</f>
        <v>0</v>
      </c>
      <c r="J396" s="364">
        <f ca="1">IF( ISNA( VLOOKUP( APIF_Import!$M396 &amp; APIF_Import!$J$1,Podesavanja!$AA$3:$AD$24, 4, 0)), "", VLOOKUP( APIF_Import!$C396, INDIRECT( "Lookup_" &amp; APIF_Import!$M396), VLOOKUP( APIF_Import!$M396 &amp; APIF_Import!$J$1,Podesavanja!$AA$3:$AD$24, 4, 0), 0))</f>
        <v>0</v>
      </c>
      <c r="K396" s="364">
        <f ca="1">IF( ISNA( VLOOKUP( APIF_Import!$M396 &amp; APIF_Import!$K$1,Podesavanja!$AA$3:$AD$24, 4, 0)), "", VLOOKUP( APIF_Import!$C396, INDIRECT( "Lookup_" &amp; APIF_Import!$M396), VLOOKUP( APIF_Import!$M396 &amp; APIF_Import!$K$1,Podesavanja!$AA$3:$AD$24, 4, 0), 0))</f>
        <v>0</v>
      </c>
      <c r="L396" s="8">
        <v>408</v>
      </c>
      <c r="M396" s="8" t="s">
        <v>1376</v>
      </c>
    </row>
    <row r="397" spans="2:13" x14ac:dyDescent="0.2">
      <c r="B397" s="8">
        <f>VLOOKUP( APIF_Import!$M397, Podesavanja!$N$3:$Q$9, 4, 0)</f>
        <v>6</v>
      </c>
      <c r="C397" s="363">
        <f>VLOOKUP( APIF_Import!$L397, Aop!$A$2:$N$415, 4, 0)</f>
        <v>918</v>
      </c>
      <c r="D397" s="364" t="str">
        <f ca="1">IF( ISNA( VLOOKUP( APIF_Import!$M397 &amp; APIF_Import!$D$1,Podesavanja!$AA$3:$AD$24, 4, 0)), "", SUBSTITUTE( VALUE( VLOOKUP( APIF_Import!$C397, INDIRECT( "Lookup_" &amp; APIF_Import!$M397), VLOOKUP( APIF_Import!$M397 &amp; APIF_Import!$D$1,Podesavanja!$AA$3:$AD$24, 4, 0), 0)), ".", ","))</f>
        <v>0</v>
      </c>
      <c r="E397" s="364" t="str">
        <f ca="1">IF( ISNA( VLOOKUP( APIF_Import!$M397 &amp; APIF_Import!$E$1,Podesavanja!$AA$3:$AD$24, 4, 0)), "", SUBSTITUTE( VALUE( VLOOKUP( APIF_Import!$C397, INDIRECT( "Lookup_" &amp; APIF_Import!$M397), VLOOKUP( APIF_Import!$M397 &amp; APIF_Import!$E$1,Podesavanja!$AA$3:$AD$24, 4, 0), 0)), ".", ","))</f>
        <v>0</v>
      </c>
      <c r="F397" s="364">
        <f ca="1">IF( ISNA( VLOOKUP( APIF_Import!$M397 &amp; APIF_Import!$F$1,Podesavanja!$AA$3:$AD$24, 4, 0)), "", VLOOKUP( APIF_Import!$C397, INDIRECT( "Lookup_" &amp; APIF_Import!$M397), VLOOKUP( APIF_Import!$M397 &amp; APIF_Import!$F$1,Podesavanja!$AA$3:$AD$24, 4, 0), 0))</f>
        <v>0</v>
      </c>
      <c r="G397" s="364">
        <f ca="1">IF( ISNA( VLOOKUP( APIF_Import!$M397 &amp; APIF_Import!$G$1,Podesavanja!$AA$3:$AD$24, 4, 0)), "", VLOOKUP( APIF_Import!$C397, INDIRECT( "Lookup_" &amp; APIF_Import!$M397), VLOOKUP( APIF_Import!$M397 &amp; APIF_Import!$G$1,Podesavanja!$AA$3:$AD$24, 4, 0), 0))</f>
        <v>0</v>
      </c>
      <c r="H397" s="364">
        <f ca="1">IF( ISNA( VLOOKUP( APIF_Import!$M397 &amp; APIF_Import!$H$1,Podesavanja!$AA$3:$AD$24, 4, 0)), "", VLOOKUP( APIF_Import!$C397, INDIRECT( "Lookup_" &amp; APIF_Import!$M397), VLOOKUP( APIF_Import!$M397 &amp; APIF_Import!$H$1,Podesavanja!$AA$3:$AD$24, 4, 0), 0))</f>
        <v>0</v>
      </c>
      <c r="I397" s="364">
        <f ca="1">IF( ISNA( VLOOKUP( APIF_Import!$M397 &amp; APIF_Import!$I$1,Podesavanja!$AA$3:$AD$24, 4, 0)), "", VLOOKUP( APIF_Import!$C397, INDIRECT( "Lookup_" &amp; APIF_Import!$M397), VLOOKUP( APIF_Import!$M397 &amp; APIF_Import!$I$1,Podesavanja!$AA$3:$AD$24, 4, 0), 0))</f>
        <v>0</v>
      </c>
      <c r="J397" s="364">
        <f ca="1">IF( ISNA( VLOOKUP( APIF_Import!$M397 &amp; APIF_Import!$J$1,Podesavanja!$AA$3:$AD$24, 4, 0)), "", VLOOKUP( APIF_Import!$C397, INDIRECT( "Lookup_" &amp; APIF_Import!$M397), VLOOKUP( APIF_Import!$M397 &amp; APIF_Import!$J$1,Podesavanja!$AA$3:$AD$24, 4, 0), 0))</f>
        <v>0</v>
      </c>
      <c r="K397" s="364">
        <f ca="1">IF( ISNA( VLOOKUP( APIF_Import!$M397 &amp; APIF_Import!$K$1,Podesavanja!$AA$3:$AD$24, 4, 0)), "", VLOOKUP( APIF_Import!$C397, INDIRECT( "Lookup_" &amp; APIF_Import!$M397), VLOOKUP( APIF_Import!$M397 &amp; APIF_Import!$K$1,Podesavanja!$AA$3:$AD$24, 4, 0), 0))</f>
        <v>0</v>
      </c>
      <c r="L397" s="8">
        <v>409</v>
      </c>
      <c r="M397" s="8" t="s">
        <v>1376</v>
      </c>
    </row>
    <row r="398" spans="2:13" x14ac:dyDescent="0.2">
      <c r="B398" s="8">
        <f>VLOOKUP( APIF_Import!$M398, Podesavanja!$N$3:$Q$9, 4, 0)</f>
        <v>6</v>
      </c>
      <c r="C398" s="363">
        <f>VLOOKUP( APIF_Import!$L398, Aop!$A$2:$N$415, 4, 0)</f>
        <v>919</v>
      </c>
      <c r="D398" s="364" t="str">
        <f ca="1">IF( ISNA( VLOOKUP( APIF_Import!$M398 &amp; APIF_Import!$D$1,Podesavanja!$AA$3:$AD$24, 4, 0)), "", SUBSTITUTE( VALUE( VLOOKUP( APIF_Import!$C398, INDIRECT( "Lookup_" &amp; APIF_Import!$M398), VLOOKUP( APIF_Import!$M398 &amp; APIF_Import!$D$1,Podesavanja!$AA$3:$AD$24, 4, 0), 0)), ".", ","))</f>
        <v>0</v>
      </c>
      <c r="E398" s="364" t="str">
        <f ca="1">IF( ISNA( VLOOKUP( APIF_Import!$M398 &amp; APIF_Import!$E$1,Podesavanja!$AA$3:$AD$24, 4, 0)), "", SUBSTITUTE( VALUE( VLOOKUP( APIF_Import!$C398, INDIRECT( "Lookup_" &amp; APIF_Import!$M398), VLOOKUP( APIF_Import!$M398 &amp; APIF_Import!$E$1,Podesavanja!$AA$3:$AD$24, 4, 0), 0)), ".", ","))</f>
        <v>0</v>
      </c>
      <c r="F398" s="364">
        <f ca="1">IF( ISNA( VLOOKUP( APIF_Import!$M398 &amp; APIF_Import!$F$1,Podesavanja!$AA$3:$AD$24, 4, 0)), "", VLOOKUP( APIF_Import!$C398, INDIRECT( "Lookup_" &amp; APIF_Import!$M398), VLOOKUP( APIF_Import!$M398 &amp; APIF_Import!$F$1,Podesavanja!$AA$3:$AD$24, 4, 0), 0))</f>
        <v>0</v>
      </c>
      <c r="G398" s="364">
        <f ca="1">IF( ISNA( VLOOKUP( APIF_Import!$M398 &amp; APIF_Import!$G$1,Podesavanja!$AA$3:$AD$24, 4, 0)), "", VLOOKUP( APIF_Import!$C398, INDIRECT( "Lookup_" &amp; APIF_Import!$M398), VLOOKUP( APIF_Import!$M398 &amp; APIF_Import!$G$1,Podesavanja!$AA$3:$AD$24, 4, 0), 0))</f>
        <v>0</v>
      </c>
      <c r="H398" s="364">
        <f ca="1">IF( ISNA( VLOOKUP( APIF_Import!$M398 &amp; APIF_Import!$H$1,Podesavanja!$AA$3:$AD$24, 4, 0)), "", VLOOKUP( APIF_Import!$C398, INDIRECT( "Lookup_" &amp; APIF_Import!$M398), VLOOKUP( APIF_Import!$M398 &amp; APIF_Import!$H$1,Podesavanja!$AA$3:$AD$24, 4, 0), 0))</f>
        <v>481465</v>
      </c>
      <c r="I398" s="364">
        <f ca="1">IF( ISNA( VLOOKUP( APIF_Import!$M398 &amp; APIF_Import!$I$1,Podesavanja!$AA$3:$AD$24, 4, 0)), "", VLOOKUP( APIF_Import!$C398, INDIRECT( "Lookup_" &amp; APIF_Import!$M398), VLOOKUP( APIF_Import!$M398 &amp; APIF_Import!$I$1,Podesavanja!$AA$3:$AD$24, 4, 0), 0))</f>
        <v>481465</v>
      </c>
      <c r="J398" s="364">
        <f ca="1">IF( ISNA( VLOOKUP( APIF_Import!$M398 &amp; APIF_Import!$J$1,Podesavanja!$AA$3:$AD$24, 4, 0)), "", VLOOKUP( APIF_Import!$C398, INDIRECT( "Lookup_" &amp; APIF_Import!$M398), VLOOKUP( APIF_Import!$M398 &amp; APIF_Import!$J$1,Podesavanja!$AA$3:$AD$24, 4, 0), 0))</f>
        <v>0</v>
      </c>
      <c r="K398" s="364">
        <f ca="1">IF( ISNA( VLOOKUP( APIF_Import!$M398 &amp; APIF_Import!$K$1,Podesavanja!$AA$3:$AD$24, 4, 0)), "", VLOOKUP( APIF_Import!$C398, INDIRECT( "Lookup_" &amp; APIF_Import!$M398), VLOOKUP( APIF_Import!$M398 &amp; APIF_Import!$K$1,Podesavanja!$AA$3:$AD$24, 4, 0), 0))</f>
        <v>481465</v>
      </c>
      <c r="L398" s="8">
        <v>410</v>
      </c>
      <c r="M398" s="8" t="s">
        <v>1376</v>
      </c>
    </row>
    <row r="399" spans="2:13" x14ac:dyDescent="0.2">
      <c r="B399" s="8">
        <f>VLOOKUP( APIF_Import!$M399, Podesavanja!$N$3:$Q$9, 4, 0)</f>
        <v>6</v>
      </c>
      <c r="C399" s="363">
        <f>VLOOKUP( APIF_Import!$L399, Aop!$A$2:$N$415, 4, 0)</f>
        <v>920</v>
      </c>
      <c r="D399" s="364" t="str">
        <f ca="1">IF( ISNA( VLOOKUP( APIF_Import!$M399 &amp; APIF_Import!$D$1,Podesavanja!$AA$3:$AD$24, 4, 0)), "", SUBSTITUTE( VALUE( VLOOKUP( APIF_Import!$C399, INDIRECT( "Lookup_" &amp; APIF_Import!$M399), VLOOKUP( APIF_Import!$M399 &amp; APIF_Import!$D$1,Podesavanja!$AA$3:$AD$24, 4, 0), 0)), ".", ","))</f>
        <v>0</v>
      </c>
      <c r="E399" s="364" t="str">
        <f ca="1">IF( ISNA( VLOOKUP( APIF_Import!$M399 &amp; APIF_Import!$E$1,Podesavanja!$AA$3:$AD$24, 4, 0)), "", SUBSTITUTE( VALUE( VLOOKUP( APIF_Import!$C399, INDIRECT( "Lookup_" &amp; APIF_Import!$M399), VLOOKUP( APIF_Import!$M399 &amp; APIF_Import!$E$1,Podesavanja!$AA$3:$AD$24, 4, 0), 0)), ".", ","))</f>
        <v>0</v>
      </c>
      <c r="F399" s="364">
        <f ca="1">IF( ISNA( VLOOKUP( APIF_Import!$M399 &amp; APIF_Import!$F$1,Podesavanja!$AA$3:$AD$24, 4, 0)), "", VLOOKUP( APIF_Import!$C399, INDIRECT( "Lookup_" &amp; APIF_Import!$M399), VLOOKUP( APIF_Import!$M399 &amp; APIF_Import!$F$1,Podesavanja!$AA$3:$AD$24, 4, 0), 0))</f>
        <v>0</v>
      </c>
      <c r="G399" s="364">
        <f ca="1">IF( ISNA( VLOOKUP( APIF_Import!$M399 &amp; APIF_Import!$G$1,Podesavanja!$AA$3:$AD$24, 4, 0)), "", VLOOKUP( APIF_Import!$C399, INDIRECT( "Lookup_" &amp; APIF_Import!$M399), VLOOKUP( APIF_Import!$M399 &amp; APIF_Import!$G$1,Podesavanja!$AA$3:$AD$24, 4, 0), 0))</f>
        <v>0</v>
      </c>
      <c r="H399" s="364">
        <f ca="1">IF( ISNA( VLOOKUP( APIF_Import!$M399 &amp; APIF_Import!$H$1,Podesavanja!$AA$3:$AD$24, 4, 0)), "", VLOOKUP( APIF_Import!$C399, INDIRECT( "Lookup_" &amp; APIF_Import!$M399), VLOOKUP( APIF_Import!$M399 &amp; APIF_Import!$H$1,Podesavanja!$AA$3:$AD$24, 4, 0), 0))</f>
        <v>0</v>
      </c>
      <c r="I399" s="364">
        <f ca="1">IF( ISNA( VLOOKUP( APIF_Import!$M399 &amp; APIF_Import!$I$1,Podesavanja!$AA$3:$AD$24, 4, 0)), "", VLOOKUP( APIF_Import!$C399, INDIRECT( "Lookup_" &amp; APIF_Import!$M399), VLOOKUP( APIF_Import!$M399 &amp; APIF_Import!$I$1,Podesavanja!$AA$3:$AD$24, 4, 0), 0))</f>
        <v>0</v>
      </c>
      <c r="J399" s="364">
        <f ca="1">IF( ISNA( VLOOKUP( APIF_Import!$M399 &amp; APIF_Import!$J$1,Podesavanja!$AA$3:$AD$24, 4, 0)), "", VLOOKUP( APIF_Import!$C399, INDIRECT( "Lookup_" &amp; APIF_Import!$M399), VLOOKUP( APIF_Import!$M399 &amp; APIF_Import!$J$1,Podesavanja!$AA$3:$AD$24, 4, 0), 0))</f>
        <v>0</v>
      </c>
      <c r="K399" s="364">
        <f ca="1">IF( ISNA( VLOOKUP( APIF_Import!$M399 &amp; APIF_Import!$K$1,Podesavanja!$AA$3:$AD$24, 4, 0)), "", VLOOKUP( APIF_Import!$C399, INDIRECT( "Lookup_" &amp; APIF_Import!$M399), VLOOKUP( APIF_Import!$M399 &amp; APIF_Import!$K$1,Podesavanja!$AA$3:$AD$24, 4, 0), 0))</f>
        <v>0</v>
      </c>
      <c r="L399" s="8">
        <v>411</v>
      </c>
      <c r="M399" s="8" t="s">
        <v>1376</v>
      </c>
    </row>
    <row r="400" spans="2:13" x14ac:dyDescent="0.2">
      <c r="B400" s="8">
        <f>VLOOKUP( APIF_Import!$M400, Podesavanja!$N$3:$Q$9, 4, 0)</f>
        <v>6</v>
      </c>
      <c r="C400" s="363">
        <f>VLOOKUP( APIF_Import!$L400, Aop!$A$2:$N$415, 4, 0)</f>
        <v>921</v>
      </c>
      <c r="D400" s="364" t="str">
        <f ca="1">IF( ISNA( VLOOKUP( APIF_Import!$M400 &amp; APIF_Import!$D$1,Podesavanja!$AA$3:$AD$24, 4, 0)), "", SUBSTITUTE( VALUE( VLOOKUP( APIF_Import!$C400, INDIRECT( "Lookup_" &amp; APIF_Import!$M400), VLOOKUP( APIF_Import!$M400 &amp; APIF_Import!$D$1,Podesavanja!$AA$3:$AD$24, 4, 0), 0)), ".", ","))</f>
        <v>0</v>
      </c>
      <c r="E400" s="364" t="str">
        <f ca="1">IF( ISNA( VLOOKUP( APIF_Import!$M400 &amp; APIF_Import!$E$1,Podesavanja!$AA$3:$AD$24, 4, 0)), "", SUBSTITUTE( VALUE( VLOOKUP( APIF_Import!$C400, INDIRECT( "Lookup_" &amp; APIF_Import!$M400), VLOOKUP( APIF_Import!$M400 &amp; APIF_Import!$E$1,Podesavanja!$AA$3:$AD$24, 4, 0), 0)), ".", ","))</f>
        <v>0</v>
      </c>
      <c r="F400" s="364">
        <f ca="1">IF( ISNA( VLOOKUP( APIF_Import!$M400 &amp; APIF_Import!$F$1,Podesavanja!$AA$3:$AD$24, 4, 0)), "", VLOOKUP( APIF_Import!$C400, INDIRECT( "Lookup_" &amp; APIF_Import!$M400), VLOOKUP( APIF_Import!$M400 &amp; APIF_Import!$F$1,Podesavanja!$AA$3:$AD$24, 4, 0), 0))</f>
        <v>0</v>
      </c>
      <c r="G400" s="364">
        <f ca="1">IF( ISNA( VLOOKUP( APIF_Import!$M400 &amp; APIF_Import!$G$1,Podesavanja!$AA$3:$AD$24, 4, 0)), "", VLOOKUP( APIF_Import!$C400, INDIRECT( "Lookup_" &amp; APIF_Import!$M400), VLOOKUP( APIF_Import!$M400 &amp; APIF_Import!$G$1,Podesavanja!$AA$3:$AD$24, 4, 0), 0))</f>
        <v>0</v>
      </c>
      <c r="H400" s="364">
        <f ca="1">IF( ISNA( VLOOKUP( APIF_Import!$M400 &amp; APIF_Import!$H$1,Podesavanja!$AA$3:$AD$24, 4, 0)), "", VLOOKUP( APIF_Import!$C400, INDIRECT( "Lookup_" &amp; APIF_Import!$M400), VLOOKUP( APIF_Import!$M400 &amp; APIF_Import!$H$1,Podesavanja!$AA$3:$AD$24, 4, 0), 0))</f>
        <v>0</v>
      </c>
      <c r="I400" s="364">
        <f ca="1">IF( ISNA( VLOOKUP( APIF_Import!$M400 &amp; APIF_Import!$I$1,Podesavanja!$AA$3:$AD$24, 4, 0)), "", VLOOKUP( APIF_Import!$C400, INDIRECT( "Lookup_" &amp; APIF_Import!$M400), VLOOKUP( APIF_Import!$M400 &amp; APIF_Import!$I$1,Podesavanja!$AA$3:$AD$24, 4, 0), 0))</f>
        <v>0</v>
      </c>
      <c r="J400" s="364">
        <f ca="1">IF( ISNA( VLOOKUP( APIF_Import!$M400 &amp; APIF_Import!$J$1,Podesavanja!$AA$3:$AD$24, 4, 0)), "", VLOOKUP( APIF_Import!$C400, INDIRECT( "Lookup_" &amp; APIF_Import!$M400), VLOOKUP( APIF_Import!$M400 &amp; APIF_Import!$J$1,Podesavanja!$AA$3:$AD$24, 4, 0), 0))</f>
        <v>0</v>
      </c>
      <c r="K400" s="364">
        <f ca="1">IF( ISNA( VLOOKUP( APIF_Import!$M400 &amp; APIF_Import!$K$1,Podesavanja!$AA$3:$AD$24, 4, 0)), "", VLOOKUP( APIF_Import!$C400, INDIRECT( "Lookup_" &amp; APIF_Import!$M400), VLOOKUP( APIF_Import!$M400 &amp; APIF_Import!$K$1,Podesavanja!$AA$3:$AD$24, 4, 0), 0))</f>
        <v>0</v>
      </c>
      <c r="L400" s="8">
        <v>412</v>
      </c>
      <c r="M400" s="8" t="s">
        <v>1376</v>
      </c>
    </row>
    <row r="401" spans="2:13" x14ac:dyDescent="0.2">
      <c r="B401" s="8">
        <f>VLOOKUP( APIF_Import!$M401, Podesavanja!$N$3:$Q$9, 4, 0)</f>
        <v>6</v>
      </c>
      <c r="C401" s="363">
        <f>VLOOKUP( APIF_Import!$L401, Aop!$A$2:$N$415, 4, 0)</f>
        <v>922</v>
      </c>
      <c r="D401" s="364" t="str">
        <f ca="1">IF( ISNA( VLOOKUP( APIF_Import!$M401 &amp; APIF_Import!$D$1,Podesavanja!$AA$3:$AD$24, 4, 0)), "", SUBSTITUTE( VALUE( VLOOKUP( APIF_Import!$C401, INDIRECT( "Lookup_" &amp; APIF_Import!$M401), VLOOKUP( APIF_Import!$M401 &amp; APIF_Import!$D$1,Podesavanja!$AA$3:$AD$24, 4, 0), 0)), ".", ","))</f>
        <v>0</v>
      </c>
      <c r="E401" s="364" t="str">
        <f ca="1">IF( ISNA( VLOOKUP( APIF_Import!$M401 &amp; APIF_Import!$E$1,Podesavanja!$AA$3:$AD$24, 4, 0)), "", SUBSTITUTE( VALUE( VLOOKUP( APIF_Import!$C401, INDIRECT( "Lookup_" &amp; APIF_Import!$M401), VLOOKUP( APIF_Import!$M401 &amp; APIF_Import!$E$1,Podesavanja!$AA$3:$AD$24, 4, 0), 0)), ".", ","))</f>
        <v>0</v>
      </c>
      <c r="F401" s="364">
        <f ca="1">IF( ISNA( VLOOKUP( APIF_Import!$M401 &amp; APIF_Import!$F$1,Podesavanja!$AA$3:$AD$24, 4, 0)), "", VLOOKUP( APIF_Import!$C401, INDIRECT( "Lookup_" &amp; APIF_Import!$M401), VLOOKUP( APIF_Import!$M401 &amp; APIF_Import!$F$1,Podesavanja!$AA$3:$AD$24, 4, 0), 0))</f>
        <v>0</v>
      </c>
      <c r="G401" s="364">
        <f ca="1">IF( ISNA( VLOOKUP( APIF_Import!$M401 &amp; APIF_Import!$G$1,Podesavanja!$AA$3:$AD$24, 4, 0)), "", VLOOKUP( APIF_Import!$C401, INDIRECT( "Lookup_" &amp; APIF_Import!$M401), VLOOKUP( APIF_Import!$M401 &amp; APIF_Import!$G$1,Podesavanja!$AA$3:$AD$24, 4, 0), 0))</f>
        <v>0</v>
      </c>
      <c r="H401" s="364">
        <f ca="1">IF( ISNA( VLOOKUP( APIF_Import!$M401 &amp; APIF_Import!$H$1,Podesavanja!$AA$3:$AD$24, 4, 0)), "", VLOOKUP( APIF_Import!$C401, INDIRECT( "Lookup_" &amp; APIF_Import!$M401), VLOOKUP( APIF_Import!$M401 &amp; APIF_Import!$H$1,Podesavanja!$AA$3:$AD$24, 4, 0), 0))</f>
        <v>-42495</v>
      </c>
      <c r="I401" s="364">
        <f ca="1">IF( ISNA( VLOOKUP( APIF_Import!$M401 &amp; APIF_Import!$I$1,Podesavanja!$AA$3:$AD$24, 4, 0)), "", VLOOKUP( APIF_Import!$C401, INDIRECT( "Lookup_" &amp; APIF_Import!$M401), VLOOKUP( APIF_Import!$M401 &amp; APIF_Import!$I$1,Podesavanja!$AA$3:$AD$24, 4, 0), 0))</f>
        <v>-42495</v>
      </c>
      <c r="J401" s="364">
        <f ca="1">IF( ISNA( VLOOKUP( APIF_Import!$M401 &amp; APIF_Import!$J$1,Podesavanja!$AA$3:$AD$24, 4, 0)), "", VLOOKUP( APIF_Import!$C401, INDIRECT( "Lookup_" &amp; APIF_Import!$M401), VLOOKUP( APIF_Import!$M401 &amp; APIF_Import!$J$1,Podesavanja!$AA$3:$AD$24, 4, 0), 0))</f>
        <v>0</v>
      </c>
      <c r="K401" s="364">
        <f ca="1">IF( ISNA( VLOOKUP( APIF_Import!$M401 &amp; APIF_Import!$K$1,Podesavanja!$AA$3:$AD$24, 4, 0)), "", VLOOKUP( APIF_Import!$C401, INDIRECT( "Lookup_" &amp; APIF_Import!$M401), VLOOKUP( APIF_Import!$M401 &amp; APIF_Import!$K$1,Podesavanja!$AA$3:$AD$24, 4, 0), 0))</f>
        <v>-42495</v>
      </c>
      <c r="L401" s="8">
        <v>413</v>
      </c>
      <c r="M401" s="8" t="s">
        <v>1376</v>
      </c>
    </row>
    <row r="402" spans="2:13" x14ac:dyDescent="0.2">
      <c r="B402" s="8">
        <f>VLOOKUP( APIF_Import!$M402, Podesavanja!$N$3:$Q$9, 4, 0)</f>
        <v>6</v>
      </c>
      <c r="C402" s="363">
        <f>VLOOKUP( APIF_Import!$L402, Aop!$A$2:$N$415, 4, 0)</f>
        <v>923</v>
      </c>
      <c r="D402" s="364" t="str">
        <f ca="1">IF( ISNA( VLOOKUP( APIF_Import!$M402 &amp; APIF_Import!$D$1,Podesavanja!$AA$3:$AD$24, 4, 0)), "", SUBSTITUTE( VALUE( VLOOKUP( APIF_Import!$C402, INDIRECT( "Lookup_" &amp; APIF_Import!$M402), VLOOKUP( APIF_Import!$M402 &amp; APIF_Import!$D$1,Podesavanja!$AA$3:$AD$24, 4, 0), 0)), ".", ","))</f>
        <v>2833016</v>
      </c>
      <c r="E402" s="364" t="str">
        <f ca="1">IF( ISNA( VLOOKUP( APIF_Import!$M402 &amp; APIF_Import!$E$1,Podesavanja!$AA$3:$AD$24, 4, 0)), "", SUBSTITUTE( VALUE( VLOOKUP( APIF_Import!$C402, INDIRECT( "Lookup_" &amp; APIF_Import!$M402), VLOOKUP( APIF_Import!$M402 &amp; APIF_Import!$E$1,Podesavanja!$AA$3:$AD$24, 4, 0), 0)), ".", ","))</f>
        <v>0</v>
      </c>
      <c r="F402" s="364">
        <f ca="1">IF( ISNA( VLOOKUP( APIF_Import!$M402 &amp; APIF_Import!$F$1,Podesavanja!$AA$3:$AD$24, 4, 0)), "", VLOOKUP( APIF_Import!$C402, INDIRECT( "Lookup_" &amp; APIF_Import!$M402), VLOOKUP( APIF_Import!$M402 &amp; APIF_Import!$F$1,Podesavanja!$AA$3:$AD$24, 4, 0), 0))</f>
        <v>0</v>
      </c>
      <c r="G402" s="364">
        <f ca="1">IF( ISNA( VLOOKUP( APIF_Import!$M402 &amp; APIF_Import!$G$1,Podesavanja!$AA$3:$AD$24, 4, 0)), "", VLOOKUP( APIF_Import!$C402, INDIRECT( "Lookup_" &amp; APIF_Import!$M402), VLOOKUP( APIF_Import!$M402 &amp; APIF_Import!$G$1,Podesavanja!$AA$3:$AD$24, 4, 0), 0))</f>
        <v>283302</v>
      </c>
      <c r="H402" s="364">
        <f ca="1">IF( ISNA( VLOOKUP( APIF_Import!$M402 &amp; APIF_Import!$H$1,Podesavanja!$AA$3:$AD$24, 4, 0)), "", VLOOKUP( APIF_Import!$C402, INDIRECT( "Lookup_" &amp; APIF_Import!$M402), VLOOKUP( APIF_Import!$M402 &amp; APIF_Import!$H$1,Podesavanja!$AA$3:$AD$24, 4, 0), 0))</f>
        <v>611566</v>
      </c>
      <c r="I402" s="364">
        <f ca="1">IF( ISNA( VLOOKUP( APIF_Import!$M402 &amp; APIF_Import!$I$1,Podesavanja!$AA$3:$AD$24, 4, 0)), "", VLOOKUP( APIF_Import!$C402, INDIRECT( "Lookup_" &amp; APIF_Import!$M402), VLOOKUP( APIF_Import!$M402 &amp; APIF_Import!$I$1,Podesavanja!$AA$3:$AD$24, 4, 0), 0))</f>
        <v>3727884</v>
      </c>
      <c r="J402" s="364">
        <f ca="1">IF( ISNA( VLOOKUP( APIF_Import!$M402 &amp; APIF_Import!$J$1,Podesavanja!$AA$3:$AD$24, 4, 0)), "", VLOOKUP( APIF_Import!$C402, INDIRECT( "Lookup_" &amp; APIF_Import!$M402), VLOOKUP( APIF_Import!$M402 &amp; APIF_Import!$J$1,Podesavanja!$AA$3:$AD$24, 4, 0), 0))</f>
        <v>0</v>
      </c>
      <c r="K402" s="364">
        <f ca="1">IF( ISNA( VLOOKUP( APIF_Import!$M402 &amp; APIF_Import!$K$1,Podesavanja!$AA$3:$AD$24, 4, 0)), "", VLOOKUP( APIF_Import!$C402, INDIRECT( "Lookup_" &amp; APIF_Import!$M402), VLOOKUP( APIF_Import!$M402 &amp; APIF_Import!$K$1,Podesavanja!$AA$3:$AD$24, 4, 0), 0))</f>
        <v>3727884</v>
      </c>
      <c r="L402" s="8">
        <v>414</v>
      </c>
      <c r="M402" s="8" t="s">
        <v>1376</v>
      </c>
    </row>
  </sheetData>
  <sheetProtection password="832E" sheet="1" objects="1" scenarios="1"/>
  <phoneticPr fontId="23" type="noConversion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N37" sqref="N37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7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29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2" t="s">
        <v>1775</v>
      </c>
      <c r="Z6" s="162" t="s">
        <v>1776</v>
      </c>
      <c r="AA6" s="196" t="s">
        <v>1777</v>
      </c>
      <c r="AB6" s="197" t="s">
        <v>1774</v>
      </c>
    </row>
    <row r="7" spans="2:31" ht="15.75" customHeight="1" thickBot="1" x14ac:dyDescent="0.25">
      <c r="B7" s="139" t="str">
        <f>Osnovno_Izvjestajni_period</f>
        <v>Izvještajni period:</v>
      </c>
      <c r="D7" s="125" t="str">
        <f>Objasnjenja_Dan</f>
        <v>Dan</v>
      </c>
      <c r="E7" s="125"/>
      <c r="F7" s="125"/>
      <c r="G7" s="125" t="str">
        <f>Objasnjenja_Mjesec</f>
        <v>Mjesec</v>
      </c>
      <c r="H7" s="125"/>
      <c r="I7" s="125"/>
      <c r="J7" s="125" t="str">
        <f>Objasnjenja_Godina</f>
        <v>Godina</v>
      </c>
      <c r="K7" s="125"/>
      <c r="L7" s="125"/>
      <c r="M7" s="125"/>
    </row>
    <row r="8" spans="2:31" ht="15" customHeight="1" x14ac:dyDescent="0.2">
      <c r="B8" s="124" t="str">
        <f>Osnovno_Pocetak_perioda</f>
        <v>Početak izvještajnog perioda:</v>
      </c>
      <c r="D8" s="379">
        <v>1</v>
      </c>
      <c r="E8" s="379"/>
      <c r="F8" s="60"/>
      <c r="G8" s="379">
        <v>1</v>
      </c>
      <c r="H8" s="379"/>
      <c r="I8" s="60"/>
      <c r="J8" s="370">
        <v>2021</v>
      </c>
      <c r="K8" s="371"/>
      <c r="L8" s="372"/>
      <c r="M8"/>
      <c r="N8"/>
      <c r="O8"/>
      <c r="P8"/>
      <c r="Y8" s="16" t="b">
        <f>AND( Period_Pocetak_Dan &lt;&gt; "", Period_Pocetak_Mjesec &lt;&gt; "", Godina &lt;&gt; "")</f>
        <v>1</v>
      </c>
      <c r="Z8" s="189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1" t="str">
        <f>IF(Y8, IF( Z8, AA8, Kontrola_Neispravno), Kontrola_Obavezno)</f>
        <v>01.01.2021.</v>
      </c>
    </row>
    <row r="9" spans="2:31" ht="4.5" customHeight="1" x14ac:dyDescent="0.2">
      <c r="B9" s="124"/>
      <c r="J9" s="373"/>
      <c r="K9" s="374"/>
      <c r="L9" s="375"/>
      <c r="Y9" s="16"/>
      <c r="Z9" s="16"/>
      <c r="AA9" s="135"/>
      <c r="AB9" s="132"/>
    </row>
    <row r="10" spans="2:31" ht="15.75" customHeight="1" thickBot="1" x14ac:dyDescent="0.25">
      <c r="B10" s="124" t="str">
        <f>Osnovno_Kraj_perioda</f>
        <v>Kraj izvještajnog perioda:</v>
      </c>
      <c r="D10" s="380">
        <v>31</v>
      </c>
      <c r="E10" s="381"/>
      <c r="F10" s="60"/>
      <c r="G10" s="380">
        <v>12</v>
      </c>
      <c r="H10" s="381"/>
      <c r="I10" s="60"/>
      <c r="J10" s="376"/>
      <c r="K10" s="377"/>
      <c r="L10" s="378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5" t="str">
        <f>TEXT( DATE( Godina, Period_Kraj_Mjesec, Period_Kraj_Dan), "dd.mm.yyyy.")</f>
        <v>31.12.2021.</v>
      </c>
      <c r="AB10" s="131" t="str">
        <f>IF(Y10, IF( Z10, AA10, Kontrola_Neispravno), Kontrola_Obavezno)</f>
        <v>31.12.2021.</v>
      </c>
      <c r="AD10"/>
      <c r="AE10"/>
    </row>
    <row r="11" spans="2:31" ht="4.5" customHeight="1" x14ac:dyDescent="0.2">
      <c r="B11" s="124"/>
      <c r="D11"/>
      <c r="E11"/>
      <c r="F11"/>
      <c r="G11"/>
      <c r="H11"/>
      <c r="I11"/>
      <c r="J11"/>
      <c r="K11"/>
      <c r="L11"/>
      <c r="M11"/>
      <c r="Y11" s="16"/>
      <c r="Z11" s="60"/>
      <c r="AA11" s="125"/>
      <c r="AB11" s="132"/>
    </row>
    <row r="12" spans="2:31" ht="15" customHeight="1" x14ac:dyDescent="0.2">
      <c r="B12" s="124" t="str">
        <f>Osnovno_Vrsta_izvjestaja</f>
        <v>Vrsta izvještaja:</v>
      </c>
      <c r="D12" s="225" t="str">
        <f>IF( AND( DATE( Godina, Period_Pocetak_Mjesec, Period_Pocetak_Dan) = DATE( Godina, 1, 1), NOT( ISNA( VLOOKUP( Datum_Broj,Podesavanja!$H$3:$L$6, 2, 0)))), VLOOKUP( Datum_Broj,Podesavanja!$H$3:$L$6, 3, 0), Vrsta_izvjestaja_Specificni)</f>
        <v>Godišnji</v>
      </c>
      <c r="E12" s="225"/>
      <c r="F12" s="225"/>
      <c r="G12" s="225"/>
      <c r="H12" s="225"/>
      <c r="I12" s="225"/>
      <c r="J12" s="225"/>
      <c r="K12" s="225"/>
      <c r="L12" s="225"/>
      <c r="M12"/>
      <c r="N12"/>
      <c r="O12"/>
      <c r="P12"/>
      <c r="Q12"/>
      <c r="R12"/>
      <c r="S12"/>
      <c r="T12"/>
      <c r="U12"/>
      <c r="V12"/>
      <c r="Y12" s="16"/>
      <c r="Z12" s="16"/>
      <c r="AA12" s="125"/>
      <c r="AB12" s="131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5"/>
      <c r="AB13" s="132"/>
    </row>
    <row r="14" spans="2:31" ht="15.75" customHeight="1" x14ac:dyDescent="0.2">
      <c r="B14" s="139" t="str">
        <f>Objasnjenja_Zaglavlje</f>
        <v>Podaci u zaglavlju:</v>
      </c>
      <c r="Y14" s="16"/>
      <c r="Z14" s="16"/>
      <c r="AA14" s="135"/>
      <c r="AB14" s="132"/>
    </row>
    <row r="15" spans="2:31" ht="15" customHeight="1" x14ac:dyDescent="0.2">
      <c r="B15" s="124" t="str">
        <f>Zaglavlje_MB</f>
        <v>Matični broj:</v>
      </c>
      <c r="D15" s="122">
        <v>0</v>
      </c>
      <c r="E15" s="122">
        <v>1</v>
      </c>
      <c r="F15" s="122">
        <v>9</v>
      </c>
      <c r="G15" s="122">
        <v>4</v>
      </c>
      <c r="H15" s="122">
        <v>0</v>
      </c>
      <c r="I15" s="122">
        <v>1</v>
      </c>
      <c r="J15" s="122">
        <v>5</v>
      </c>
      <c r="K15" s="122">
        <v>5</v>
      </c>
      <c r="Y15" s="16" t="b">
        <f>LEN(AA15) &gt;= 7</f>
        <v>1</v>
      </c>
      <c r="Z15" s="16" t="b">
        <v>1</v>
      </c>
      <c r="AA15" s="135" t="str">
        <f>CONCATENATE( D15, E15, F15, G15, H15, I15, J15, K15)</f>
        <v>01940155</v>
      </c>
      <c r="AB15" s="131" t="str">
        <f>IF(Y15, IF( Z15, AA15, Kontrola_Neispravno), Kontrola_Obavezno)</f>
        <v>01940155</v>
      </c>
    </row>
    <row r="16" spans="2:31" ht="4.5" customHeight="1" x14ac:dyDescent="0.2">
      <c r="B16" s="124"/>
      <c r="Y16" s="16"/>
      <c r="Z16" s="16"/>
      <c r="AA16" s="135"/>
      <c r="AB16" s="132"/>
    </row>
    <row r="17" spans="2:31" ht="15" customHeight="1" x14ac:dyDescent="0.2">
      <c r="B17" s="124" t="str">
        <f>Zaglavlje_Sifra_djelatnosti</f>
        <v>Šifra djelatnosti:</v>
      </c>
      <c r="D17" s="122">
        <v>1</v>
      </c>
      <c r="E17" s="122">
        <v>0</v>
      </c>
      <c r="F17" s="126" t="s">
        <v>1690</v>
      </c>
      <c r="G17" s="122">
        <v>2</v>
      </c>
      <c r="H17" s="122">
        <v>0</v>
      </c>
      <c r="I17" s="130"/>
      <c r="Y17" s="16" t="b">
        <f>AND( D17 &lt;&gt; "", LEN( AA17) &gt;= 5)</f>
        <v>1</v>
      </c>
      <c r="Z17" s="16" t="b">
        <v>1</v>
      </c>
      <c r="AA17" s="135" t="str">
        <f>CONCATENATE( D17, E17, F17, G17, H17, I17)</f>
        <v>10.20</v>
      </c>
      <c r="AB17" s="131" t="str">
        <f>IF(Y17, IF( Z17, AA17, Kontrola_Neispravno), Kontrola_Obavezno)</f>
        <v>10.20</v>
      </c>
      <c r="AE17" s="127"/>
    </row>
    <row r="18" spans="2:31" ht="4.5" customHeight="1" x14ac:dyDescent="0.2">
      <c r="B18" s="124"/>
      <c r="Y18" s="16"/>
      <c r="Z18" s="16"/>
      <c r="AA18" s="135"/>
      <c r="AB18" s="132"/>
    </row>
    <row r="19" spans="2:31" ht="12.75" customHeight="1" x14ac:dyDescent="0.2">
      <c r="B19" s="382" t="str">
        <f>Zaglavlje_Naziv_preduzeca</f>
        <v>Naziv privrednog društva, zadruge, drugog pravnog lica ili preduzetnika:</v>
      </c>
      <c r="Y19" s="16"/>
      <c r="Z19" s="16"/>
      <c r="AA19" s="135"/>
      <c r="AB19" s="132"/>
    </row>
    <row r="20" spans="2:31" ht="22.5" customHeight="1" x14ac:dyDescent="0.2">
      <c r="B20" s="382"/>
      <c r="D20" s="383" t="s">
        <v>306</v>
      </c>
      <c r="E20" s="383"/>
      <c r="F20" s="383"/>
      <c r="G20" s="383"/>
      <c r="H20" s="383"/>
      <c r="I20" s="383"/>
      <c r="J20" s="383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Y20" s="16" t="b">
        <f>LEN(AA20) &gt; 0</f>
        <v>1</v>
      </c>
      <c r="Z20" s="16" t="b">
        <v>1</v>
      </c>
      <c r="AA20" s="135" t="str">
        <f>CONCATENATE( D20)</f>
        <v xml:space="preserve">Fratello Trade a.d. </v>
      </c>
      <c r="AB20" s="133" t="str">
        <f>IF(Y20, IF( Z20, AA20, Kontrola_Neispravno), Kontrola_Obavezno)</f>
        <v xml:space="preserve">Fratello Trade a.d. </v>
      </c>
    </row>
    <row r="21" spans="2:31" ht="4.5" customHeight="1" x14ac:dyDescent="0.2">
      <c r="B21" s="124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5"/>
      <c r="AB21" s="132"/>
    </row>
    <row r="22" spans="2:31" ht="15" customHeight="1" x14ac:dyDescent="0.2">
      <c r="B22" s="124" t="str">
        <f>Zaglavlje_Sjediste</f>
        <v>Sjedište:</v>
      </c>
      <c r="D22" s="384" t="s">
        <v>307</v>
      </c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Y22" s="16" t="b">
        <f>LEN(AA22) &gt; 0</f>
        <v>1</v>
      </c>
      <c r="Z22" s="16" t="b">
        <v>1</v>
      </c>
      <c r="AA22" s="135" t="str">
        <f>CONCATENATE( D22)</f>
        <v>Banja Luka</v>
      </c>
      <c r="AB22" s="131" t="str">
        <f>IF(Y22, IF( Z22, AA22, Kontrola_Neispravno), Kontrola_Obavezno)</f>
        <v>Banja Luka</v>
      </c>
    </row>
    <row r="23" spans="2:31" ht="4.5" customHeight="1" x14ac:dyDescent="0.2">
      <c r="B23" s="124"/>
      <c r="Y23" s="16"/>
      <c r="Z23" s="16"/>
      <c r="AA23" s="135"/>
      <c r="AB23" s="132"/>
    </row>
    <row r="24" spans="2:31" ht="15" customHeight="1" x14ac:dyDescent="0.2">
      <c r="B24" s="124" t="str">
        <f>Zaglavlje_JIB</f>
        <v>JIB:</v>
      </c>
      <c r="D24" s="122">
        <v>4</v>
      </c>
      <c r="E24" s="190">
        <v>4</v>
      </c>
      <c r="F24" s="191">
        <v>0</v>
      </c>
      <c r="G24" s="122">
        <v>0</v>
      </c>
      <c r="H24" s="190">
        <v>9</v>
      </c>
      <c r="I24" s="191">
        <v>2</v>
      </c>
      <c r="J24" s="122">
        <v>9</v>
      </c>
      <c r="K24" s="190">
        <v>5</v>
      </c>
      <c r="L24" s="191">
        <v>1</v>
      </c>
      <c r="M24" s="190">
        <v>0</v>
      </c>
      <c r="N24" s="191">
        <v>0</v>
      </c>
      <c r="O24" s="190">
        <v>0</v>
      </c>
      <c r="P24" s="191">
        <v>6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41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6" t="str">
        <f>CONCATENATE( D24, E24, F24, G24, H24, I24, J24, K24, L24, M24, N24, O24, P24)</f>
        <v>4400929510006</v>
      </c>
      <c r="AB24" s="131" t="str">
        <f>IF(Y24, IF( Z24, AA24, Kontrola_Neispravno), Kontrola_Obavezno)</f>
        <v>4400929510006</v>
      </c>
    </row>
    <row r="25" spans="2:31" ht="15" customHeight="1" x14ac:dyDescent="0.2">
      <c r="B25" s="124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5"/>
      <c r="AB25" s="132"/>
    </row>
    <row r="26" spans="2:31" ht="15" customHeight="1" x14ac:dyDescent="0.2">
      <c r="B26" s="156" t="str">
        <f>Objasnjenja_Bankovni_racun</f>
        <v>Računi u banci:</v>
      </c>
      <c r="Y26" s="16"/>
      <c r="Z26" s="16"/>
      <c r="AA26" s="135"/>
      <c r="AB26" s="132"/>
    </row>
    <row r="27" spans="2:31" ht="15" customHeight="1" x14ac:dyDescent="0.2">
      <c r="B27" s="124" t="str">
        <f>Objasnjenja_Glavni_racun</f>
        <v>Glavni račun:</v>
      </c>
      <c r="D27" s="122">
        <v>5</v>
      </c>
      <c r="E27" s="122">
        <v>5</v>
      </c>
      <c r="F27" s="122">
        <v>5</v>
      </c>
      <c r="G27" s="123" t="s">
        <v>1689</v>
      </c>
      <c r="H27" s="122">
        <v>0</v>
      </c>
      <c r="I27" s="122">
        <v>0</v>
      </c>
      <c r="J27" s="122">
        <v>7</v>
      </c>
      <c r="K27" s="123" t="s">
        <v>1689</v>
      </c>
      <c r="L27" s="122">
        <v>0</v>
      </c>
      <c r="M27" s="122">
        <v>0</v>
      </c>
      <c r="N27" s="122">
        <v>2</v>
      </c>
      <c r="O27" s="122">
        <v>1</v>
      </c>
      <c r="P27" s="122">
        <v>5</v>
      </c>
      <c r="Q27" s="122">
        <v>2</v>
      </c>
      <c r="R27" s="122">
        <v>0</v>
      </c>
      <c r="S27" s="122">
        <v>5</v>
      </c>
      <c r="T27" s="60" t="s">
        <v>1689</v>
      </c>
      <c r="U27" s="122">
        <v>8</v>
      </c>
      <c r="V27" s="122">
        <v>0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5" t="str">
        <f>CONCATENATE( D27, E27, F27, H27, I27, J27, L27, M27, N27, O27, P27, Q27, R27, S27, U27, V27)</f>
        <v>5550070021520580</v>
      </c>
      <c r="AB27" s="131" t="str">
        <f>IF(Y27, IF( Z27, CONCATENATE( D27, E27, F27, G27, H27, I27, J27, K27, L27, M27, N27, O27, P27, Q27, R27, S27, T27, U27, V27), Kontrola_Neispravno), Kontrola_Obavezno)</f>
        <v>555-007-00215205-80</v>
      </c>
    </row>
    <row r="28" spans="2:31" ht="4.5" customHeight="1" x14ac:dyDescent="0.2">
      <c r="B28" s="124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5"/>
      <c r="AB28" s="132"/>
    </row>
    <row r="29" spans="2:31" ht="15" customHeight="1" x14ac:dyDescent="0.2">
      <c r="B29" s="124"/>
      <c r="D29" s="122">
        <v>5</v>
      </c>
      <c r="E29" s="122">
        <v>5</v>
      </c>
      <c r="F29" s="122">
        <v>1</v>
      </c>
      <c r="G29" s="123" t="s">
        <v>1689</v>
      </c>
      <c r="H29" s="122">
        <v>0</v>
      </c>
      <c r="I29" s="122">
        <v>0</v>
      </c>
      <c r="J29" s="122">
        <v>1</v>
      </c>
      <c r="K29" s="123" t="s">
        <v>1689</v>
      </c>
      <c r="L29" s="122">
        <v>0</v>
      </c>
      <c r="M29" s="122">
        <v>0</v>
      </c>
      <c r="N29" s="122">
        <v>0</v>
      </c>
      <c r="O29" s="122">
        <v>0</v>
      </c>
      <c r="P29" s="122">
        <v>0</v>
      </c>
      <c r="Q29" s="122">
        <v>1</v>
      </c>
      <c r="R29" s="122">
        <v>3</v>
      </c>
      <c r="S29" s="122">
        <v>8</v>
      </c>
      <c r="T29" s="60" t="s">
        <v>1689</v>
      </c>
      <c r="U29" s="122">
        <v>0</v>
      </c>
      <c r="V29" s="122">
        <v>3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5" t="str">
        <f>CONCATENATE( D29, E29, F29, H29, I29, J29, L29, M29, N29, O29, P29, Q29, R29, S29, U29, V29)</f>
        <v>5510010000013803</v>
      </c>
      <c r="AB29" s="131" t="str">
        <f>IF( LEN(AA29) = 0, "", IF( AND( LEN(AA29) = 16, Z29), CONCATENATE( D29, E29, F29, G29, H29, I29, J29, K29, L29, M29, N29, O29, P29, Q29, R29, S29, T29, U29, V29), Kontrola_Neispravno))</f>
        <v>551-001-00000138-03</v>
      </c>
    </row>
    <row r="30" spans="2:31" ht="4.5" customHeight="1" x14ac:dyDescent="0.2">
      <c r="B30" s="124"/>
      <c r="Y30" s="16"/>
      <c r="Z30" s="16"/>
      <c r="AA30" s="135"/>
      <c r="AB30" s="132"/>
    </row>
    <row r="31" spans="2:31" ht="15" customHeight="1" x14ac:dyDescent="0.2">
      <c r="B31" s="124"/>
      <c r="D31" s="122">
        <v>1</v>
      </c>
      <c r="E31" s="122">
        <v>5</v>
      </c>
      <c r="F31" s="122">
        <v>4</v>
      </c>
      <c r="G31" s="123" t="s">
        <v>1689</v>
      </c>
      <c r="H31" s="122">
        <v>5</v>
      </c>
      <c r="I31" s="122">
        <v>6</v>
      </c>
      <c r="J31" s="122">
        <v>0</v>
      </c>
      <c r="K31" s="123" t="s">
        <v>1689</v>
      </c>
      <c r="L31" s="122">
        <v>2</v>
      </c>
      <c r="M31" s="122">
        <v>0</v>
      </c>
      <c r="N31" s="122">
        <v>0</v>
      </c>
      <c r="O31" s="122">
        <v>1</v>
      </c>
      <c r="P31" s="122">
        <v>8</v>
      </c>
      <c r="Q31" s="122">
        <v>5</v>
      </c>
      <c r="R31" s="122">
        <v>4</v>
      </c>
      <c r="S31" s="122">
        <v>2</v>
      </c>
      <c r="T31" s="60" t="s">
        <v>1689</v>
      </c>
      <c r="U31" s="122">
        <v>1</v>
      </c>
      <c r="V31" s="122">
        <v>4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5" t="str">
        <f>CONCATENATE( D31, E31, F31, H31, I31, J31, L31, M31, N31, O31, P31, Q31, R31, S31, U31, V31)</f>
        <v>1545602001854214</v>
      </c>
      <c r="AB31" s="131" t="str">
        <f>IF( LEN(AA31) = 0, "", IF( AND( LEN(AA31) = 16, Z31), CONCATENATE( D31, E31, F31, G31, H31, I31, J31, K31, L31, M31, N31, O31, P31, Q31, R31, S31, T31, U31, V31), Kontrola_Neispravno))</f>
        <v>154-560-20018542-14</v>
      </c>
    </row>
    <row r="32" spans="2:31" ht="4.5" customHeight="1" x14ac:dyDescent="0.2">
      <c r="B32" s="124"/>
      <c r="Y32" s="16"/>
      <c r="Z32" s="16"/>
      <c r="AA32" s="135"/>
      <c r="AB32" s="132"/>
    </row>
    <row r="33" spans="2:28" ht="15" customHeight="1" x14ac:dyDescent="0.2">
      <c r="B33" s="124"/>
      <c r="D33" s="122">
        <v>5</v>
      </c>
      <c r="E33" s="122">
        <v>6</v>
      </c>
      <c r="F33" s="122">
        <v>7</v>
      </c>
      <c r="G33" s="123" t="s">
        <v>1689</v>
      </c>
      <c r="H33" s="122">
        <v>1</v>
      </c>
      <c r="I33" s="122">
        <v>6</v>
      </c>
      <c r="J33" s="122">
        <v>2</v>
      </c>
      <c r="K33" s="123" t="s">
        <v>1689</v>
      </c>
      <c r="L33" s="122">
        <v>1</v>
      </c>
      <c r="M33" s="122">
        <v>1</v>
      </c>
      <c r="N33" s="122">
        <v>0</v>
      </c>
      <c r="O33" s="122">
        <v>0</v>
      </c>
      <c r="P33" s="122">
        <v>0</v>
      </c>
      <c r="Q33" s="122">
        <v>8</v>
      </c>
      <c r="R33" s="122">
        <v>7</v>
      </c>
      <c r="S33" s="122">
        <v>8</v>
      </c>
      <c r="T33" s="60" t="s">
        <v>1689</v>
      </c>
      <c r="U33" s="122">
        <v>1</v>
      </c>
      <c r="V33" s="122">
        <v>5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5" t="str">
        <f>CONCATENATE( D33, E33, F33, H33, I33, J33, L33, M33, N33, O33, P33, Q33, R33, S33, U33, V33)</f>
        <v>5671621100087815</v>
      </c>
      <c r="AB33" s="131" t="str">
        <f>IF( LEN(AA33) = 0, "", IF( AND( LEN(AA33) = 16, Z33), CONCATENATE( D33, E33, F33, G33, H33, I33, J33, K33, L33, M33, N33, O33, P33, Q33, R33, S33, T33, U33, V33), Kontrola_Neispravno))</f>
        <v>567-162-11000878-15</v>
      </c>
    </row>
    <row r="34" spans="2:28" ht="4.5" customHeight="1" x14ac:dyDescent="0.2">
      <c r="B34" s="124"/>
      <c r="Y34" s="16"/>
      <c r="Z34" s="16"/>
      <c r="AA34" s="135"/>
      <c r="AB34" s="132"/>
    </row>
    <row r="35" spans="2:28" ht="15" customHeight="1" x14ac:dyDescent="0.2">
      <c r="B35" s="124"/>
      <c r="D35" s="122">
        <v>1</v>
      </c>
      <c r="E35" s="122">
        <v>9</v>
      </c>
      <c r="F35" s="122">
        <v>4</v>
      </c>
      <c r="G35" s="123" t="s">
        <v>1689</v>
      </c>
      <c r="H35" s="122">
        <v>1</v>
      </c>
      <c r="I35" s="122">
        <v>4</v>
      </c>
      <c r="J35" s="122">
        <v>6</v>
      </c>
      <c r="K35" s="123" t="s">
        <v>1689</v>
      </c>
      <c r="L35" s="122">
        <v>0</v>
      </c>
      <c r="M35" s="122">
        <v>3</v>
      </c>
      <c r="N35" s="122">
        <v>1</v>
      </c>
      <c r="O35" s="122">
        <v>0</v>
      </c>
      <c r="P35" s="122">
        <v>3</v>
      </c>
      <c r="Q35" s="122">
        <v>0</v>
      </c>
      <c r="R35" s="122">
        <v>4</v>
      </c>
      <c r="S35" s="122">
        <v>1</v>
      </c>
      <c r="T35" s="60" t="s">
        <v>1689</v>
      </c>
      <c r="U35" s="122">
        <v>8</v>
      </c>
      <c r="V35" s="122">
        <v>9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5" t="str">
        <f>CONCATENATE( D35, E35, F35, H35, I35, J35, L35, M35, N35, O35, P35, Q35, R35, S35, U35, V35)</f>
        <v>1941460310304189</v>
      </c>
      <c r="AB35" s="131" t="str">
        <f>IF( LEN(AA35) = 0, "", IF( AND( LEN(AA35) = 16, Z35), CONCATENATE( D35, E35, F35, G35, H35, I35, J35, K35, L35, M35, N35, O35, P35, Q35, R35, S35, T35, U35, V35), Kontrola_Neispravno))</f>
        <v>194-146-03103041-89</v>
      </c>
    </row>
    <row r="36" spans="2:28" ht="4.5" customHeight="1" x14ac:dyDescent="0.2">
      <c r="B36" s="124"/>
      <c r="Y36" s="16"/>
      <c r="Z36" s="16"/>
      <c r="AA36" s="135"/>
      <c r="AB36" s="132"/>
    </row>
    <row r="37" spans="2:28" ht="15" customHeight="1" x14ac:dyDescent="0.2">
      <c r="B37" s="124"/>
      <c r="D37" s="122">
        <v>1</v>
      </c>
      <c r="E37" s="122">
        <v>9</v>
      </c>
      <c r="F37" s="122">
        <v>9</v>
      </c>
      <c r="G37" s="123" t="s">
        <v>1689</v>
      </c>
      <c r="H37" s="122">
        <v>0</v>
      </c>
      <c r="I37" s="122">
        <v>5</v>
      </c>
      <c r="J37" s="122">
        <v>6</v>
      </c>
      <c r="K37" s="123" t="s">
        <v>1689</v>
      </c>
      <c r="L37" s="122">
        <v>0</v>
      </c>
      <c r="M37" s="122">
        <v>0</v>
      </c>
      <c r="N37" s="122">
        <v>5</v>
      </c>
      <c r="O37" s="122">
        <v>4</v>
      </c>
      <c r="P37" s="122">
        <v>3</v>
      </c>
      <c r="Q37" s="122">
        <v>6</v>
      </c>
      <c r="R37" s="122">
        <v>3</v>
      </c>
      <c r="S37" s="122">
        <v>3</v>
      </c>
      <c r="T37" s="60" t="s">
        <v>1689</v>
      </c>
      <c r="U37" s="122">
        <v>5</v>
      </c>
      <c r="V37" s="122">
        <v>4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5" t="str">
        <f>CONCATENATE( D37, E37, F37, H37, I37, J37, L37, M37, N37, O37, P37, Q37, R37, S37, U37, V37)</f>
        <v>1990560054363354</v>
      </c>
      <c r="AB37" s="131" t="str">
        <f>IF( LEN(AA37) = 0, "", IF( AND( LEN(AA37) = 16, Z37), CONCATENATE( D37, E37, F37, G37, H37, I37, J37, K37, L37, M37, N37, O37, P37, Q37, R37, S37, T37, U37, V37), Kontrola_Neispravno))</f>
        <v>199-056-00543633-54</v>
      </c>
    </row>
    <row r="38" spans="2:28" ht="15" customHeight="1" x14ac:dyDescent="0.2">
      <c r="B38" s="124"/>
      <c r="Y38" s="16"/>
      <c r="Z38" s="16"/>
      <c r="AA38" s="135"/>
      <c r="AB38" s="132"/>
    </row>
    <row r="39" spans="2:28" ht="15.75" customHeight="1" x14ac:dyDescent="0.2">
      <c r="B39" s="139" t="str">
        <f>Objasnjenja_Podnozje</f>
        <v>Podaci ispod izvještaja:</v>
      </c>
      <c r="Y39" s="16"/>
      <c r="Z39" s="16"/>
      <c r="AA39" s="135"/>
      <c r="AB39" s="132"/>
    </row>
    <row r="40" spans="2:28" ht="15" customHeight="1" x14ac:dyDescent="0.2">
      <c r="B40" s="124" t="str">
        <f>Podnozje_U</f>
        <v>U:</v>
      </c>
      <c r="D40" s="384" t="s">
        <v>307</v>
      </c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Y40" s="16" t="b">
        <f>LEN(AA40) &gt; 0</f>
        <v>1</v>
      </c>
      <c r="Z40" s="16" t="b">
        <v>1</v>
      </c>
      <c r="AA40" s="135" t="str">
        <f>CONCATENATE( D40)</f>
        <v>Banja Luka</v>
      </c>
      <c r="AB40" s="133" t="str">
        <f>IF(Y40, IF( Z40, AA40, Kontrola_Neispravno), Kontrola_Obavezno)</f>
        <v>Banja Luka</v>
      </c>
    </row>
    <row r="41" spans="2:28" ht="4.5" customHeight="1" x14ac:dyDescent="0.2">
      <c r="B41" s="124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5"/>
      <c r="AB41" s="132"/>
    </row>
    <row r="42" spans="2:28" ht="15" customHeight="1" x14ac:dyDescent="0.2">
      <c r="B42" s="66"/>
      <c r="D42" s="125" t="str">
        <f>Objasnjenja_Dan</f>
        <v>Dan</v>
      </c>
      <c r="E42" s="125"/>
      <c r="F42" s="125"/>
      <c r="G42" s="125" t="str">
        <f>Objasnjenja_Mjesec</f>
        <v>Mjesec</v>
      </c>
      <c r="H42" s="125"/>
      <c r="I42" s="125"/>
      <c r="J42" s="125" t="str">
        <f>Objasnjenja_Godina</f>
        <v>Godina</v>
      </c>
      <c r="K42" s="125"/>
      <c r="L42" s="125"/>
      <c r="M42" s="125"/>
      <c r="Y42" s="16"/>
      <c r="Z42" s="16"/>
      <c r="AA42" s="135"/>
      <c r="AB42" s="132"/>
    </row>
    <row r="43" spans="2:28" ht="15" customHeight="1" x14ac:dyDescent="0.2">
      <c r="B43" s="124" t="str">
        <f>Podnozje_Dana</f>
        <v>Datum:</v>
      </c>
      <c r="D43" s="386">
        <v>28</v>
      </c>
      <c r="E43" s="388"/>
      <c r="F43" s="60"/>
      <c r="G43" s="386">
        <v>2</v>
      </c>
      <c r="H43" s="388"/>
      <c r="I43" s="60"/>
      <c r="J43" s="386">
        <v>2022</v>
      </c>
      <c r="K43" s="387"/>
      <c r="L43" s="388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5" t="str">
        <f>IF( OR( Y43, Z43), TEXT( DATE( J43, G43, D43), "dd.mm.yyyy."), "")</f>
        <v>28.02.2022.</v>
      </c>
      <c r="AB43" s="133" t="str">
        <f>IF(Y43, IF( Z43, AA43, Kontrola_Neispravno), Kontrola_Obavezno)</f>
        <v>28.02.2022.</v>
      </c>
    </row>
    <row r="44" spans="2:28" ht="4.5" customHeight="1" x14ac:dyDescent="0.2">
      <c r="B44" s="124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5"/>
      <c r="AB44" s="132"/>
    </row>
    <row r="45" spans="2:28" ht="15" customHeight="1" x14ac:dyDescent="0.2">
      <c r="B45" s="124" t="str">
        <f>Podnozje_Lice_sa_licencom</f>
        <v>Lice sa licencom:</v>
      </c>
      <c r="D45" s="384" t="s">
        <v>2056</v>
      </c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Y45" s="16" t="b">
        <f>LEN(AA45) &gt; 0</f>
        <v>1</v>
      </c>
      <c r="Z45" s="16" t="b">
        <v>1</v>
      </c>
      <c r="AA45" s="135" t="str">
        <f>CONCATENATE( D45)</f>
        <v>Nada Diljkan, SRT-0354/22</v>
      </c>
      <c r="AB45" s="133" t="str">
        <f>IF(Y45, IF( Z45, AA45, Kontrola_Neispravno), Kontrola_Obavezno)</f>
        <v>Nada Diljkan, SRT-0354/22</v>
      </c>
    </row>
    <row r="46" spans="2:28" ht="4.5" customHeight="1" x14ac:dyDescent="0.2">
      <c r="B46" s="124"/>
      <c r="Y46" s="16"/>
      <c r="Z46" s="16"/>
      <c r="AA46" s="135"/>
      <c r="AB46" s="132"/>
    </row>
    <row r="47" spans="2:28" ht="15" customHeight="1" x14ac:dyDescent="0.2">
      <c r="B47" s="124" t="str">
        <f>Podnozje_Broj_licence</f>
        <v>Broj licence:</v>
      </c>
      <c r="D47" s="384" t="s">
        <v>2055</v>
      </c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Y47" s="16" t="b">
        <f>LEN(AA47) &gt; 0</f>
        <v>1</v>
      </c>
      <c r="Z47" s="16" t="b">
        <v>1</v>
      </c>
      <c r="AA47" s="135" t="str">
        <f>CONCATENATE( D47)</f>
        <v>SRT-0354/22</v>
      </c>
      <c r="AB47" s="133" t="str">
        <f>IF(Y47, IF( Z47, AA47, Kontrola_Neispravno), Kontrola_Obavezno)</f>
        <v>SRT-0354/22</v>
      </c>
    </row>
    <row r="48" spans="2:28" ht="4.5" customHeight="1" x14ac:dyDescent="0.2">
      <c r="B48" s="124"/>
      <c r="Y48" s="16"/>
      <c r="Z48" s="16"/>
      <c r="AA48" s="135"/>
      <c r="AB48" s="132"/>
    </row>
    <row r="49" spans="2:28" ht="15" customHeight="1" x14ac:dyDescent="0.2">
      <c r="B49" s="155" t="str">
        <f>Podnozje_Direktor</f>
        <v>Lice ovlašćeno za zastupanje:</v>
      </c>
      <c r="D49" s="384" t="s">
        <v>308</v>
      </c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Y49" s="16" t="b">
        <f>LEN(AA49) &gt; 0</f>
        <v>1</v>
      </c>
      <c r="Z49" s="16" t="b">
        <v>1</v>
      </c>
      <c r="AA49" s="135" t="str">
        <f>CONCATENATE( D49)</f>
        <v>Mario Derajić</v>
      </c>
      <c r="AB49" s="133" t="str">
        <f>IF(Y49, IF( Z49, AA49, Kontrola_Neispravno), Kontrola_Obavezno)</f>
        <v>Mario Derajić</v>
      </c>
    </row>
    <row r="50" spans="2:28" ht="15" customHeight="1" x14ac:dyDescent="0.2">
      <c r="B50" s="66"/>
      <c r="Y50" s="16"/>
      <c r="Z50" s="16"/>
      <c r="AA50" s="135"/>
      <c r="AB50" s="132"/>
    </row>
    <row r="51" spans="2:28" ht="15.75" customHeight="1" x14ac:dyDescent="0.2">
      <c r="B51" s="139" t="s">
        <v>1454</v>
      </c>
      <c r="Y51" s="16"/>
      <c r="Z51" s="16"/>
      <c r="AA51" s="135"/>
      <c r="AB51" s="132"/>
    </row>
    <row r="52" spans="2:28" ht="15" customHeight="1" x14ac:dyDescent="0.2">
      <c r="B52" s="124" t="str">
        <f>Kontakt_Adresa</f>
        <v>Adresa i broj:</v>
      </c>
      <c r="D52" s="384" t="s">
        <v>309</v>
      </c>
      <c r="E52" s="385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385"/>
      <c r="Q52" s="385"/>
      <c r="R52" s="385"/>
      <c r="S52" s="385"/>
      <c r="T52" s="385"/>
      <c r="U52" s="385"/>
      <c r="V52" s="385"/>
      <c r="Y52" s="16" t="b">
        <f>LEN(AA52) &gt; 0</f>
        <v>1</v>
      </c>
      <c r="Z52" s="16" t="b">
        <v>1</v>
      </c>
      <c r="AA52" s="135" t="str">
        <f>CONCATENATE( D52)</f>
        <v>Ramići bb</v>
      </c>
      <c r="AB52" s="133" t="str">
        <f>IF(Y52, IF( Z52, AA52, Kontrola_Neispravno), Kontrola_Obavezno)</f>
        <v>Ramići bb</v>
      </c>
    </row>
    <row r="53" spans="2:28" ht="4.5" customHeight="1" x14ac:dyDescent="0.2">
      <c r="B53" s="66"/>
      <c r="Y53" s="16"/>
      <c r="Z53" s="16"/>
      <c r="AA53" s="135"/>
      <c r="AB53" s="132"/>
    </row>
    <row r="54" spans="2:28" ht="15" customHeight="1" x14ac:dyDescent="0.2">
      <c r="B54" s="124" t="str">
        <f>Kontakt_web</f>
        <v>Internet adresa:</v>
      </c>
      <c r="D54" s="384" t="s">
        <v>310</v>
      </c>
      <c r="E54" s="385"/>
      <c r="F54" s="385"/>
      <c r="G54" s="385"/>
      <c r="H54" s="385"/>
      <c r="I54" s="385"/>
      <c r="J54" s="385"/>
      <c r="K54" s="385"/>
      <c r="L54" s="385"/>
      <c r="M54" s="385"/>
      <c r="N54" s="385"/>
      <c r="O54" s="385"/>
      <c r="P54" s="385"/>
      <c r="Q54" s="385"/>
      <c r="R54" s="385"/>
      <c r="S54" s="385"/>
      <c r="T54" s="385"/>
      <c r="U54" s="385"/>
      <c r="V54" s="385"/>
      <c r="Y54" s="16" t="b">
        <f>LEN(AA54) &gt;= 0</f>
        <v>1</v>
      </c>
      <c r="Z54" s="16" t="b">
        <v>1</v>
      </c>
      <c r="AA54" s="135" t="str">
        <f>CONCATENATE( D54)</f>
        <v>www.fratello-trade.com</v>
      </c>
      <c r="AB54" s="133" t="str">
        <f>IF(Y54, IF( Z54, AA54, Kontrola_Neispravno), Kontrola_Obavezno)</f>
        <v>www.fratello-trade.com</v>
      </c>
    </row>
    <row r="55" spans="2:28" ht="4.5" customHeight="1" x14ac:dyDescent="0.2">
      <c r="B55" s="124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5"/>
      <c r="AB55" s="132"/>
    </row>
    <row r="56" spans="2:28" ht="15" customHeight="1" x14ac:dyDescent="0.2">
      <c r="B56" s="124" t="str">
        <f>Kontakt_email</f>
        <v>Adresa e-pošte (email):</v>
      </c>
      <c r="D56" s="384" t="s">
        <v>311</v>
      </c>
      <c r="E56" s="385"/>
      <c r="F56" s="385"/>
      <c r="G56" s="385"/>
      <c r="H56" s="385"/>
      <c r="I56" s="385"/>
      <c r="J56" s="385"/>
      <c r="K56" s="385"/>
      <c r="L56" s="385"/>
      <c r="M56" s="385"/>
      <c r="N56" s="385"/>
      <c r="O56" s="385"/>
      <c r="P56" s="385"/>
      <c r="Q56" s="385"/>
      <c r="R56" s="385"/>
      <c r="S56" s="385"/>
      <c r="T56" s="385"/>
      <c r="U56" s="385"/>
      <c r="V56" s="385"/>
      <c r="Y56" s="16" t="b">
        <f>LEN(AA56) &gt; 0</f>
        <v>1</v>
      </c>
      <c r="Z56" s="16" t="b">
        <v>1</v>
      </c>
      <c r="AA56" s="135" t="str">
        <f>CONCATENATE(D56)</f>
        <v>info@fratello-trade.com</v>
      </c>
      <c r="AB56" s="133" t="str">
        <f>IF(Y56, IF( Z56, AA56, Kontrola_Neispravno), Kontrola_Obavezno)</f>
        <v>info@fratello-trade.com</v>
      </c>
    </row>
    <row r="57" spans="2:28" ht="4.5" customHeight="1" x14ac:dyDescent="0.2">
      <c r="B57" s="124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5"/>
      <c r="AB57" s="132"/>
    </row>
    <row r="58" spans="2:28" ht="15" customHeight="1" x14ac:dyDescent="0.2">
      <c r="B58" s="124" t="str">
        <f>Kontakt_tel</f>
        <v>Telefon:</v>
      </c>
      <c r="D58" s="122">
        <v>0</v>
      </c>
      <c r="E58" s="122">
        <v>5</v>
      </c>
      <c r="F58" s="122">
        <v>1</v>
      </c>
      <c r="G58" s="60" t="s">
        <v>1689</v>
      </c>
      <c r="H58" s="122">
        <v>3</v>
      </c>
      <c r="I58" s="122">
        <v>9</v>
      </c>
      <c r="J58" s="122">
        <v>4</v>
      </c>
      <c r="K58" s="60" t="s">
        <v>1689</v>
      </c>
      <c r="L58" s="122">
        <v>1</v>
      </c>
      <c r="M58" s="122">
        <v>0</v>
      </c>
      <c r="N58" s="122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5" t="str">
        <f>CONCATENATE( D58,E58, F58, G58, H58, I58, J58, K58, L58, M58, N58)</f>
        <v>051-394-100</v>
      </c>
      <c r="AB58" s="133" t="str">
        <f>IF(Y58, IF( Z58, AA58, Kontrola_Neispravno), Kontrola_Obavezno)</f>
        <v>051-394-100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5"/>
      <c r="AB59" s="132"/>
    </row>
    <row r="60" spans="2:28" ht="15" customHeight="1" x14ac:dyDescent="0.2">
      <c r="B60" s="124" t="str">
        <f>Kontakt_fax</f>
        <v>Faks:</v>
      </c>
      <c r="D60" s="122">
        <v>0</v>
      </c>
      <c r="E60" s="122">
        <v>5</v>
      </c>
      <c r="F60" s="122">
        <v>1</v>
      </c>
      <c r="G60" s="60" t="s">
        <v>1689</v>
      </c>
      <c r="H60" s="122">
        <v>3</v>
      </c>
      <c r="I60" s="122">
        <v>9</v>
      </c>
      <c r="J60" s="122">
        <v>4</v>
      </c>
      <c r="K60" s="60" t="s">
        <v>1689</v>
      </c>
      <c r="L60" s="122">
        <v>1</v>
      </c>
      <c r="M60" s="122">
        <v>1</v>
      </c>
      <c r="N60" s="122">
        <v>1</v>
      </c>
      <c r="O60" s="60"/>
      <c r="P60" s="60"/>
      <c r="Y60" s="16" t="b">
        <f>OR( LEN( AA60) = 2, LEN(AA60) = 11)</f>
        <v>1</v>
      </c>
      <c r="Z60" s="16" t="b">
        <v>1</v>
      </c>
      <c r="AA60" s="135" t="str">
        <f>CONCATENATE( D60,E60, F60, G60, H60, I60, J60, K60, L60, M60, N60)</f>
        <v>051-394-111</v>
      </c>
      <c r="AB60" s="133" t="str">
        <f>IF(Y60, IF( Z60, AA60, Kontrola_Neispravno), Kontrola_Obavezno)</f>
        <v>051-394-111</v>
      </c>
    </row>
    <row r="61" spans="2:28" ht="12.75" customHeight="1" x14ac:dyDescent="0.2">
      <c r="Y61" s="16"/>
      <c r="Z61" s="16"/>
      <c r="AA61" s="135"/>
    </row>
    <row r="62" spans="2:28" ht="15.75" customHeight="1" x14ac:dyDescent="0.2">
      <c r="B62" s="139" t="str">
        <f>Revizija_Revidiran_izvjestaj</f>
        <v>Revidiran izvještaj:</v>
      </c>
      <c r="D62" s="141"/>
      <c r="E62" s="142"/>
      <c r="Y62" s="342" t="b">
        <v>0</v>
      </c>
      <c r="Z62" s="16"/>
      <c r="AA62" s="135"/>
    </row>
    <row r="63" spans="2:28" ht="4.5" customHeight="1" x14ac:dyDescent="0.2">
      <c r="B63" s="143"/>
      <c r="D63"/>
      <c r="E63"/>
      <c r="Y63" s="343"/>
      <c r="Z63" s="16"/>
      <c r="AA63" s="135"/>
    </row>
    <row r="64" spans="2:28" ht="17.25" customHeight="1" x14ac:dyDescent="0.2">
      <c r="B64" s="124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5" t="str">
        <f>VLOOKUP( Podesavanja!$E$1, Podesavanja!$E$3:$F$6, 2, 0)</f>
        <v/>
      </c>
      <c r="AB64" s="131" t="str">
        <f>IF(Y64, IF( Z64, AA64, Kontrola_Neispravno), Kontrola_Obavezno)</f>
        <v/>
      </c>
    </row>
    <row r="65" spans="1:28" ht="4.5" customHeight="1" x14ac:dyDescent="0.2">
      <c r="B65" s="124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5"/>
    </row>
    <row r="66" spans="1:28" ht="15" customHeight="1" x14ac:dyDescent="0.2">
      <c r="B66" s="158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5"/>
    </row>
    <row r="67" spans="1:28" ht="15" customHeight="1" x14ac:dyDescent="0.2">
      <c r="A67" s="9"/>
      <c r="B67" s="124" t="str">
        <f>IF( Revidiran_izvjestaj, Zaglavlje_MB, "")</f>
        <v/>
      </c>
      <c r="C67" s="9"/>
      <c r="D67" s="122"/>
      <c r="E67" s="122"/>
      <c r="F67" s="122"/>
      <c r="G67" s="122"/>
      <c r="H67" s="122"/>
      <c r="I67" s="122"/>
      <c r="J67" s="122"/>
      <c r="K67" s="122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5" t="str">
        <f>CONCATENATE( D67, E67, F67, G67, H67, I67, J67, K67)</f>
        <v/>
      </c>
      <c r="AB67" s="131" t="str">
        <f>IF(Y67, IF( Z67, AA67, Kontrola_Neispravno), Kontrola_Obavezno)</f>
        <v/>
      </c>
    </row>
    <row r="68" spans="1:28" ht="4.5" customHeight="1" x14ac:dyDescent="0.2">
      <c r="A68" s="9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Y68" s="16"/>
      <c r="Z68" s="16"/>
      <c r="AA68" s="135"/>
    </row>
    <row r="69" spans="1:28" ht="12.75" customHeight="1" x14ac:dyDescent="0.2">
      <c r="A69" s="9"/>
      <c r="B69" s="382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5"/>
    </row>
    <row r="70" spans="1:28" ht="15" customHeight="1" x14ac:dyDescent="0.2">
      <c r="A70" s="9"/>
      <c r="B70" s="382"/>
      <c r="C70" s="9"/>
      <c r="D70" s="389"/>
      <c r="E70" s="389"/>
      <c r="F70" s="389"/>
      <c r="G70" s="389"/>
      <c r="H70" s="389"/>
      <c r="I70" s="389"/>
      <c r="J70" s="389"/>
      <c r="K70" s="389"/>
      <c r="L70" s="389"/>
      <c r="M70" s="389"/>
      <c r="N70" s="389"/>
      <c r="O70" s="389"/>
      <c r="P70" s="389"/>
      <c r="Q70" s="389"/>
      <c r="R70" s="389"/>
      <c r="S70" s="389"/>
      <c r="T70" s="389"/>
      <c r="U70" s="389"/>
      <c r="V70" s="389"/>
      <c r="Y70" s="16" t="b">
        <f>OR( NOT(Revidiran_izvjestaj), LEN(AA70) &gt; 0)</f>
        <v>1</v>
      </c>
      <c r="Z70" s="16" t="b">
        <v>1</v>
      </c>
      <c r="AA70" s="135" t="str">
        <f>CONCATENATE(D70)</f>
        <v/>
      </c>
      <c r="AB70" s="133" t="str">
        <f>IF(Y70, IF( Z70, AA70, Kontrola_Neispravno), Kontrola_Obavezno)</f>
        <v/>
      </c>
    </row>
    <row r="71" spans="1:28" ht="4.5" customHeight="1" x14ac:dyDescent="0.2">
      <c r="A71" s="9"/>
      <c r="B71" s="124"/>
      <c r="C71" s="9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4"/>
      <c r="U71" s="134"/>
      <c r="V71" s="134"/>
      <c r="Y71" s="16"/>
      <c r="Z71" s="16"/>
      <c r="AA71" s="135"/>
      <c r="AB71" s="132"/>
    </row>
    <row r="72" spans="1:28" ht="15" customHeight="1" x14ac:dyDescent="0.2">
      <c r="A72" s="9"/>
      <c r="B72" s="124" t="str">
        <f>IF( Revidiran_izvjestaj, Zaglavlje_Sjediste, "")</f>
        <v/>
      </c>
      <c r="C72" s="9"/>
      <c r="D72" s="389"/>
      <c r="E72" s="389"/>
      <c r="F72" s="389"/>
      <c r="G72" s="389"/>
      <c r="H72" s="389"/>
      <c r="I72" s="389"/>
      <c r="J72" s="389"/>
      <c r="K72" s="389"/>
      <c r="L72" s="389"/>
      <c r="M72" s="389"/>
      <c r="N72" s="389"/>
      <c r="O72" s="389"/>
      <c r="P72" s="389"/>
      <c r="Q72" s="389"/>
      <c r="R72" s="389"/>
      <c r="S72" s="389"/>
      <c r="T72" s="389"/>
      <c r="U72" s="389"/>
      <c r="V72" s="389"/>
      <c r="Y72" s="16" t="b">
        <f>OR( NOT(Revidiran_izvjestaj), LEN(AA72) &gt; 0)</f>
        <v>1</v>
      </c>
      <c r="Z72" s="16" t="b">
        <v>1</v>
      </c>
      <c r="AA72" s="135" t="str">
        <f>CONCATENATE(D72)</f>
        <v/>
      </c>
      <c r="AB72" s="131" t="str">
        <f>IF(Y72, IF( Z72, AA72, Kontrola_Neispravno), Kontrola_Obavezno)</f>
        <v/>
      </c>
    </row>
    <row r="73" spans="1:28" ht="4.5" customHeight="1" x14ac:dyDescent="0.2">
      <c r="A73" s="9"/>
      <c r="B73" s="124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5"/>
      <c r="AB73" s="132"/>
    </row>
    <row r="74" spans="1:28" ht="15" customHeight="1" x14ac:dyDescent="0.2">
      <c r="A74" s="9"/>
      <c r="B74" s="124" t="str">
        <f>IF( Revidiran_izvjestaj, Zaglavlje_JIB, "")</f>
        <v/>
      </c>
      <c r="C74" s="9"/>
      <c r="D74" s="122"/>
      <c r="E74" s="190"/>
      <c r="F74" s="191"/>
      <c r="G74" s="122"/>
      <c r="H74" s="190"/>
      <c r="I74" s="191"/>
      <c r="J74" s="122"/>
      <c r="K74" s="190"/>
      <c r="L74" s="191"/>
      <c r="M74" s="190"/>
      <c r="N74" s="191"/>
      <c r="O74" s="190"/>
      <c r="P74" s="191"/>
      <c r="Q74" s="123"/>
      <c r="R74" s="123"/>
      <c r="S74" s="123"/>
      <c r="T74" s="123"/>
      <c r="U74" s="123"/>
      <c r="V74" s="123"/>
      <c r="Y74" s="16" t="b">
        <f>OR( NOT(Revidiran_izvjestaj), LEN(AA74) = 13)</f>
        <v>1</v>
      </c>
      <c r="Z74" s="341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6" t="str">
        <f>CONCATENATE( D74, E74, F74, G74, H74, I74, J74, K74, L74, M74, N74, O74, P74)</f>
        <v/>
      </c>
      <c r="AB74" s="131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39" t="str">
        <f>Konsolidovani_Konsolidavani_Izvjestaj</f>
        <v>Konsolidovan izvještaj:</v>
      </c>
      <c r="D76" s="141"/>
      <c r="E76" s="142"/>
      <c r="F76"/>
      <c r="Y76" s="138" t="b">
        <v>0</v>
      </c>
      <c r="Z76" s="271"/>
      <c r="AA76" s="271"/>
    </row>
    <row r="77" spans="1:28" ht="4.5" customHeight="1" x14ac:dyDescent="0.2">
      <c r="A77" s="9"/>
      <c r="B77" s="140"/>
    </row>
    <row r="78" spans="1:28" ht="15" customHeight="1" x14ac:dyDescent="0.25">
      <c r="A78" s="9"/>
      <c r="B78" s="157" t="str">
        <f>IF( Konsolidovan_izvjestaj, Konsolidovani_Konsolidovani &amp; " 1:", "")</f>
        <v/>
      </c>
    </row>
    <row r="79" spans="1:28" ht="15" customHeight="1" x14ac:dyDescent="0.2">
      <c r="A79" s="9"/>
      <c r="B79" s="124" t="str">
        <f>IF( Konsolidovan_izvjestaj, Zaglavlje_MB, "")</f>
        <v/>
      </c>
      <c r="D79" s="122"/>
      <c r="E79" s="122"/>
      <c r="F79" s="122"/>
      <c r="G79" s="122"/>
      <c r="H79" s="122"/>
      <c r="I79" s="122"/>
      <c r="J79" s="122"/>
      <c r="K79" s="122"/>
      <c r="Y79"/>
      <c r="Z79"/>
      <c r="AA79"/>
    </row>
    <row r="80" spans="1:28" customFormat="1" ht="4.5" customHeight="1" x14ac:dyDescent="0.2">
      <c r="A80" s="117"/>
      <c r="B80" s="117"/>
    </row>
    <row r="81" spans="1:27" ht="12.75" customHeight="1" x14ac:dyDescent="0.2">
      <c r="A81" s="9"/>
      <c r="B81" s="382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2"/>
      <c r="D82" s="385"/>
      <c r="E82" s="385"/>
      <c r="F82" s="385"/>
      <c r="G82" s="385"/>
      <c r="H82" s="385"/>
      <c r="I82" s="385"/>
      <c r="J82" s="385"/>
      <c r="K82" s="385"/>
      <c r="L82" s="385"/>
      <c r="M82" s="385"/>
      <c r="N82" s="385"/>
      <c r="O82" s="385"/>
      <c r="P82" s="385"/>
      <c r="Q82" s="385"/>
      <c r="R82" s="385"/>
      <c r="S82" s="385"/>
      <c r="T82" s="385"/>
      <c r="U82" s="385"/>
      <c r="V82" s="385"/>
      <c r="Y82"/>
      <c r="Z82"/>
      <c r="AA82"/>
    </row>
    <row r="83" spans="1:27" ht="4.5" customHeight="1" x14ac:dyDescent="0.2">
      <c r="A83" s="9"/>
      <c r="B83" s="124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4" t="str">
        <f>IF( Konsolidovan_izvjestaj, Zaglavlje_Sjediste, "")</f>
        <v/>
      </c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Y84"/>
      <c r="Z84"/>
      <c r="AA84"/>
    </row>
    <row r="85" spans="1:27" ht="4.5" customHeight="1" x14ac:dyDescent="0.2">
      <c r="A85" s="9"/>
      <c r="B85" s="124"/>
      <c r="Y85"/>
      <c r="Z85"/>
      <c r="AA85"/>
    </row>
    <row r="86" spans="1:27" ht="15" customHeight="1" x14ac:dyDescent="0.2">
      <c r="A86" s="9"/>
      <c r="B86" s="124" t="str">
        <f>IF( Konsolidovan_izvjestaj, Zaglavlje_JIB, "")</f>
        <v/>
      </c>
      <c r="D86" s="122"/>
      <c r="E86" s="190"/>
      <c r="F86" s="191"/>
      <c r="G86" s="122"/>
      <c r="H86" s="190"/>
      <c r="I86" s="191"/>
      <c r="J86" s="122"/>
      <c r="K86" s="190"/>
      <c r="L86" s="191"/>
      <c r="M86" s="190"/>
      <c r="N86" s="191"/>
      <c r="O86" s="190"/>
      <c r="P86" s="191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0"/>
      <c r="Y87"/>
      <c r="Z87"/>
      <c r="AA87"/>
    </row>
    <row r="88" spans="1:27" ht="15" customHeight="1" x14ac:dyDescent="0.25">
      <c r="A88" s="9"/>
      <c r="B88" s="157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4" t="str">
        <f>IF( Konsolidovan_izvjestaj, Zaglavlje_MB, "")</f>
        <v/>
      </c>
      <c r="D89" s="122"/>
      <c r="E89" s="122"/>
      <c r="F89" s="122"/>
      <c r="G89" s="122"/>
      <c r="H89" s="122"/>
      <c r="I89" s="122"/>
      <c r="J89" s="122"/>
      <c r="K89" s="122"/>
      <c r="Y89"/>
      <c r="Z89"/>
      <c r="AA89"/>
    </row>
    <row r="90" spans="1:27" ht="4.5" customHeight="1" x14ac:dyDescent="0.2">
      <c r="A90" s="9"/>
      <c r="B90" s="117"/>
    </row>
    <row r="91" spans="1:27" ht="12.75" customHeight="1" x14ac:dyDescent="0.2">
      <c r="A91" s="9"/>
      <c r="B91" s="382" t="str">
        <f>IF( Konsolidovan_izvjestaj, Zaglavlje_Naziv_preduzeca, "")</f>
        <v/>
      </c>
    </row>
    <row r="92" spans="1:27" ht="15" customHeight="1" x14ac:dyDescent="0.2">
      <c r="A92" s="9"/>
      <c r="B92" s="382"/>
      <c r="D92" s="385"/>
      <c r="E92" s="385"/>
      <c r="F92" s="385"/>
      <c r="G92" s="385"/>
      <c r="H92" s="385"/>
      <c r="I92" s="385"/>
      <c r="J92" s="385"/>
      <c r="K92" s="385"/>
      <c r="L92" s="385"/>
      <c r="M92" s="385"/>
      <c r="N92" s="385"/>
      <c r="O92" s="385"/>
      <c r="P92" s="385"/>
      <c r="Q92" s="385"/>
      <c r="R92" s="385"/>
      <c r="S92" s="385"/>
      <c r="T92" s="385"/>
      <c r="U92" s="385"/>
      <c r="V92" s="385"/>
    </row>
    <row r="93" spans="1:27" ht="4.5" customHeight="1" x14ac:dyDescent="0.2">
      <c r="A93" s="9"/>
      <c r="B93" s="124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4" t="str">
        <f>IF( Konsolidovan_izvjestaj, Zaglavlje_Sjediste, "")</f>
        <v/>
      </c>
      <c r="D94" s="385"/>
      <c r="E94" s="385"/>
      <c r="F94" s="385"/>
      <c r="G94" s="385"/>
      <c r="H94" s="385"/>
      <c r="I94" s="385"/>
      <c r="J94" s="385"/>
      <c r="K94" s="385"/>
      <c r="L94" s="385"/>
      <c r="M94" s="385"/>
      <c r="N94" s="385"/>
      <c r="O94" s="385"/>
      <c r="P94" s="385"/>
      <c r="Q94" s="385"/>
      <c r="R94" s="385"/>
      <c r="S94" s="385"/>
      <c r="T94" s="385"/>
      <c r="U94" s="385"/>
      <c r="V94" s="385"/>
    </row>
    <row r="95" spans="1:27" ht="4.5" customHeight="1" x14ac:dyDescent="0.2">
      <c r="A95" s="9"/>
      <c r="B95" s="124"/>
    </row>
    <row r="96" spans="1:27" ht="15" customHeight="1" x14ac:dyDescent="0.2">
      <c r="A96" s="9"/>
      <c r="B96" s="124" t="str">
        <f>IF( Konsolidovan_izvjestaj, Zaglavlje_JIB, "")</f>
        <v/>
      </c>
      <c r="D96" s="122"/>
      <c r="E96" s="190"/>
      <c r="F96" s="191"/>
      <c r="G96" s="122"/>
      <c r="H96" s="190"/>
      <c r="I96" s="191"/>
      <c r="J96" s="122"/>
      <c r="K96" s="190"/>
      <c r="L96" s="191"/>
      <c r="M96" s="190"/>
      <c r="N96" s="191"/>
      <c r="O96" s="190"/>
      <c r="P96" s="191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0"/>
    </row>
    <row r="98" spans="1:32" ht="15" customHeight="1" x14ac:dyDescent="0.25">
      <c r="A98" s="9"/>
      <c r="B98" s="157" t="str">
        <f>IF( Konsolidovan_izvjestaj, Konsolidovani_Konsolidovani &amp; " 3:", "")</f>
        <v/>
      </c>
    </row>
    <row r="99" spans="1:32" ht="15" customHeight="1" x14ac:dyDescent="0.2">
      <c r="A99" s="9"/>
      <c r="B99" s="124" t="str">
        <f>IF( Konsolidovan_izvjestaj, Zaglavlje_MB, "")</f>
        <v/>
      </c>
      <c r="D99" s="122"/>
      <c r="E99" s="122"/>
      <c r="F99" s="122"/>
      <c r="G99" s="122"/>
      <c r="H99" s="122"/>
      <c r="I99" s="122"/>
      <c r="J99" s="122"/>
      <c r="K99" s="122"/>
    </row>
    <row r="100" spans="1:32" customFormat="1" ht="4.5" customHeight="1" x14ac:dyDescent="0.2">
      <c r="A100" s="117"/>
      <c r="B100" s="117"/>
      <c r="AE100" s="8"/>
      <c r="AF100" s="8"/>
    </row>
    <row r="101" spans="1:32" ht="12.75" customHeight="1" x14ac:dyDescent="0.2">
      <c r="A101" s="9"/>
      <c r="B101" s="382" t="str">
        <f>IF( Konsolidovan_izvjestaj, Zaglavlje_Naziv_preduzeca, "")</f>
        <v/>
      </c>
    </row>
    <row r="102" spans="1:32" ht="15" customHeight="1" x14ac:dyDescent="0.2">
      <c r="A102" s="9"/>
      <c r="B102" s="382"/>
      <c r="D102" s="385"/>
      <c r="E102" s="385"/>
      <c r="F102" s="385"/>
      <c r="G102" s="385"/>
      <c r="H102" s="385"/>
      <c r="I102" s="385"/>
      <c r="J102" s="385"/>
      <c r="K102" s="385"/>
      <c r="L102" s="385"/>
      <c r="M102" s="385"/>
      <c r="N102" s="385"/>
      <c r="O102" s="385"/>
      <c r="P102" s="385"/>
      <c r="Q102" s="385"/>
      <c r="R102" s="385"/>
      <c r="S102" s="385"/>
      <c r="T102" s="385"/>
      <c r="U102" s="385"/>
      <c r="V102" s="385"/>
    </row>
    <row r="103" spans="1:32" ht="4.5" customHeight="1" x14ac:dyDescent="0.2">
      <c r="A103" s="9"/>
      <c r="B103" s="124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4" t="str">
        <f>IF( Konsolidovan_izvjestaj, Zaglavlje_Sjediste, "")</f>
        <v/>
      </c>
      <c r="D104" s="385"/>
      <c r="E104" s="385"/>
      <c r="F104" s="385"/>
      <c r="G104" s="385"/>
      <c r="H104" s="385"/>
      <c r="I104" s="385"/>
      <c r="J104" s="385"/>
      <c r="K104" s="385"/>
      <c r="L104" s="385"/>
      <c r="M104" s="385"/>
      <c r="N104" s="385"/>
      <c r="O104" s="385"/>
      <c r="P104" s="385"/>
      <c r="Q104" s="385"/>
      <c r="R104" s="385"/>
      <c r="S104" s="385"/>
      <c r="T104" s="385"/>
      <c r="U104" s="385"/>
      <c r="V104" s="385"/>
    </row>
    <row r="105" spans="1:32" ht="4.5" customHeight="1" x14ac:dyDescent="0.2">
      <c r="A105" s="9"/>
      <c r="B105" s="124"/>
    </row>
    <row r="106" spans="1:32" ht="15" customHeight="1" x14ac:dyDescent="0.2">
      <c r="A106" s="9"/>
      <c r="B106" s="124" t="str">
        <f>IF( Konsolidovan_izvjestaj, Zaglavlje_JIB, "")</f>
        <v/>
      </c>
      <c r="D106" s="122"/>
      <c r="E106" s="190"/>
      <c r="F106" s="191"/>
      <c r="G106" s="122"/>
      <c r="H106" s="190"/>
      <c r="I106" s="191"/>
      <c r="J106" s="122"/>
      <c r="K106" s="190"/>
      <c r="L106" s="191"/>
      <c r="M106" s="190"/>
      <c r="N106" s="191"/>
      <c r="O106" s="190"/>
      <c r="P106" s="191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7" t="str">
        <f>IF( Konsolidovan_izvjestaj, Konsolidovani_Konsolidovani &amp; " 4:", "")</f>
        <v/>
      </c>
    </row>
    <row r="109" spans="1:32" ht="15" customHeight="1" x14ac:dyDescent="0.2">
      <c r="B109" s="124" t="str">
        <f>IF( Konsolidovan_izvjestaj, Zaglavlje_MB, "")</f>
        <v/>
      </c>
      <c r="D109" s="122"/>
      <c r="E109" s="122"/>
      <c r="F109" s="122"/>
      <c r="G109" s="122"/>
      <c r="H109" s="122"/>
      <c r="I109" s="122"/>
      <c r="J109" s="122"/>
      <c r="K109" s="122"/>
    </row>
    <row r="110" spans="1:32" ht="12.75" customHeight="1" x14ac:dyDescent="0.2">
      <c r="B110" s="117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2" t="str">
        <f>IF( Konsolidovan_izvjestaj, Zaglavlje_Naziv_preduzeca, "")</f>
        <v/>
      </c>
    </row>
    <row r="112" spans="1:32" ht="15" customHeight="1" x14ac:dyDescent="0.2">
      <c r="B112" s="382"/>
      <c r="D112" s="385"/>
      <c r="E112" s="385"/>
      <c r="F112" s="385"/>
      <c r="G112" s="385"/>
      <c r="H112" s="385"/>
      <c r="I112" s="385"/>
      <c r="J112" s="385"/>
      <c r="K112" s="385"/>
      <c r="L112" s="385"/>
      <c r="M112" s="385"/>
      <c r="N112" s="385"/>
      <c r="O112" s="385"/>
      <c r="P112" s="385"/>
      <c r="Q112" s="385"/>
      <c r="R112" s="385"/>
      <c r="S112" s="385"/>
      <c r="T112" s="385"/>
      <c r="U112" s="385"/>
      <c r="V112" s="385"/>
    </row>
    <row r="113" spans="2:32" ht="12.75" customHeight="1" x14ac:dyDescent="0.2">
      <c r="B113" s="124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28"/>
    </row>
    <row r="114" spans="2:32" ht="15" customHeight="1" x14ac:dyDescent="0.2">
      <c r="B114" s="124" t="str">
        <f>IF( Konsolidovan_izvjestaj, Zaglavlje_Sjediste, "")</f>
        <v/>
      </c>
      <c r="D114" s="385"/>
      <c r="E114" s="385"/>
      <c r="F114" s="385"/>
      <c r="G114" s="385"/>
      <c r="H114" s="385"/>
      <c r="I114" s="385"/>
      <c r="J114" s="385"/>
      <c r="K114" s="385"/>
      <c r="L114" s="385"/>
      <c r="M114" s="385"/>
      <c r="N114" s="385"/>
      <c r="O114" s="385"/>
      <c r="P114" s="385"/>
      <c r="Q114" s="385"/>
      <c r="R114" s="385"/>
      <c r="S114" s="385"/>
      <c r="T114" s="385"/>
      <c r="U114" s="385"/>
      <c r="V114" s="385"/>
    </row>
    <row r="115" spans="2:32" ht="12.75" customHeight="1" x14ac:dyDescent="0.2">
      <c r="B115" s="124"/>
    </row>
    <row r="116" spans="2:32" ht="15" customHeight="1" x14ac:dyDescent="0.2">
      <c r="B116" s="124" t="str">
        <f>IF( Konsolidovan_izvjestaj, Zaglavlje_JIB, "")</f>
        <v/>
      </c>
      <c r="D116" s="122"/>
      <c r="E116" s="190"/>
      <c r="F116" s="191"/>
      <c r="G116" s="122"/>
      <c r="H116" s="190"/>
      <c r="I116" s="191"/>
      <c r="J116" s="122"/>
      <c r="K116" s="190"/>
      <c r="L116" s="191"/>
      <c r="M116" s="190"/>
      <c r="N116" s="191"/>
      <c r="O116" s="190"/>
      <c r="P116" s="191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7" t="str">
        <f>IF( Konsolidovan_izvjestaj, Konsolidovani_Konsolidovani &amp; " 5:", "")</f>
        <v/>
      </c>
    </row>
    <row r="119" spans="2:32" ht="15" customHeight="1" x14ac:dyDescent="0.2">
      <c r="B119" s="124" t="str">
        <f>IF( Konsolidovan_izvjestaj, Zaglavlje_MB, "")</f>
        <v/>
      </c>
      <c r="D119" s="122"/>
      <c r="E119" s="122"/>
      <c r="F119" s="122"/>
      <c r="G119" s="122"/>
      <c r="H119" s="122"/>
      <c r="I119" s="122"/>
      <c r="J119" s="122"/>
      <c r="K119" s="122"/>
    </row>
    <row r="120" spans="2:32" ht="12.75" customHeight="1" x14ac:dyDescent="0.2">
      <c r="B120" s="117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2" t="str">
        <f>IF( Konsolidovan_izvjestaj, Zaglavlje_Naziv_preduzeca, "")</f>
        <v/>
      </c>
    </row>
    <row r="122" spans="2:32" ht="15" customHeight="1" x14ac:dyDescent="0.2">
      <c r="B122" s="382"/>
      <c r="D122" s="385"/>
      <c r="E122" s="385"/>
      <c r="F122" s="385"/>
      <c r="G122" s="385"/>
      <c r="H122" s="385"/>
      <c r="I122" s="385"/>
      <c r="J122" s="385"/>
      <c r="K122" s="385"/>
      <c r="L122" s="385"/>
      <c r="M122" s="385"/>
      <c r="N122" s="385"/>
      <c r="O122" s="385"/>
      <c r="P122" s="385"/>
      <c r="Q122" s="385"/>
      <c r="R122" s="385"/>
      <c r="S122" s="385"/>
      <c r="T122" s="385"/>
      <c r="U122" s="385"/>
      <c r="V122" s="385"/>
    </row>
    <row r="123" spans="2:32" ht="12.75" customHeight="1" x14ac:dyDescent="0.2">
      <c r="B123" s="124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4" t="str">
        <f>IF( Konsolidovan_izvjestaj, Zaglavlje_Sjediste, "")</f>
        <v/>
      </c>
      <c r="D124" s="385"/>
      <c r="E124" s="385"/>
      <c r="F124" s="385"/>
      <c r="G124" s="385"/>
      <c r="H124" s="385"/>
      <c r="I124" s="385"/>
      <c r="J124" s="385"/>
      <c r="K124" s="385"/>
      <c r="L124" s="385"/>
      <c r="M124" s="385"/>
      <c r="N124" s="385"/>
      <c r="O124" s="385"/>
      <c r="P124" s="385"/>
      <c r="Q124" s="385"/>
      <c r="R124" s="385"/>
      <c r="S124" s="385"/>
      <c r="T124" s="385"/>
      <c r="U124" s="385"/>
      <c r="V124" s="385"/>
    </row>
    <row r="125" spans="2:32" ht="12.75" customHeight="1" x14ac:dyDescent="0.2">
      <c r="B125" s="124"/>
    </row>
    <row r="126" spans="2:32" ht="15" customHeight="1" x14ac:dyDescent="0.2">
      <c r="B126" s="124" t="str">
        <f>IF( Konsolidovan_izvjestaj, Zaglavlje_JIB, "")</f>
        <v/>
      </c>
      <c r="D126" s="122"/>
      <c r="E126" s="190"/>
      <c r="F126" s="191"/>
      <c r="G126" s="122"/>
      <c r="H126" s="190"/>
      <c r="I126" s="191"/>
      <c r="J126" s="122"/>
      <c r="K126" s="190"/>
      <c r="L126" s="191"/>
      <c r="M126" s="190"/>
      <c r="N126" s="191"/>
      <c r="O126" s="190"/>
      <c r="P126" s="191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124:V124"/>
    <mergeCell ref="D94:V94"/>
    <mergeCell ref="D102:V102"/>
    <mergeCell ref="D104:V104"/>
    <mergeCell ref="D112:V112"/>
    <mergeCell ref="D114:V114"/>
    <mergeCell ref="D122:V122"/>
    <mergeCell ref="D92:V92"/>
    <mergeCell ref="D22:V22"/>
    <mergeCell ref="D70:V70"/>
    <mergeCell ref="D72:V72"/>
    <mergeCell ref="D82:V82"/>
    <mergeCell ref="D43:E43"/>
    <mergeCell ref="G43:H43"/>
    <mergeCell ref="B19:B20"/>
    <mergeCell ref="D20:V20"/>
    <mergeCell ref="D49:V49"/>
    <mergeCell ref="D56:V56"/>
    <mergeCell ref="D84:V84"/>
    <mergeCell ref="D40:V40"/>
    <mergeCell ref="J43:L43"/>
    <mergeCell ref="B81:B82"/>
    <mergeCell ref="D54:V54"/>
    <mergeCell ref="D52:V52"/>
    <mergeCell ref="D45:V45"/>
    <mergeCell ref="D47:V47"/>
    <mergeCell ref="B121:B122"/>
    <mergeCell ref="B111:B112"/>
    <mergeCell ref="B91:B92"/>
    <mergeCell ref="B101:B102"/>
    <mergeCell ref="B69:B70"/>
    <mergeCell ref="J8:L10"/>
    <mergeCell ref="D8:E8"/>
    <mergeCell ref="G8:H8"/>
    <mergeCell ref="D10:E10"/>
    <mergeCell ref="G10:H10"/>
  </mergeCells>
  <phoneticPr fontId="23" type="noConversion"/>
  <conditionalFormatting sqref="E24:P24 E74:P74 E86:P86 E96:P96 E106:P106 E116:P116 E126:P126">
    <cfRule type="expression" dxfId="89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88" priority="50" stopIfTrue="1">
      <formula>$AC$3 &gt; 0</formula>
    </cfRule>
  </conditionalFormatting>
  <conditionalFormatting sqref="G17:I17">
    <cfRule type="expression" dxfId="87" priority="48" stopIfTrue="1">
      <formula>$AC$3 &gt; 0</formula>
    </cfRule>
  </conditionalFormatting>
  <conditionalFormatting sqref="U27:V27">
    <cfRule type="expression" dxfId="86" priority="47" stopIfTrue="1">
      <formula>$AC$3 &gt; 0</formula>
    </cfRule>
  </conditionalFormatting>
  <conditionalFormatting sqref="U29:V29">
    <cfRule type="expression" dxfId="85" priority="46" stopIfTrue="1">
      <formula>$AC$3 &gt; 0</formula>
    </cfRule>
  </conditionalFormatting>
  <conditionalFormatting sqref="U31:V31">
    <cfRule type="expression" dxfId="84" priority="45" stopIfTrue="1">
      <formula>$AC$3 &gt; 0</formula>
    </cfRule>
  </conditionalFormatting>
  <conditionalFormatting sqref="U33:V33">
    <cfRule type="expression" dxfId="83" priority="44" stopIfTrue="1">
      <formula>$AC$3 &gt; 0</formula>
    </cfRule>
  </conditionalFormatting>
  <conditionalFormatting sqref="U35:V35">
    <cfRule type="expression" dxfId="82" priority="43" stopIfTrue="1">
      <formula>$AC$3 &gt; 0</formula>
    </cfRule>
  </conditionalFormatting>
  <conditionalFormatting sqref="U37:V37">
    <cfRule type="expression" dxfId="81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tabSelected="1" zoomScaleNormal="100" zoomScaleSheetLayoutView="100" workbookViewId="0">
      <pane ySplit="4" topLeftCell="A38" activePane="bottomLeft" state="frozen"/>
      <selection activeCell="D15" sqref="D15"/>
      <selection pane="bottomLeft" activeCell="D143" sqref="D143:H14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4"/>
      <c r="D1" s="185"/>
      <c r="E1" s="185"/>
      <c r="F1" s="185"/>
      <c r="G1" s="185"/>
      <c r="H1" s="185"/>
      <c r="I1" s="186"/>
      <c r="J1" s="20"/>
      <c r="K1" s="20"/>
      <c r="L1" s="20"/>
      <c r="M1" s="20"/>
    </row>
    <row r="2" spans="1:13" x14ac:dyDescent="0.2">
      <c r="C2" s="184"/>
      <c r="D2" s="185"/>
      <c r="E2" s="185"/>
      <c r="F2" s="185"/>
      <c r="G2" s="185"/>
      <c r="H2" s="185"/>
      <c r="I2" s="186"/>
      <c r="J2" s="20"/>
      <c r="K2" s="20"/>
      <c r="L2" s="20"/>
      <c r="M2" s="20"/>
    </row>
    <row r="3" spans="1:13" x14ac:dyDescent="0.2">
      <c r="C3" s="184"/>
      <c r="D3" s="185"/>
      <c r="E3" s="185"/>
      <c r="F3" s="185"/>
      <c r="G3" s="185"/>
      <c r="H3" s="185"/>
      <c r="I3" s="186"/>
      <c r="J3" s="20"/>
      <c r="K3" s="20"/>
      <c r="L3" s="20"/>
      <c r="M3" s="20"/>
    </row>
    <row r="4" spans="1:13" x14ac:dyDescent="0.2">
      <c r="C4" s="184"/>
      <c r="D4" s="185"/>
      <c r="E4" s="185"/>
      <c r="F4" s="185"/>
      <c r="G4" s="185"/>
      <c r="H4" s="185"/>
      <c r="I4" s="186"/>
      <c r="J4" s="20"/>
      <c r="K4" s="20"/>
      <c r="L4" s="20"/>
      <c r="M4" s="20"/>
    </row>
    <row r="5" spans="1:13" x14ac:dyDescent="0.2">
      <c r="A5" s="15"/>
      <c r="B5" s="15"/>
      <c r="C5" s="170" t="str">
        <f>Zaglavlje_MB</f>
        <v>Matični broj:</v>
      </c>
      <c r="D5" s="430" t="str">
        <f>Podatak_MB</f>
        <v>01940155</v>
      </c>
      <c r="E5" s="430"/>
      <c r="F5" s="171"/>
      <c r="G5" s="171"/>
      <c r="H5" s="171"/>
      <c r="I5" s="171"/>
      <c r="J5" s="171"/>
      <c r="K5" s="172" t="str">
        <f>Zaglavlje_Ziro_racun</f>
        <v>Poslovni računi:</v>
      </c>
      <c r="L5" s="434" t="str">
        <f>Podatak_Ziro_racun_1</f>
        <v>555-007-00215205-80</v>
      </c>
      <c r="M5" s="434"/>
    </row>
    <row r="6" spans="1:13" x14ac:dyDescent="0.2">
      <c r="A6" s="15"/>
      <c r="B6" s="15"/>
      <c r="C6" s="170" t="str">
        <f>Zaglavlje_Sifra_djelatnosti</f>
        <v>Šifra djelatnosti:</v>
      </c>
      <c r="D6" s="430" t="str">
        <f>Podatak_Sifra_djelatnosti</f>
        <v>10.20</v>
      </c>
      <c r="E6" s="430"/>
      <c r="F6" s="173"/>
      <c r="G6" s="171"/>
      <c r="H6" s="171"/>
      <c r="I6" s="171"/>
      <c r="J6" s="171"/>
      <c r="K6" s="171"/>
      <c r="L6" s="434" t="str">
        <f>Podatak_Ziro_racun_2</f>
        <v>551-001-00000138-03</v>
      </c>
      <c r="M6" s="434"/>
    </row>
    <row r="7" spans="1:13" x14ac:dyDescent="0.2">
      <c r="A7" s="18"/>
      <c r="B7" s="18"/>
      <c r="C7" s="435" t="str">
        <f>Zaglavlje_Naziv_preduzeca</f>
        <v>Naziv privrednog društva, zadruge, drugog pravnog lica ili preduzetnika:</v>
      </c>
      <c r="D7" s="435"/>
      <c r="E7" s="435"/>
      <c r="F7" s="174"/>
      <c r="G7" s="171"/>
      <c r="H7" s="171"/>
      <c r="I7" s="171"/>
      <c r="J7" s="171"/>
      <c r="K7" s="171"/>
      <c r="L7" s="434" t="str">
        <f>Podatak_Ziro_racun_3</f>
        <v>154-560-20018542-14</v>
      </c>
      <c r="M7" s="434"/>
    </row>
    <row r="8" spans="1:13" x14ac:dyDescent="0.2">
      <c r="A8" s="18"/>
      <c r="B8" s="18"/>
      <c r="C8" s="435"/>
      <c r="D8" s="435"/>
      <c r="E8" s="435"/>
      <c r="F8" s="174"/>
      <c r="G8" s="171"/>
      <c r="H8" s="171"/>
      <c r="I8" s="171"/>
      <c r="J8" s="171"/>
      <c r="K8" s="171"/>
      <c r="L8" s="434" t="str">
        <f>Podatak_Ziro_racun_4</f>
        <v>567-162-11000878-15</v>
      </c>
      <c r="M8" s="434"/>
    </row>
    <row r="9" spans="1:13" x14ac:dyDescent="0.2">
      <c r="A9" s="15"/>
      <c r="B9" s="15"/>
      <c r="C9" s="433" t="str">
        <f>Podatak_Naziv_preduzeca</f>
        <v xml:space="preserve">Fratello Trade a.d. </v>
      </c>
      <c r="D9" s="433"/>
      <c r="E9" s="433"/>
      <c r="F9" s="433"/>
      <c r="G9" s="171"/>
      <c r="H9" s="171"/>
      <c r="I9" s="171"/>
      <c r="J9" s="171"/>
      <c r="K9" s="171"/>
      <c r="L9" s="434" t="str">
        <f>Podatak_Ziro_racun_5</f>
        <v>194-146-03103041-89</v>
      </c>
      <c r="M9" s="434"/>
    </row>
    <row r="10" spans="1:13" x14ac:dyDescent="0.2">
      <c r="A10" s="15"/>
      <c r="B10" s="15"/>
      <c r="C10" s="170" t="str">
        <f>Zaglavlje_Sjediste</f>
        <v>Sjedište:</v>
      </c>
      <c r="D10" s="430" t="str">
        <f>Podatak_Sjediste</f>
        <v>Banja Luka</v>
      </c>
      <c r="E10" s="430"/>
      <c r="F10" s="170"/>
      <c r="G10" s="171"/>
      <c r="H10" s="171"/>
      <c r="I10" s="171"/>
      <c r="J10" s="171"/>
      <c r="K10" s="171"/>
      <c r="L10" s="434" t="str">
        <f>Podatak_Ziro_racun_6</f>
        <v>199-056-00543633-54</v>
      </c>
      <c r="M10" s="434"/>
    </row>
    <row r="11" spans="1:13" x14ac:dyDescent="0.2">
      <c r="C11" s="170" t="str">
        <f>Zaglavlje_JIB</f>
        <v>JIB:</v>
      </c>
      <c r="D11" s="430" t="str">
        <f>Podatak_JIB</f>
        <v>4400929510006</v>
      </c>
      <c r="E11" s="430"/>
      <c r="F11" s="175"/>
      <c r="G11" s="175"/>
      <c r="H11" s="175"/>
      <c r="I11" s="176"/>
      <c r="J11" s="176"/>
      <c r="K11" s="175"/>
      <c r="L11" s="177"/>
      <c r="M11" s="177"/>
    </row>
    <row r="12" spans="1:13" ht="15.75" x14ac:dyDescent="0.2">
      <c r="C12" s="438" t="str">
        <f>IF( Id_Konsolidovani, Nazivi_bilansa_Konsolidovani_naziv &amp; LOWER( Nazivi_bilansa_BS), Nazivi_bilansa_BS)</f>
        <v>Bilans stanja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</row>
    <row r="13" spans="1:13" x14ac:dyDescent="0.2">
      <c r="C13" s="432" t="str">
        <f>Nazivi_bilansa_BS1</f>
        <v>(Izvještaj o finansijskom položaju)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</row>
    <row r="14" spans="1:13" x14ac:dyDescent="0.2">
      <c r="C14" s="432" t="str">
        <f>Datumi_Datum_BS</f>
        <v>na dan 31.12.2021. godine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4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06" t="str">
        <f>Tabele_zaglavlje_Oznaka_aop</f>
        <v>Oznaka za AOP</v>
      </c>
      <c r="J16" s="431" t="str">
        <f>Tabele_zaglavlje_BS_iznos_tekuca</f>
        <v>Iznos na dan bilansa tekuće godine</v>
      </c>
      <c r="K16" s="431"/>
      <c r="L16" s="431"/>
      <c r="M16" s="436" t="str">
        <f>Tabele_zaglavlje_BS_iznos_prethodna</f>
        <v>Iznos na dan bilansa prethodne godine (PS)</v>
      </c>
    </row>
    <row r="17" spans="2:15" ht="38.25" customHeight="1" x14ac:dyDescent="0.2">
      <c r="C17" s="405"/>
      <c r="D17" s="421"/>
      <c r="E17" s="422"/>
      <c r="F17" s="422"/>
      <c r="G17" s="422"/>
      <c r="H17" s="423"/>
      <c r="I17" s="407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17"/>
      <c r="O17" s="183" t="s">
        <v>1780</v>
      </c>
    </row>
    <row r="18" spans="2:15" x14ac:dyDescent="0.2">
      <c r="B18" s="17" t="s">
        <v>1364</v>
      </c>
      <c r="C18" s="26">
        <v>1</v>
      </c>
      <c r="D18" s="402">
        <v>2</v>
      </c>
      <c r="E18" s="429"/>
      <c r="F18" s="429"/>
      <c r="G18" s="429"/>
      <c r="H18" s="403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3">
        <f>VLOOKUP( $B19, Aop!$A$2:$N$415, 5, 1)</f>
        <v>0</v>
      </c>
      <c r="D19" s="437" t="str">
        <f>VLOOKUP( $B19, Aop!$A$2:$N$415, 6, 1)</f>
        <v>AKTIVA</v>
      </c>
      <c r="E19" s="437"/>
      <c r="F19" s="437"/>
      <c r="G19" s="437"/>
      <c r="H19" s="437"/>
      <c r="I19" s="240"/>
      <c r="J19" s="240"/>
      <c r="K19" s="240"/>
      <c r="L19" s="240"/>
      <c r="M19" s="241"/>
    </row>
    <row r="20" spans="2:15" x14ac:dyDescent="0.2">
      <c r="B20" s="17">
        <v>2</v>
      </c>
      <c r="C20" s="230">
        <f>VLOOKUP( $B20, Aop!$A$2:$N$415, 5, 1)</f>
        <v>0</v>
      </c>
      <c r="D20" s="413" t="str">
        <f>VLOOKUP( $B20, Aop!$A$2:$N$415, 6, 1)</f>
        <v xml:space="preserve">  A. STALNA SREDSTVA (002 + 008 + 015 + 021 + 030)</v>
      </c>
      <c r="E20" s="414"/>
      <c r="F20" s="414"/>
      <c r="G20" s="414"/>
      <c r="H20" s="415"/>
      <c r="I20" s="231">
        <f>VLOOKUP( $B20, Aop!$A$2:$N$415, 4, 1)</f>
        <v>1</v>
      </c>
      <c r="J20" s="32">
        <f>SUBTOTAL( 9, J21:J49)</f>
        <v>6598841</v>
      </c>
      <c r="K20" s="32">
        <f>SUBTOTAL( 9, K21:K49)</f>
        <v>2958196</v>
      </c>
      <c r="L20" s="33">
        <f>SUM(J20,-K20)</f>
        <v>3640645</v>
      </c>
      <c r="M20" s="34">
        <f>SUBTOTAL( 9, M21:M49)</f>
        <v>3637659</v>
      </c>
      <c r="O20" s="60"/>
    </row>
    <row r="21" spans="2:15" x14ac:dyDescent="0.2">
      <c r="B21" s="17">
        <v>3</v>
      </c>
      <c r="C21" s="232" t="str">
        <f>VLOOKUP( $B21, Aop!$A$2:$N$415, 5, 1)</f>
        <v>01</v>
      </c>
      <c r="D21" s="399" t="str">
        <f>VLOOKUP( $B21, Aop!$A$2:$N$415, 6, 1)</f>
        <v xml:space="preserve">    I - NEMATERIJALNA SREDSTVA (003 do 007)</v>
      </c>
      <c r="E21" s="400"/>
      <c r="F21" s="400"/>
      <c r="G21" s="400"/>
      <c r="H21" s="401"/>
      <c r="I21" s="233">
        <f>VLOOKUP( $B21, Aop!$A$2:$N$415,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6" t="str">
        <f>VLOOKUP( $B22, Aop!$A$2:$N$415, 5, 1)</f>
        <v>010, dio 019</v>
      </c>
      <c r="D22" s="390" t="str">
        <f>VLOOKUP( $B22, Aop!$A$2:$N$415, 6, 1)</f>
        <v xml:space="preserve">      1. Ulaganja u razvoj</v>
      </c>
      <c r="E22" s="391"/>
      <c r="F22" s="391"/>
      <c r="G22" s="391"/>
      <c r="H22" s="392"/>
      <c r="I22" s="167">
        <f>VLOOKUP( $B22, Aop!$A$2:$N$415, 4, 1)</f>
        <v>3</v>
      </c>
      <c r="J22" s="211"/>
      <c r="K22" s="211"/>
      <c r="L22" s="199">
        <f t="shared" si="0"/>
        <v>0</v>
      </c>
      <c r="M22" s="310"/>
      <c r="O22" s="60"/>
    </row>
    <row r="23" spans="2:15" x14ac:dyDescent="0.2">
      <c r="B23" s="17">
        <v>5</v>
      </c>
      <c r="C23" s="164" t="str">
        <f>VLOOKUP( $B23, Aop!$A$2:$N$415, 5, 1)</f>
        <v>011, dio 019</v>
      </c>
      <c r="D23" s="393" t="str">
        <f>VLOOKUP( $B23, Aop!$A$2:$N$415, 6, 1)</f>
        <v xml:space="preserve">      2. Koncesije, patenti, licence i ostala prava</v>
      </c>
      <c r="E23" s="394"/>
      <c r="F23" s="394"/>
      <c r="G23" s="394"/>
      <c r="H23" s="395"/>
      <c r="I23" s="165">
        <f>VLOOKUP( $B23, Aop!$A$2:$N$415, 4, 1)</f>
        <v>4</v>
      </c>
      <c r="J23" s="213"/>
      <c r="K23" s="213"/>
      <c r="L23" s="200">
        <f t="shared" si="0"/>
        <v>0</v>
      </c>
      <c r="M23" s="311"/>
      <c r="O23" s="60"/>
    </row>
    <row r="24" spans="2:15" x14ac:dyDescent="0.2">
      <c r="B24" s="17">
        <v>6</v>
      </c>
      <c r="C24" s="166" t="str">
        <f>VLOOKUP( $B24, Aop!$A$2:$N$415, 5, 1)</f>
        <v>012, dio 019</v>
      </c>
      <c r="D24" s="390" t="str">
        <f>VLOOKUP( $B24, Aop!$A$2:$N$415, 6, 1)</f>
        <v xml:space="preserve">      3. Goodwill</v>
      </c>
      <c r="E24" s="391"/>
      <c r="F24" s="391"/>
      <c r="G24" s="391"/>
      <c r="H24" s="392"/>
      <c r="I24" s="167">
        <f>VLOOKUP( $B24, Aop!$A$2:$N$415, 4, 1)</f>
        <v>5</v>
      </c>
      <c r="J24" s="211"/>
      <c r="K24" s="211"/>
      <c r="L24" s="201">
        <f t="shared" si="0"/>
        <v>0</v>
      </c>
      <c r="M24" s="310"/>
      <c r="O24" s="60"/>
    </row>
    <row r="25" spans="2:15" x14ac:dyDescent="0.2">
      <c r="B25" s="17">
        <v>7</v>
      </c>
      <c r="C25" s="164" t="str">
        <f>VLOOKUP( $B25, Aop!$A$2:$N$415, 5, 1)</f>
        <v>014, dio 019</v>
      </c>
      <c r="D25" s="393" t="str">
        <f>VLOOKUP( $B25, Aop!$A$2:$N$415, 6, 1)</f>
        <v xml:space="preserve">      4. Ostala nematerijalna sredstva</v>
      </c>
      <c r="E25" s="394"/>
      <c r="F25" s="394"/>
      <c r="G25" s="394"/>
      <c r="H25" s="395"/>
      <c r="I25" s="165">
        <f>VLOOKUP( $B25, Aop!$A$2:$N$415, 4, 1)</f>
        <v>6</v>
      </c>
      <c r="J25" s="213"/>
      <c r="K25" s="213"/>
      <c r="L25" s="200">
        <f t="shared" si="0"/>
        <v>0</v>
      </c>
      <c r="M25" s="311"/>
      <c r="O25" s="60"/>
    </row>
    <row r="26" spans="2:15" x14ac:dyDescent="0.2">
      <c r="B26" s="17">
        <v>8</v>
      </c>
      <c r="C26" s="166" t="str">
        <f>VLOOKUP( $B26, Aop!$A$2:$N$415, 5, 1)</f>
        <v>015, 016, dio 019</v>
      </c>
      <c r="D26" s="390" t="str">
        <f>VLOOKUP( $B26, Aop!$A$2:$N$415, 6, 1)</f>
        <v xml:space="preserve">      5. Avansi i nematerijalna sredstva u pripremi</v>
      </c>
      <c r="E26" s="391"/>
      <c r="F26" s="391"/>
      <c r="G26" s="391"/>
      <c r="H26" s="392"/>
      <c r="I26" s="167">
        <f>VLOOKUP( $B26, Aop!$A$2:$N$415, 4, 1)</f>
        <v>7</v>
      </c>
      <c r="J26" s="211"/>
      <c r="K26" s="211"/>
      <c r="L26" s="201">
        <f t="shared" si="0"/>
        <v>0</v>
      </c>
      <c r="M26" s="310"/>
      <c r="O26" s="60"/>
    </row>
    <row r="27" spans="2:15" x14ac:dyDescent="0.2">
      <c r="B27" s="17">
        <v>9</v>
      </c>
      <c r="C27" s="232" t="str">
        <f>VLOOKUP( $B27, Aop!$A$2:$N$415, 5, 1)</f>
        <v>02</v>
      </c>
      <c r="D27" s="399" t="str">
        <f>VLOOKUP( $B27, Aop!$A$2:$N$415, 6, 1)</f>
        <v xml:space="preserve">    II - NEKRETNINE, POSTROJENJA, OPREMA I INVESTICIONE NEKRETNINE (009 do 014)</v>
      </c>
      <c r="E27" s="400"/>
      <c r="F27" s="400"/>
      <c r="G27" s="400"/>
      <c r="H27" s="401"/>
      <c r="I27" s="233">
        <f>VLOOKUP( $B27, Aop!$A$2:$N$415, 4, 1)</f>
        <v>8</v>
      </c>
      <c r="J27" s="35">
        <f>SUBTOTAL(9,J28:J33)</f>
        <v>6568408</v>
      </c>
      <c r="K27" s="35">
        <f>SUBTOTAL(9,K28:K33)</f>
        <v>2958196</v>
      </c>
      <c r="L27" s="35">
        <f t="shared" si="0"/>
        <v>3610212</v>
      </c>
      <c r="M27" s="37">
        <f>SUBTOTAL(9,M28:M33)</f>
        <v>3607226</v>
      </c>
      <c r="O27" s="60"/>
    </row>
    <row r="28" spans="2:15" x14ac:dyDescent="0.2">
      <c r="B28" s="17">
        <v>10</v>
      </c>
      <c r="C28" s="166" t="str">
        <f>VLOOKUP( $B28, Aop!$A$2:$N$415, 5, 1)</f>
        <v>020, dio 029</v>
      </c>
      <c r="D28" s="390" t="str">
        <f>VLOOKUP( $B28, Aop!$A$2:$N$415, 6, 1)</f>
        <v xml:space="preserve">      1. Zemljište</v>
      </c>
      <c r="E28" s="391"/>
      <c r="F28" s="391"/>
      <c r="G28" s="391"/>
      <c r="H28" s="392"/>
      <c r="I28" s="167">
        <f>VLOOKUP( $B28, Aop!$A$2:$N$415, 4, 1)</f>
        <v>9</v>
      </c>
      <c r="J28" s="211">
        <v>264621</v>
      </c>
      <c r="K28" s="211"/>
      <c r="L28" s="201">
        <f t="shared" si="0"/>
        <v>264621</v>
      </c>
      <c r="M28" s="310">
        <v>264621</v>
      </c>
      <c r="O28" s="60"/>
    </row>
    <row r="29" spans="2:15" x14ac:dyDescent="0.2">
      <c r="B29" s="17">
        <v>11</v>
      </c>
      <c r="C29" s="164" t="str">
        <f>VLOOKUP( $B29, Aop!$A$2:$N$415, 5, 1)</f>
        <v>021, dio 029</v>
      </c>
      <c r="D29" s="393" t="str">
        <f>VLOOKUP( $B29, Aop!$A$2:$N$415, 6, 1)</f>
        <v xml:space="preserve">      2. Građevinski objekti</v>
      </c>
      <c r="E29" s="394"/>
      <c r="F29" s="394"/>
      <c r="G29" s="394"/>
      <c r="H29" s="395"/>
      <c r="I29" s="165">
        <f>VLOOKUP( $B29, Aop!$A$2:$N$415, 4, 1)</f>
        <v>10</v>
      </c>
      <c r="J29" s="213">
        <v>2728676</v>
      </c>
      <c r="K29" s="213">
        <v>677759</v>
      </c>
      <c r="L29" s="200">
        <f t="shared" si="0"/>
        <v>2050917</v>
      </c>
      <c r="M29" s="311">
        <v>2104560</v>
      </c>
      <c r="O29" s="60"/>
    </row>
    <row r="30" spans="2:15" x14ac:dyDescent="0.2">
      <c r="B30" s="17">
        <v>12</v>
      </c>
      <c r="C30" s="166" t="str">
        <f>VLOOKUP( $B30, Aop!$A$2:$N$415, 5, 1)</f>
        <v>022, dio 029</v>
      </c>
      <c r="D30" s="390" t="str">
        <f>VLOOKUP( $B30, Aop!$A$2:$N$415, 6, 1)</f>
        <v xml:space="preserve">      3. Postrojenja i oprema</v>
      </c>
      <c r="E30" s="391"/>
      <c r="F30" s="391"/>
      <c r="G30" s="391"/>
      <c r="H30" s="392"/>
      <c r="I30" s="167">
        <f>VLOOKUP( $B30, Aop!$A$2:$N$415, 4, 1)</f>
        <v>11</v>
      </c>
      <c r="J30" s="211">
        <v>3575111</v>
      </c>
      <c r="K30" s="211">
        <v>2280437</v>
      </c>
      <c r="L30" s="201">
        <f t="shared" si="0"/>
        <v>1294674</v>
      </c>
      <c r="M30" s="310">
        <v>1238045</v>
      </c>
      <c r="O30" s="60"/>
    </row>
    <row r="31" spans="2:15" x14ac:dyDescent="0.2">
      <c r="B31" s="17">
        <v>13</v>
      </c>
      <c r="C31" s="164" t="str">
        <f>VLOOKUP( $B31, Aop!$A$2:$N$415, 5, 1)</f>
        <v>023, dio 029</v>
      </c>
      <c r="D31" s="393" t="str">
        <f>VLOOKUP( $B31, Aop!$A$2:$N$415, 6, 1)</f>
        <v xml:space="preserve">      4. Investicione nekretnine</v>
      </c>
      <c r="E31" s="394"/>
      <c r="F31" s="394"/>
      <c r="G31" s="394"/>
      <c r="H31" s="395"/>
      <c r="I31" s="165">
        <f>VLOOKUP( $B31, Aop!$A$2:$N$415, 4, 1)</f>
        <v>12</v>
      </c>
      <c r="J31" s="213"/>
      <c r="K31" s="213"/>
      <c r="L31" s="200">
        <f t="shared" si="0"/>
        <v>0</v>
      </c>
      <c r="M31" s="311"/>
      <c r="O31" s="60"/>
    </row>
    <row r="32" spans="2:15" x14ac:dyDescent="0.2">
      <c r="B32" s="17">
        <v>14</v>
      </c>
      <c r="C32" s="166" t="str">
        <f>VLOOKUP( $B32, Aop!$A$2:$N$415, 5, 1)</f>
        <v>024, dio 029</v>
      </c>
      <c r="D32" s="390" t="str">
        <f>VLOOKUP( $B32, Aop!$A$2:$N$415, 6, 1)</f>
        <v xml:space="preserve">      5. Ulaganje na tuđim nekretninama, postrojenjima i opremi</v>
      </c>
      <c r="E32" s="391"/>
      <c r="F32" s="391"/>
      <c r="G32" s="391"/>
      <c r="H32" s="392"/>
      <c r="I32" s="167">
        <f>VLOOKUP( $B32, Aop!$A$2:$N$415, 4, 1)</f>
        <v>13</v>
      </c>
      <c r="J32" s="211"/>
      <c r="K32" s="211"/>
      <c r="L32" s="201">
        <f t="shared" si="0"/>
        <v>0</v>
      </c>
      <c r="M32" s="310"/>
      <c r="O32" s="60"/>
    </row>
    <row r="33" spans="2:15" x14ac:dyDescent="0.2">
      <c r="B33" s="17">
        <v>15</v>
      </c>
      <c r="C33" s="164" t="str">
        <f>VLOOKUP( $B33, Aop!$A$2:$N$415, 5, 1)</f>
        <v>027, 028, dio 029</v>
      </c>
      <c r="D33" s="393" t="str">
        <f>VLOOKUP( $B33, Aop!$A$2:$N$415, 6, 1)</f>
        <v xml:space="preserve">      6. Avansi i nekretnine, postrojenja, oprema i investicione nekretnine u pripremi</v>
      </c>
      <c r="E33" s="394"/>
      <c r="F33" s="394"/>
      <c r="G33" s="394"/>
      <c r="H33" s="395"/>
      <c r="I33" s="165">
        <f>VLOOKUP( $B33, Aop!$A$2:$N$415, 4, 1)</f>
        <v>14</v>
      </c>
      <c r="J33" s="213"/>
      <c r="K33" s="213"/>
      <c r="L33" s="200">
        <f t="shared" si="0"/>
        <v>0</v>
      </c>
      <c r="M33" s="311"/>
      <c r="O33" s="60"/>
    </row>
    <row r="34" spans="2:15" x14ac:dyDescent="0.2">
      <c r="B34" s="17">
        <v>16</v>
      </c>
      <c r="C34" s="234" t="str">
        <f>VLOOKUP( $B34, Aop!$A$2:$N$415, 5, 1)</f>
        <v>03</v>
      </c>
      <c r="D34" s="396" t="str">
        <f>VLOOKUP( $B34, Aop!$A$2:$N$415, 6, 1)</f>
        <v xml:space="preserve">    III - BIOLOŠKA SREDSTVA I SREDSTVA KULTURE (016 do 020)</v>
      </c>
      <c r="E34" s="397"/>
      <c r="F34" s="397"/>
      <c r="G34" s="397"/>
      <c r="H34" s="398"/>
      <c r="I34" s="235">
        <f>VLOOKUP( $B34, Aop!$A$2:$N$415,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4" t="str">
        <f>VLOOKUP( $B35, Aop!$A$2:$N$415, 5, 1)</f>
        <v>030, dio 039</v>
      </c>
      <c r="D35" s="393" t="str">
        <f>VLOOKUP( $B35, Aop!$A$2:$N$415, 6, 1)</f>
        <v xml:space="preserve">      1. Šume</v>
      </c>
      <c r="E35" s="394"/>
      <c r="F35" s="394"/>
      <c r="G35" s="394"/>
      <c r="H35" s="395"/>
      <c r="I35" s="165">
        <f>VLOOKUP( $B35, Aop!$A$2:$N$415, 4, 1)</f>
        <v>16</v>
      </c>
      <c r="J35" s="213"/>
      <c r="K35" s="213"/>
      <c r="L35" s="200">
        <f t="shared" si="0"/>
        <v>0</v>
      </c>
      <c r="M35" s="311"/>
      <c r="O35" s="60"/>
    </row>
    <row r="36" spans="2:15" x14ac:dyDescent="0.2">
      <c r="B36" s="17">
        <v>18</v>
      </c>
      <c r="C36" s="166" t="str">
        <f>VLOOKUP( $B36, Aop!$A$2:$N$415, 5, 1)</f>
        <v>031, dio 039</v>
      </c>
      <c r="D36" s="390" t="str">
        <f>VLOOKUP( $B36, Aop!$A$2:$N$415, 6, 1)</f>
        <v xml:space="preserve">      2. Višegodišnji zasadi</v>
      </c>
      <c r="E36" s="391"/>
      <c r="F36" s="391"/>
      <c r="G36" s="391"/>
      <c r="H36" s="392"/>
      <c r="I36" s="167">
        <f>VLOOKUP( $B36, Aop!$A$2:$N$415, 4, 1)</f>
        <v>17</v>
      </c>
      <c r="J36" s="211"/>
      <c r="K36" s="211"/>
      <c r="L36" s="201">
        <f t="shared" si="0"/>
        <v>0</v>
      </c>
      <c r="M36" s="310"/>
      <c r="O36" s="60"/>
    </row>
    <row r="37" spans="2:15" x14ac:dyDescent="0.2">
      <c r="B37" s="17">
        <v>19</v>
      </c>
      <c r="C37" s="164" t="str">
        <f>VLOOKUP( $B37, Aop!$A$2:$N$415, 5, 1)</f>
        <v>032, dio 039</v>
      </c>
      <c r="D37" s="393" t="str">
        <f>VLOOKUP( $B37, Aop!$A$2:$N$415, 6, 1)</f>
        <v xml:space="preserve">      3. Osnovno stado</v>
      </c>
      <c r="E37" s="394"/>
      <c r="F37" s="394"/>
      <c r="G37" s="394"/>
      <c r="H37" s="395"/>
      <c r="I37" s="165">
        <f>VLOOKUP( $B37, Aop!$A$2:$N$415, 4, 1)</f>
        <v>18</v>
      </c>
      <c r="J37" s="213"/>
      <c r="K37" s="213"/>
      <c r="L37" s="200">
        <f t="shared" si="0"/>
        <v>0</v>
      </c>
      <c r="M37" s="311"/>
      <c r="O37" s="60"/>
    </row>
    <row r="38" spans="2:15" x14ac:dyDescent="0.2">
      <c r="B38" s="17">
        <v>20</v>
      </c>
      <c r="C38" s="166" t="str">
        <f>VLOOKUP( $B38, Aop!$A$2:$N$415, 5, 1)</f>
        <v>033, dio 039</v>
      </c>
      <c r="D38" s="390" t="str">
        <f>VLOOKUP( $B38, Aop!$A$2:$N$415, 6, 1)</f>
        <v xml:space="preserve">      4. Sredstva kulture</v>
      </c>
      <c r="E38" s="391"/>
      <c r="F38" s="391"/>
      <c r="G38" s="391"/>
      <c r="H38" s="392"/>
      <c r="I38" s="167">
        <f>VLOOKUP( $B38, Aop!$A$2:$N$415, 4, 1)</f>
        <v>19</v>
      </c>
      <c r="J38" s="211"/>
      <c r="K38" s="211"/>
      <c r="L38" s="201">
        <f t="shared" si="0"/>
        <v>0</v>
      </c>
      <c r="M38" s="310"/>
      <c r="O38" s="60"/>
    </row>
    <row r="39" spans="2:15" x14ac:dyDescent="0.2">
      <c r="B39" s="17">
        <v>21</v>
      </c>
      <c r="C39" s="164" t="str">
        <f>VLOOKUP( $B39, Aop!$A$2:$N$415, 5, 1)</f>
        <v>037, 038, dio 039</v>
      </c>
      <c r="D39" s="393" t="str">
        <f>VLOOKUP( $B39, Aop!$A$2:$N$415, 6, 1)</f>
        <v xml:space="preserve">      5. Avansi i biološka sredstva i sredstva kulture u pripremi</v>
      </c>
      <c r="E39" s="394"/>
      <c r="F39" s="394"/>
      <c r="G39" s="394"/>
      <c r="H39" s="395"/>
      <c r="I39" s="165">
        <f>VLOOKUP( $B39, Aop!$A$2:$N$415, 4, 1)</f>
        <v>20</v>
      </c>
      <c r="J39" s="213"/>
      <c r="K39" s="213"/>
      <c r="L39" s="200">
        <f t="shared" si="0"/>
        <v>0</v>
      </c>
      <c r="M39" s="311"/>
      <c r="O39" s="60"/>
    </row>
    <row r="40" spans="2:15" x14ac:dyDescent="0.2">
      <c r="B40" s="17">
        <v>22</v>
      </c>
      <c r="C40" s="234" t="str">
        <f>VLOOKUP( $B40, Aop!$A$2:$N$415, 5, 1)</f>
        <v>04</v>
      </c>
      <c r="D40" s="396" t="str">
        <f>VLOOKUP( $B40, Aop!$A$2:$N$415, 6, 1)</f>
        <v xml:space="preserve">    IV - DUGOROČNI FINANSIJSKI PLASMANI (022 do 029)</v>
      </c>
      <c r="E40" s="397"/>
      <c r="F40" s="397"/>
      <c r="G40" s="397"/>
      <c r="H40" s="398"/>
      <c r="I40" s="235">
        <f>VLOOKUP( $B40, Aop!$A$2:$N$415, 4, 1)</f>
        <v>21</v>
      </c>
      <c r="J40" s="33">
        <f>SUBTOTAL(9,J41:J48)</f>
        <v>30433</v>
      </c>
      <c r="K40" s="33">
        <f>SUBTOTAL(9,K41:K48)</f>
        <v>0</v>
      </c>
      <c r="L40" s="33">
        <f t="shared" si="0"/>
        <v>30433</v>
      </c>
      <c r="M40" s="38">
        <f>SUBTOTAL(9,M41:M48)</f>
        <v>30433</v>
      </c>
      <c r="O40" s="60"/>
    </row>
    <row r="41" spans="2:15" x14ac:dyDescent="0.2">
      <c r="B41" s="17">
        <v>23</v>
      </c>
      <c r="C41" s="164" t="str">
        <f>VLOOKUP( $B41, Aop!$A$2:$N$415, 5, 1)</f>
        <v>040, dio 049</v>
      </c>
      <c r="D41" s="393" t="str">
        <f>VLOOKUP( $B41, Aop!$A$2:$N$415, 6, 1)</f>
        <v xml:space="preserve">      1. Učešće u kapitalu zavisnih pravnih lica</v>
      </c>
      <c r="E41" s="394"/>
      <c r="F41" s="394"/>
      <c r="G41" s="394"/>
      <c r="H41" s="395"/>
      <c r="I41" s="165">
        <f>VLOOKUP( $B41, Aop!$A$2:$N$415, 4, 1)</f>
        <v>22</v>
      </c>
      <c r="J41" s="213">
        <v>30433</v>
      </c>
      <c r="K41" s="213"/>
      <c r="L41" s="200">
        <f t="shared" si="0"/>
        <v>30433</v>
      </c>
      <c r="M41" s="311">
        <v>30433</v>
      </c>
      <c r="O41" s="60"/>
    </row>
    <row r="42" spans="2:15" x14ac:dyDescent="0.2">
      <c r="B42" s="17">
        <v>24</v>
      </c>
      <c r="C42" s="166" t="str">
        <f>VLOOKUP( $B42, Aop!$A$2:$N$415, 5, 1)</f>
        <v>041, dio 049</v>
      </c>
      <c r="D42" s="390" t="str">
        <f>VLOOKUP( $B42, Aop!$A$2:$N$415, 6, 1)</f>
        <v xml:space="preserve">      2. Učešće u kapitalu drugih pravnih lica</v>
      </c>
      <c r="E42" s="391"/>
      <c r="F42" s="391"/>
      <c r="G42" s="391"/>
      <c r="H42" s="392"/>
      <c r="I42" s="167">
        <f>VLOOKUP( $B42, Aop!$A$2:$N$415, 4, 1)</f>
        <v>23</v>
      </c>
      <c r="J42" s="211"/>
      <c r="K42" s="211"/>
      <c r="L42" s="201">
        <f t="shared" si="0"/>
        <v>0</v>
      </c>
      <c r="M42" s="310"/>
      <c r="O42" s="60"/>
    </row>
    <row r="43" spans="2:15" x14ac:dyDescent="0.2">
      <c r="B43" s="17">
        <v>25</v>
      </c>
      <c r="C43" s="164" t="str">
        <f>VLOOKUP( $B43, Aop!$A$2:$N$415, 5, 1)</f>
        <v>042, dio 049</v>
      </c>
      <c r="D43" s="393" t="str">
        <f>VLOOKUP( $B43, Aop!$A$2:$N$415, 6, 1)</f>
        <v xml:space="preserve">      3. Dugoročni krediti povezanim pravnim licima</v>
      </c>
      <c r="E43" s="394"/>
      <c r="F43" s="394"/>
      <c r="G43" s="394"/>
      <c r="H43" s="395"/>
      <c r="I43" s="165">
        <f>VLOOKUP( $B43, Aop!$A$2:$N$415, 4, 1)</f>
        <v>24</v>
      </c>
      <c r="J43" s="213"/>
      <c r="K43" s="213"/>
      <c r="L43" s="200">
        <f t="shared" si="0"/>
        <v>0</v>
      </c>
      <c r="M43" s="311"/>
      <c r="O43" s="60"/>
    </row>
    <row r="44" spans="2:15" x14ac:dyDescent="0.2">
      <c r="B44" s="17">
        <v>26</v>
      </c>
      <c r="C44" s="166" t="str">
        <f>VLOOKUP( $B44, Aop!$A$2:$N$415, 5, 1)</f>
        <v>043, dio 049</v>
      </c>
      <c r="D44" s="390" t="str">
        <f>VLOOKUP( $B44, Aop!$A$2:$N$415, 6, 1)</f>
        <v xml:space="preserve">      4. Dugoročni krediti u zemlji</v>
      </c>
      <c r="E44" s="391"/>
      <c r="F44" s="391"/>
      <c r="G44" s="391"/>
      <c r="H44" s="392"/>
      <c r="I44" s="167">
        <f>VLOOKUP( $B44, Aop!$A$2:$N$415, 4, 1)</f>
        <v>25</v>
      </c>
      <c r="J44" s="211"/>
      <c r="K44" s="211"/>
      <c r="L44" s="201">
        <f t="shared" si="0"/>
        <v>0</v>
      </c>
      <c r="M44" s="310"/>
      <c r="O44" s="60"/>
    </row>
    <row r="45" spans="2:15" x14ac:dyDescent="0.2">
      <c r="B45" s="17">
        <v>27</v>
      </c>
      <c r="C45" s="164" t="str">
        <f>VLOOKUP( $B45, Aop!$A$2:$N$415, 5, 1)</f>
        <v>044, dio 049</v>
      </c>
      <c r="D45" s="393" t="str">
        <f>VLOOKUP( $B45, Aop!$A$2:$N$415, 6, 1)</f>
        <v xml:space="preserve">      5. Dugoročni krediti u inostranstvu</v>
      </c>
      <c r="E45" s="394"/>
      <c r="F45" s="394"/>
      <c r="G45" s="394"/>
      <c r="H45" s="395"/>
      <c r="I45" s="165">
        <f>VLOOKUP( $B45, Aop!$A$2:$N$415, 4, 1)</f>
        <v>26</v>
      </c>
      <c r="J45" s="213"/>
      <c r="K45" s="213"/>
      <c r="L45" s="200">
        <f t="shared" si="0"/>
        <v>0</v>
      </c>
      <c r="M45" s="311"/>
      <c r="O45" s="60"/>
    </row>
    <row r="46" spans="2:15" x14ac:dyDescent="0.2">
      <c r="B46" s="17">
        <v>28</v>
      </c>
      <c r="C46" s="166" t="str">
        <f>VLOOKUP( $B46, Aop!$A$2:$N$415, 5, 1)</f>
        <v>045, dio 049</v>
      </c>
      <c r="D46" s="390" t="str">
        <f>VLOOKUP( $B46, Aop!$A$2:$N$415, 6, 1)</f>
        <v xml:space="preserve">      6. Finansijska sredstva raspoloživa za prodaju</v>
      </c>
      <c r="E46" s="391"/>
      <c r="F46" s="391"/>
      <c r="G46" s="391"/>
      <c r="H46" s="392"/>
      <c r="I46" s="167">
        <f>VLOOKUP( $B46, Aop!$A$2:$N$415, 4, 1)</f>
        <v>27</v>
      </c>
      <c r="J46" s="211"/>
      <c r="K46" s="211"/>
      <c r="L46" s="201">
        <f t="shared" si="0"/>
        <v>0</v>
      </c>
      <c r="M46" s="310"/>
      <c r="O46" s="60"/>
    </row>
    <row r="47" spans="2:15" x14ac:dyDescent="0.2">
      <c r="B47" s="17">
        <v>29</v>
      </c>
      <c r="C47" s="164" t="str">
        <f>VLOOKUP( $B47, Aop!$A$2:$N$415, 5, 1)</f>
        <v>046, dio 049</v>
      </c>
      <c r="D47" s="393" t="str">
        <f>VLOOKUP( $B47, Aop!$A$2:$N$415, 6, 1)</f>
        <v xml:space="preserve">      7. Finansijska sredstva koja se drže do roka dospijeća</v>
      </c>
      <c r="E47" s="394"/>
      <c r="F47" s="394"/>
      <c r="G47" s="394"/>
      <c r="H47" s="395"/>
      <c r="I47" s="165">
        <f>VLOOKUP( $B47, Aop!$A$2:$N$415, 4, 1)</f>
        <v>28</v>
      </c>
      <c r="J47" s="213"/>
      <c r="K47" s="213"/>
      <c r="L47" s="200">
        <f t="shared" si="0"/>
        <v>0</v>
      </c>
      <c r="M47" s="311"/>
      <c r="O47" s="60"/>
    </row>
    <row r="48" spans="2:15" x14ac:dyDescent="0.2">
      <c r="B48" s="17">
        <v>30</v>
      </c>
      <c r="C48" s="166" t="str">
        <f>VLOOKUP( $B48, Aop!$A$2:$N$415, 5, 1)</f>
        <v>048, dio 049</v>
      </c>
      <c r="D48" s="390" t="str">
        <f>VLOOKUP( $B48, Aop!$A$2:$N$415, 6, 1)</f>
        <v xml:space="preserve">      8. Ostali dugoročni finansijski plasmani</v>
      </c>
      <c r="E48" s="391"/>
      <c r="F48" s="391"/>
      <c r="G48" s="391"/>
      <c r="H48" s="392"/>
      <c r="I48" s="167">
        <f>VLOOKUP( $B48, Aop!$A$2:$N$415, 4, 1)</f>
        <v>29</v>
      </c>
      <c r="J48" s="211"/>
      <c r="K48" s="211"/>
      <c r="L48" s="201">
        <f t="shared" si="0"/>
        <v>0</v>
      </c>
      <c r="M48" s="310"/>
      <c r="O48" s="60"/>
    </row>
    <row r="49" spans="2:15" x14ac:dyDescent="0.2">
      <c r="B49" s="17">
        <v>31</v>
      </c>
      <c r="C49" s="232" t="str">
        <f>VLOOKUP( $B49, Aop!$A$2:$N$415, 5, 1)</f>
        <v>050</v>
      </c>
      <c r="D49" s="399" t="str">
        <f>VLOOKUP( $B49, Aop!$A$2:$N$415, 6, 1)</f>
        <v xml:space="preserve">    V - ODLOŽENA PORESKA SREDSTVA</v>
      </c>
      <c r="E49" s="400"/>
      <c r="F49" s="400"/>
      <c r="G49" s="400"/>
      <c r="H49" s="401"/>
      <c r="I49" s="233">
        <f>VLOOKUP( $B49, Aop!$A$2:$N$415, 4, 1)</f>
        <v>30</v>
      </c>
      <c r="J49" s="312"/>
      <c r="K49" s="312"/>
      <c r="L49" s="35">
        <f t="shared" si="0"/>
        <v>0</v>
      </c>
      <c r="M49" s="313"/>
      <c r="O49" s="60"/>
    </row>
    <row r="50" spans="2:15" x14ac:dyDescent="0.2">
      <c r="B50" s="17">
        <v>32</v>
      </c>
      <c r="C50" s="234">
        <f>VLOOKUP( $B50, Aop!$A$2:$N$415, 5, 1)</f>
        <v>0</v>
      </c>
      <c r="D50" s="396" t="str">
        <f>VLOOKUP( $B50, Aop!$A$2:$N$415, 6, 1)</f>
        <v xml:space="preserve">  B. TEKUĆA SREDSTVA (032 + 039 + 061)</v>
      </c>
      <c r="E50" s="397"/>
      <c r="F50" s="397"/>
      <c r="G50" s="397"/>
      <c r="H50" s="398"/>
      <c r="I50" s="235">
        <f>VLOOKUP( $B50, Aop!$A$2:$N$415, 4, 1)</f>
        <v>31</v>
      </c>
      <c r="J50" s="33">
        <f>SUBTOTAL( 9, J51:J80)</f>
        <v>6503567</v>
      </c>
      <c r="K50" s="33">
        <f>SUBTOTAL( 9, K51:K80)</f>
        <v>256330</v>
      </c>
      <c r="L50" s="33">
        <f t="shared" si="0"/>
        <v>6247237</v>
      </c>
      <c r="M50" s="38">
        <f>SUBTOTAL( 9, M51:M80)</f>
        <v>5437052</v>
      </c>
      <c r="O50" s="60"/>
    </row>
    <row r="51" spans="2:15" x14ac:dyDescent="0.2">
      <c r="B51" s="17">
        <v>33</v>
      </c>
      <c r="C51" s="232" t="str">
        <f>VLOOKUP( $B51, Aop!$A$2:$N$415, 5, 1)</f>
        <v>10 do 15</v>
      </c>
      <c r="D51" s="399" t="str">
        <f>VLOOKUP( $B51, Aop!$A$2:$N$415, 6, 1)</f>
        <v xml:space="preserve">    I - ZALIHE, STALNA SREDSTVA I SREDSTVA OBUSTAVLJENOG POSLOVANJA NAMIJENJENA PRODAJI (033 do 038)</v>
      </c>
      <c r="E51" s="400"/>
      <c r="F51" s="400"/>
      <c r="G51" s="400"/>
      <c r="H51" s="401"/>
      <c r="I51" s="233">
        <f>VLOOKUP( $B51, Aop!$A$2:$N$415, 4, 1)</f>
        <v>32</v>
      </c>
      <c r="J51" s="35">
        <f>SUBTOTAL(9,J52:J57)</f>
        <v>2849514</v>
      </c>
      <c r="K51" s="35">
        <f>SUBTOTAL(9,K52:K57)</f>
        <v>256330</v>
      </c>
      <c r="L51" s="35">
        <f t="shared" si="0"/>
        <v>2593184</v>
      </c>
      <c r="M51" s="37">
        <f>SUBTOTAL(9,M52:M57)</f>
        <v>2624742</v>
      </c>
      <c r="O51" s="60"/>
    </row>
    <row r="52" spans="2:15" x14ac:dyDescent="0.2">
      <c r="B52" s="17">
        <v>34</v>
      </c>
      <c r="C52" s="166" t="str">
        <f>VLOOKUP( $B52, Aop!$A$2:$N$415, 5, 1)</f>
        <v>100 do 109</v>
      </c>
      <c r="D52" s="390" t="str">
        <f>VLOOKUP( $B52, Aop!$A$2:$N$415, 6, 1)</f>
        <v xml:space="preserve">      1. Zalihe materijala</v>
      </c>
      <c r="E52" s="391"/>
      <c r="F52" s="391"/>
      <c r="G52" s="391"/>
      <c r="H52" s="392"/>
      <c r="I52" s="167">
        <f>VLOOKUP( $B52, Aop!$A$2:$N$415, 4, 1)</f>
        <v>33</v>
      </c>
      <c r="J52" s="211">
        <v>58280</v>
      </c>
      <c r="K52" s="211"/>
      <c r="L52" s="201">
        <f t="shared" si="0"/>
        <v>58280</v>
      </c>
      <c r="M52" s="310">
        <v>31585</v>
      </c>
      <c r="O52" s="60"/>
    </row>
    <row r="53" spans="2:15" x14ac:dyDescent="0.2">
      <c r="B53" s="17">
        <v>35</v>
      </c>
      <c r="C53" s="164" t="str">
        <f>VLOOKUP( $B53, Aop!$A$2:$N$415, 5, 1)</f>
        <v>110 do 119</v>
      </c>
      <c r="D53" s="393" t="str">
        <f>VLOOKUP( $B53, Aop!$A$2:$N$415, 6, 1)</f>
        <v xml:space="preserve">      2. Zalihe nedovršene proizvodnje, poluproizvoda i nedovršenih usluga</v>
      </c>
      <c r="E53" s="394"/>
      <c r="F53" s="394"/>
      <c r="G53" s="394"/>
      <c r="H53" s="395"/>
      <c r="I53" s="165">
        <f>VLOOKUP( $B53, Aop!$A$2:$N$415, 4, 1)</f>
        <v>34</v>
      </c>
      <c r="J53" s="213"/>
      <c r="K53" s="213"/>
      <c r="L53" s="200">
        <f t="shared" si="0"/>
        <v>0</v>
      </c>
      <c r="M53" s="311"/>
      <c r="O53" s="60"/>
    </row>
    <row r="54" spans="2:15" x14ac:dyDescent="0.2">
      <c r="B54" s="17">
        <v>36</v>
      </c>
      <c r="C54" s="166" t="str">
        <f>VLOOKUP( $B54, Aop!$A$2:$N$415, 5, 1)</f>
        <v>120 do 129</v>
      </c>
      <c r="D54" s="390" t="str">
        <f>VLOOKUP( $B54, Aop!$A$2:$N$415, 6, 1)</f>
        <v xml:space="preserve">      3. Zalihe gotovih proizvoda</v>
      </c>
      <c r="E54" s="391"/>
      <c r="F54" s="391"/>
      <c r="G54" s="391"/>
      <c r="H54" s="392"/>
      <c r="I54" s="167">
        <f>VLOOKUP( $B54, Aop!$A$2:$N$415, 4, 1)</f>
        <v>35</v>
      </c>
      <c r="J54" s="211">
        <v>9755</v>
      </c>
      <c r="K54" s="211"/>
      <c r="L54" s="201">
        <f t="shared" si="0"/>
        <v>9755</v>
      </c>
      <c r="M54" s="310">
        <v>37342</v>
      </c>
      <c r="O54" s="60"/>
    </row>
    <row r="55" spans="2:15" x14ac:dyDescent="0.2">
      <c r="B55" s="17">
        <v>37</v>
      </c>
      <c r="C55" s="164" t="str">
        <f>VLOOKUP( $B55, Aop!$A$2:$N$415, 5, 1)</f>
        <v>130 do 139</v>
      </c>
      <c r="D55" s="393" t="str">
        <f>VLOOKUP( $B55, Aop!$A$2:$N$415, 6, 1)</f>
        <v xml:space="preserve">      4. Zalihe robe</v>
      </c>
      <c r="E55" s="394"/>
      <c r="F55" s="394"/>
      <c r="G55" s="394"/>
      <c r="H55" s="395"/>
      <c r="I55" s="165">
        <f>VLOOKUP( $B55, Aop!$A$2:$N$415, 4, 1)</f>
        <v>36</v>
      </c>
      <c r="J55" s="213">
        <v>2740284</v>
      </c>
      <c r="K55" s="213">
        <v>256330</v>
      </c>
      <c r="L55" s="200">
        <f t="shared" si="0"/>
        <v>2483954</v>
      </c>
      <c r="M55" s="311">
        <v>2555815</v>
      </c>
      <c r="O55" s="60"/>
    </row>
    <row r="56" spans="2:15" x14ac:dyDescent="0.2">
      <c r="B56" s="17">
        <v>38</v>
      </c>
      <c r="C56" s="166" t="str">
        <f>VLOOKUP( $B56, Aop!$A$2:$N$415, 5, 1)</f>
        <v>140 do 149</v>
      </c>
      <c r="D56" s="390" t="str">
        <f>VLOOKUP( $B56, Aop!$A$2:$N$415, 6, 1)</f>
        <v xml:space="preserve">      5. Stalna sredstva i sredstva obustavljenog poslovanja namijenjena prodaji</v>
      </c>
      <c r="E56" s="391"/>
      <c r="F56" s="391"/>
      <c r="G56" s="391"/>
      <c r="H56" s="392"/>
      <c r="I56" s="167">
        <f>VLOOKUP( $B56, Aop!$A$2:$N$415, 4, 1)</f>
        <v>37</v>
      </c>
      <c r="J56" s="211"/>
      <c r="K56" s="211"/>
      <c r="L56" s="201">
        <f t="shared" si="0"/>
        <v>0</v>
      </c>
      <c r="M56" s="310"/>
      <c r="O56" s="60"/>
    </row>
    <row r="57" spans="2:15" x14ac:dyDescent="0.2">
      <c r="B57" s="17">
        <v>39</v>
      </c>
      <c r="C57" s="164" t="str">
        <f>VLOOKUP( $B57, Aop!$A$2:$N$415, 5, 1)</f>
        <v>150 do 159</v>
      </c>
      <c r="D57" s="393" t="str">
        <f>VLOOKUP( $B57, Aop!$A$2:$N$415, 6, 1)</f>
        <v xml:space="preserve">      6. Dati avansi</v>
      </c>
      <c r="E57" s="394"/>
      <c r="F57" s="394"/>
      <c r="G57" s="394"/>
      <c r="H57" s="395"/>
      <c r="I57" s="165">
        <f>VLOOKUP( $B57, Aop!$A$2:$N$415, 4, 1)</f>
        <v>38</v>
      </c>
      <c r="J57" s="213">
        <v>41195</v>
      </c>
      <c r="K57" s="213"/>
      <c r="L57" s="200">
        <f t="shared" si="0"/>
        <v>41195</v>
      </c>
      <c r="M57" s="311"/>
      <c r="O57" s="60"/>
    </row>
    <row r="58" spans="2:15" x14ac:dyDescent="0.2">
      <c r="B58" s="17">
        <v>40</v>
      </c>
      <c r="C58" s="234">
        <f>VLOOKUP( $B58, Aop!$A$2:$N$415, 5, 1)</f>
        <v>0</v>
      </c>
      <c r="D58" s="396" t="str">
        <f>VLOOKUP( $B58, Aop!$A$2:$N$415, 6, 1)</f>
        <v xml:space="preserve">    II - KRATKOROČNA POTRAŽIVANJA, KRATKOROČNI PLASMANI I GOTOVINA (040 + 047 + 056 + 059 + 060)</v>
      </c>
      <c r="E58" s="397"/>
      <c r="F58" s="397"/>
      <c r="G58" s="397"/>
      <c r="H58" s="398"/>
      <c r="I58" s="235">
        <f>VLOOKUP( $B58, Aop!$A$2:$N$415, 4, 1)</f>
        <v>39</v>
      </c>
      <c r="J58" s="33">
        <f>SUBTOTAL(9,J59:J79)</f>
        <v>3654053</v>
      </c>
      <c r="K58" s="33">
        <f>SUBTOTAL(9,K59:K79)</f>
        <v>0</v>
      </c>
      <c r="L58" s="33">
        <f t="shared" si="0"/>
        <v>3654053</v>
      </c>
      <c r="M58" s="38">
        <f>SUBTOTAL(9,M59:M79)</f>
        <v>2812310</v>
      </c>
      <c r="O58" s="60"/>
    </row>
    <row r="59" spans="2:15" s="29" customFormat="1" x14ac:dyDescent="0.2">
      <c r="B59" s="17">
        <v>41</v>
      </c>
      <c r="C59" s="164" t="str">
        <f>VLOOKUP( $B59, Aop!$A$2:$N$415, 5, 1)</f>
        <v>20, 21, 22</v>
      </c>
      <c r="D59" s="393" t="str">
        <f>VLOOKUP( $B59, Aop!$A$2:$N$415, 6, 1)</f>
        <v xml:space="preserve">      1. Kratkoročna potraživanja (041 do 046)</v>
      </c>
      <c r="E59" s="394"/>
      <c r="F59" s="394"/>
      <c r="G59" s="394"/>
      <c r="H59" s="395"/>
      <c r="I59" s="165">
        <f>VLOOKUP( $B59, Aop!$A$2:$N$415, 4, 1)</f>
        <v>40</v>
      </c>
      <c r="J59" s="200">
        <f>SUBTOTAL(9,J60:J65)</f>
        <v>3418403</v>
      </c>
      <c r="K59" s="200">
        <f>SUBTOTAL(9,K60:K65)</f>
        <v>0</v>
      </c>
      <c r="L59" s="200">
        <f t="shared" si="0"/>
        <v>3418403</v>
      </c>
      <c r="M59" s="204">
        <f>SUBTOTAL(9,M60:M65)</f>
        <v>2768461</v>
      </c>
      <c r="O59" s="255"/>
    </row>
    <row r="60" spans="2:15" x14ac:dyDescent="0.2">
      <c r="B60" s="17">
        <v>42</v>
      </c>
      <c r="C60" s="166" t="str">
        <f>VLOOKUP( $B60, Aop!$A$2:$N$415, 5, 1)</f>
        <v>200, dio 209</v>
      </c>
      <c r="D60" s="390" t="str">
        <f>VLOOKUP( $B60, Aop!$A$2:$N$415, 6, 1)</f>
        <v xml:space="preserve">        a) Kupci - povezana pravna lica</v>
      </c>
      <c r="E60" s="391"/>
      <c r="F60" s="391"/>
      <c r="G60" s="391"/>
      <c r="H60" s="392"/>
      <c r="I60" s="167">
        <f>VLOOKUP( $B60, Aop!$A$2:$N$415, 4, 1)</f>
        <v>41</v>
      </c>
      <c r="J60" s="211">
        <v>455319</v>
      </c>
      <c r="K60" s="211"/>
      <c r="L60" s="201">
        <f t="shared" si="0"/>
        <v>455319</v>
      </c>
      <c r="M60" s="310">
        <v>582040</v>
      </c>
      <c r="O60" s="60"/>
    </row>
    <row r="61" spans="2:15" x14ac:dyDescent="0.2">
      <c r="B61" s="17">
        <v>43</v>
      </c>
      <c r="C61" s="164" t="str">
        <f>VLOOKUP( $B61, Aop!$A$2:$N$415, 5, 1)</f>
        <v>201, 202, 203, dio 209</v>
      </c>
      <c r="D61" s="393" t="str">
        <f>VLOOKUP( $B61, Aop!$A$2:$N$415, 6, 1)</f>
        <v xml:space="preserve">        b) Kupci u zemlji</v>
      </c>
      <c r="E61" s="394"/>
      <c r="F61" s="394"/>
      <c r="G61" s="394"/>
      <c r="H61" s="395"/>
      <c r="I61" s="165">
        <f>VLOOKUP( $B61, Aop!$A$2:$N$415, 4, 1)</f>
        <v>42</v>
      </c>
      <c r="J61" s="213">
        <v>1603853</v>
      </c>
      <c r="K61" s="213"/>
      <c r="L61" s="200">
        <f t="shared" si="0"/>
        <v>1603853</v>
      </c>
      <c r="M61" s="311">
        <v>1384319</v>
      </c>
      <c r="O61" s="60"/>
    </row>
    <row r="62" spans="2:15" x14ac:dyDescent="0.2">
      <c r="B62" s="17">
        <v>44</v>
      </c>
      <c r="C62" s="166" t="str">
        <f>VLOOKUP( $B62, Aop!$A$2:$N$415, 5, 1)</f>
        <v>204, dio 209</v>
      </c>
      <c r="D62" s="390" t="str">
        <f>VLOOKUP( $B62, Aop!$A$2:$N$415, 6, 1)</f>
        <v xml:space="preserve">        v) Kupci iz inostranstva</v>
      </c>
      <c r="E62" s="391"/>
      <c r="F62" s="391"/>
      <c r="G62" s="391"/>
      <c r="H62" s="392"/>
      <c r="I62" s="167">
        <f>VLOOKUP( $B62, Aop!$A$2:$N$415, 4, 1)</f>
        <v>43</v>
      </c>
      <c r="J62" s="211">
        <v>1310047</v>
      </c>
      <c r="K62" s="211"/>
      <c r="L62" s="201">
        <f t="shared" si="0"/>
        <v>1310047</v>
      </c>
      <c r="M62" s="310">
        <v>796732</v>
      </c>
      <c r="O62" s="60"/>
    </row>
    <row r="63" spans="2:15" x14ac:dyDescent="0.2">
      <c r="B63" s="17">
        <v>45</v>
      </c>
      <c r="C63" s="164" t="str">
        <f>VLOOKUP( $B63, Aop!$A$2:$N$415, 5, 1)</f>
        <v>208, dio 209</v>
      </c>
      <c r="D63" s="393" t="str">
        <f>VLOOKUP( $B63, Aop!$A$2:$N$415, 6, 1)</f>
        <v xml:space="preserve">        g) Sumnjiva i sporna potraživanja</v>
      </c>
      <c r="E63" s="394"/>
      <c r="F63" s="394"/>
      <c r="G63" s="394"/>
      <c r="H63" s="395"/>
      <c r="I63" s="165">
        <f>VLOOKUP( $B63, Aop!$A$2:$N$415, 4, 1)</f>
        <v>44</v>
      </c>
      <c r="J63" s="213"/>
      <c r="K63" s="213"/>
      <c r="L63" s="200">
        <f t="shared" si="0"/>
        <v>0</v>
      </c>
      <c r="M63" s="311"/>
      <c r="O63" s="60"/>
    </row>
    <row r="64" spans="2:15" x14ac:dyDescent="0.2">
      <c r="B64" s="17">
        <v>46</v>
      </c>
      <c r="C64" s="166" t="str">
        <f>VLOOKUP( $B64, Aop!$A$2:$N$415, 5, 1)</f>
        <v>210 do 219</v>
      </c>
      <c r="D64" s="390" t="str">
        <f>VLOOKUP( $B64, Aop!$A$2:$N$415, 6, 1)</f>
        <v xml:space="preserve">        d) Potraživanja iz specifičnih poslova</v>
      </c>
      <c r="E64" s="391"/>
      <c r="F64" s="391"/>
      <c r="G64" s="391"/>
      <c r="H64" s="392"/>
      <c r="I64" s="167">
        <f>VLOOKUP( $B64, Aop!$A$2:$N$415, 4, 1)</f>
        <v>45</v>
      </c>
      <c r="J64" s="211"/>
      <c r="K64" s="211"/>
      <c r="L64" s="201">
        <f t="shared" si="0"/>
        <v>0</v>
      </c>
      <c r="M64" s="310"/>
      <c r="O64" s="60"/>
    </row>
    <row r="65" spans="2:15" x14ac:dyDescent="0.2">
      <c r="B65" s="17">
        <v>47</v>
      </c>
      <c r="C65" s="164" t="str">
        <f>VLOOKUP( $B65, Aop!$A$2:$N$415, 5, 1)</f>
        <v>220 do 229</v>
      </c>
      <c r="D65" s="393" t="str">
        <f>VLOOKUP( $B65, Aop!$A$2:$N$415, 6, 1)</f>
        <v xml:space="preserve">        đ) Druga kratkoročna potraživanja</v>
      </c>
      <c r="E65" s="394"/>
      <c r="F65" s="394"/>
      <c r="G65" s="394"/>
      <c r="H65" s="395"/>
      <c r="I65" s="165">
        <f>VLOOKUP( $B65, Aop!$A$2:$N$415, 4, 1)</f>
        <v>46</v>
      </c>
      <c r="J65" s="213">
        <v>49184</v>
      </c>
      <c r="K65" s="213"/>
      <c r="L65" s="200">
        <f t="shared" si="0"/>
        <v>49184</v>
      </c>
      <c r="M65" s="311">
        <v>5370</v>
      </c>
      <c r="O65" s="60"/>
    </row>
    <row r="66" spans="2:15" x14ac:dyDescent="0.2">
      <c r="B66" s="17">
        <v>48</v>
      </c>
      <c r="C66" s="166">
        <f>VLOOKUP( $B66, Aop!$A$2:$N$415, 5, 1)</f>
        <v>23</v>
      </c>
      <c r="D66" s="390" t="str">
        <f>VLOOKUP( $B66, Aop!$A$2:$N$415, 6, 1)</f>
        <v xml:space="preserve">      2. Kratkoročni finansijski plasmani (048 do 055)</v>
      </c>
      <c r="E66" s="391"/>
      <c r="F66" s="391"/>
      <c r="G66" s="391"/>
      <c r="H66" s="392"/>
      <c r="I66" s="167">
        <f>VLOOKUP( $B66, Aop!$A$2:$N$415, 4, 1)</f>
        <v>47</v>
      </c>
      <c r="J66" s="201">
        <f>SUBTOTAL(9,J67:J74)</f>
        <v>0</v>
      </c>
      <c r="K66" s="201">
        <f>SUBTOTAL(9,K67:K74)</f>
        <v>0</v>
      </c>
      <c r="L66" s="201">
        <f t="shared" si="0"/>
        <v>0</v>
      </c>
      <c r="M66" s="205">
        <f>SUBTOTAL(9,M67:M74)</f>
        <v>0</v>
      </c>
      <c r="O66" s="60"/>
    </row>
    <row r="67" spans="2:15" x14ac:dyDescent="0.2">
      <c r="B67" s="17">
        <v>49</v>
      </c>
      <c r="C67" s="164" t="str">
        <f>VLOOKUP( $B67, Aop!$A$2:$N$415, 5, 1)</f>
        <v>230, dio 239</v>
      </c>
      <c r="D67" s="393" t="str">
        <f>VLOOKUP( $B67, Aop!$A$2:$N$415, 6, 1)</f>
        <v xml:space="preserve">        a) Kratkoročni krediti povezanim pravnim licima</v>
      </c>
      <c r="E67" s="394"/>
      <c r="F67" s="394"/>
      <c r="G67" s="394"/>
      <c r="H67" s="395"/>
      <c r="I67" s="165">
        <f>VLOOKUP( $B67, Aop!$A$2:$N$415, 4, 1)</f>
        <v>48</v>
      </c>
      <c r="J67" s="213"/>
      <c r="K67" s="213"/>
      <c r="L67" s="200">
        <f t="shared" si="0"/>
        <v>0</v>
      </c>
      <c r="M67" s="311"/>
      <c r="O67" s="60"/>
    </row>
    <row r="68" spans="2:15" x14ac:dyDescent="0.2">
      <c r="B68" s="17">
        <v>50</v>
      </c>
      <c r="C68" s="166" t="str">
        <f>VLOOKUP( $B68, Aop!$A$2:$N$415, 5, 1)</f>
        <v>231, dio 239</v>
      </c>
      <c r="D68" s="390" t="str">
        <f>VLOOKUP( $B68, Aop!$A$2:$N$415, 6, 1)</f>
        <v xml:space="preserve">        b) Kratkoročni krediti u zemlji</v>
      </c>
      <c r="E68" s="391"/>
      <c r="F68" s="391"/>
      <c r="G68" s="391"/>
      <c r="H68" s="392"/>
      <c r="I68" s="167">
        <f>VLOOKUP( $B68, Aop!$A$2:$N$415, 4, 1)</f>
        <v>49</v>
      </c>
      <c r="J68" s="211"/>
      <c r="K68" s="211"/>
      <c r="L68" s="201">
        <f t="shared" si="0"/>
        <v>0</v>
      </c>
      <c r="M68" s="310"/>
      <c r="O68" s="60"/>
    </row>
    <row r="69" spans="2:15" x14ac:dyDescent="0.2">
      <c r="B69" s="17">
        <v>51</v>
      </c>
      <c r="C69" s="164" t="str">
        <f>VLOOKUP( $B69, Aop!$A$2:$N$415, 5, 1)</f>
        <v>232, dio 239</v>
      </c>
      <c r="D69" s="393" t="str">
        <f>VLOOKUP( $B69, Aop!$A$2:$N$415, 6, 1)</f>
        <v xml:space="preserve">        v) Kratkoročni krediti u inostranstvu</v>
      </c>
      <c r="E69" s="394"/>
      <c r="F69" s="394"/>
      <c r="G69" s="394"/>
      <c r="H69" s="395"/>
      <c r="I69" s="165">
        <f>VLOOKUP( $B69, Aop!$A$2:$N$415, 4, 1)</f>
        <v>50</v>
      </c>
      <c r="J69" s="213"/>
      <c r="K69" s="213"/>
      <c r="L69" s="200">
        <f t="shared" si="0"/>
        <v>0</v>
      </c>
      <c r="M69" s="311"/>
      <c r="O69" s="60"/>
    </row>
    <row r="70" spans="2:15" x14ac:dyDescent="0.2">
      <c r="B70" s="17">
        <v>52</v>
      </c>
      <c r="C70" s="166" t="str">
        <f>VLOOKUP( $B70, Aop!$A$2:$N$415, 5, 1)</f>
        <v>233, 234, dio 239</v>
      </c>
      <c r="D70" s="390" t="str">
        <f>VLOOKUP( $B70, Aop!$A$2:$N$415, 6, 1)</f>
        <v xml:space="preserve">        g) Dio dugoročnih finansijskih plasmana koji dospijeva za naplatu u periodu do godinu dana</v>
      </c>
      <c r="E70" s="391"/>
      <c r="F70" s="391"/>
      <c r="G70" s="391"/>
      <c r="H70" s="392"/>
      <c r="I70" s="167">
        <f>VLOOKUP( $B70, Aop!$A$2:$N$415, 4, 1)</f>
        <v>51</v>
      </c>
      <c r="J70" s="211"/>
      <c r="K70" s="211"/>
      <c r="L70" s="201">
        <f t="shared" si="0"/>
        <v>0</v>
      </c>
      <c r="M70" s="310"/>
      <c r="O70" s="60"/>
    </row>
    <row r="71" spans="2:15" x14ac:dyDescent="0.2">
      <c r="B71" s="17">
        <v>53</v>
      </c>
      <c r="C71" s="164" t="str">
        <f>VLOOKUP( $B71, Aop!$A$2:$N$415, 5, 1)</f>
        <v>235, dio 239</v>
      </c>
      <c r="D71" s="393" t="str">
        <f>VLOOKUP( $B71, Aop!$A$2:$N$415, 6, 1)</f>
        <v xml:space="preserve">        d) Finansijska sredstva po fer vrijednosti kroz bilans uspjeha namijenjena trgovanju</v>
      </c>
      <c r="E71" s="394"/>
      <c r="F71" s="394"/>
      <c r="G71" s="394"/>
      <c r="H71" s="395"/>
      <c r="I71" s="165">
        <f>VLOOKUP( $B71, Aop!$A$2:$N$415, 4, 1)</f>
        <v>52</v>
      </c>
      <c r="J71" s="213"/>
      <c r="K71" s="213"/>
      <c r="L71" s="200">
        <f t="shared" si="0"/>
        <v>0</v>
      </c>
      <c r="M71" s="311"/>
      <c r="O71" s="60"/>
    </row>
    <row r="72" spans="2:15" x14ac:dyDescent="0.2">
      <c r="B72" s="17">
        <v>54</v>
      </c>
      <c r="C72" s="166" t="str">
        <f>VLOOKUP( $B72, Aop!$A$2:$N$415, 5, 1)</f>
        <v>236, dio 239</v>
      </c>
      <c r="D72" s="390" t="str">
        <f>VLOOKUP( $B72, Aop!$A$2:$N$415, 6, 1)</f>
        <v xml:space="preserve">        đ) Finansijska sredstva označena po fer vrijednosti kroz bilans uspjeha</v>
      </c>
      <c r="E72" s="391"/>
      <c r="F72" s="391"/>
      <c r="G72" s="391"/>
      <c r="H72" s="392"/>
      <c r="I72" s="167">
        <f>VLOOKUP( $B72, Aop!$A$2:$N$415, 4, 1)</f>
        <v>53</v>
      </c>
      <c r="J72" s="211"/>
      <c r="K72" s="211"/>
      <c r="L72" s="201">
        <f t="shared" si="0"/>
        <v>0</v>
      </c>
      <c r="M72" s="310"/>
      <c r="O72" s="60"/>
    </row>
    <row r="73" spans="2:15" x14ac:dyDescent="0.2">
      <c r="B73" s="17">
        <v>55</v>
      </c>
      <c r="C73" s="164">
        <f>VLOOKUP( $B73, Aop!$A$2:$N$415, 5, 1)</f>
        <v>237</v>
      </c>
      <c r="D73" s="393" t="str">
        <f>VLOOKUP( $B73, Aop!$A$2:$N$415, 6, 1)</f>
        <v xml:space="preserve">        e) Otkupljene sopstvene akcije i otkupljeni sopstveni udjeli namijenjeni prodaji ili poništavanju</v>
      </c>
      <c r="E73" s="394"/>
      <c r="F73" s="394"/>
      <c r="G73" s="394"/>
      <c r="H73" s="395"/>
      <c r="I73" s="165">
        <f>VLOOKUP( $B73, Aop!$A$2:$N$415, 4, 1)</f>
        <v>54</v>
      </c>
      <c r="J73" s="213"/>
      <c r="K73" s="213"/>
      <c r="L73" s="200">
        <f t="shared" si="0"/>
        <v>0</v>
      </c>
      <c r="M73" s="311"/>
      <c r="O73" s="60"/>
    </row>
    <row r="74" spans="2:15" x14ac:dyDescent="0.2">
      <c r="B74" s="17">
        <v>56</v>
      </c>
      <c r="C74" s="166" t="str">
        <f>VLOOKUP( $B74, Aop!$A$2:$N$415, 5, 1)</f>
        <v>238, dio 239</v>
      </c>
      <c r="D74" s="390" t="str">
        <f>VLOOKUP( $B74, Aop!$A$2:$N$415, 6, 1)</f>
        <v xml:space="preserve">        ž) Ostali kratkoročni plasmani</v>
      </c>
      <c r="E74" s="391"/>
      <c r="F74" s="391"/>
      <c r="G74" s="391"/>
      <c r="H74" s="392"/>
      <c r="I74" s="167">
        <f>VLOOKUP( $B74, Aop!$A$2:$N$415, 4, 1)</f>
        <v>55</v>
      </c>
      <c r="J74" s="211"/>
      <c r="K74" s="211"/>
      <c r="L74" s="201">
        <f t="shared" si="0"/>
        <v>0</v>
      </c>
      <c r="M74" s="310"/>
      <c r="O74" s="60"/>
    </row>
    <row r="75" spans="2:15" x14ac:dyDescent="0.2">
      <c r="B75" s="17">
        <v>57</v>
      </c>
      <c r="C75" s="164">
        <f>VLOOKUP( $B75, Aop!$A$2:$N$415, 5, 1)</f>
        <v>24</v>
      </c>
      <c r="D75" s="393" t="str">
        <f>VLOOKUP( $B75, Aop!$A$2:$N$415, 6, 1)</f>
        <v xml:space="preserve">      3. Gotovinski ekvivalenti i gotovina (057 + 058)</v>
      </c>
      <c r="E75" s="394"/>
      <c r="F75" s="394"/>
      <c r="G75" s="394"/>
      <c r="H75" s="395"/>
      <c r="I75" s="165">
        <f>VLOOKUP( $B75, Aop!$A$2:$N$415, 4, 1)</f>
        <v>56</v>
      </c>
      <c r="J75" s="200">
        <f>SUBTOTAL(9,J76:J77)</f>
        <v>228552</v>
      </c>
      <c r="K75" s="200">
        <f>SUBTOTAL(9,K76:K77)</f>
        <v>0</v>
      </c>
      <c r="L75" s="200">
        <f t="shared" si="0"/>
        <v>228552</v>
      </c>
      <c r="M75" s="204">
        <f>SUBTOTAL(9,M76:M77)</f>
        <v>26133</v>
      </c>
      <c r="O75" s="60"/>
    </row>
    <row r="76" spans="2:15" x14ac:dyDescent="0.2">
      <c r="B76" s="17">
        <v>58</v>
      </c>
      <c r="C76" s="166">
        <f>VLOOKUP( $B76, Aop!$A$2:$N$415, 5, 1)</f>
        <v>240</v>
      </c>
      <c r="D76" s="390" t="str">
        <f>VLOOKUP( $B76, Aop!$A$2:$N$415, 6, 1)</f>
        <v xml:space="preserve">        a) Gotovinski ekvivalenti - hartije od vrijednosti</v>
      </c>
      <c r="E76" s="391"/>
      <c r="F76" s="391"/>
      <c r="G76" s="391"/>
      <c r="H76" s="392"/>
      <c r="I76" s="167">
        <f>VLOOKUP( $B76, Aop!$A$2:$N$415, 4, 1)</f>
        <v>57</v>
      </c>
      <c r="J76" s="211"/>
      <c r="K76" s="211"/>
      <c r="L76" s="201">
        <f t="shared" si="0"/>
        <v>0</v>
      </c>
      <c r="M76" s="310"/>
      <c r="O76" s="60"/>
    </row>
    <row r="77" spans="2:15" x14ac:dyDescent="0.2">
      <c r="B77" s="17">
        <v>59</v>
      </c>
      <c r="C77" s="164" t="str">
        <f>VLOOKUP( $B77, Aop!$A$2:$N$415, 5, 1)</f>
        <v>241 do 249</v>
      </c>
      <c r="D77" s="393" t="str">
        <f>VLOOKUP( $B77, Aop!$A$2:$N$415, 6, 1)</f>
        <v xml:space="preserve">        b) Gotovina</v>
      </c>
      <c r="E77" s="394"/>
      <c r="F77" s="394"/>
      <c r="G77" s="394"/>
      <c r="H77" s="395"/>
      <c r="I77" s="165">
        <f>VLOOKUP( $B77, Aop!$A$2:$N$415, 4, 1)</f>
        <v>58</v>
      </c>
      <c r="J77" s="213">
        <v>228552</v>
      </c>
      <c r="K77" s="213"/>
      <c r="L77" s="200">
        <f t="shared" si="0"/>
        <v>228552</v>
      </c>
      <c r="M77" s="311">
        <v>26133</v>
      </c>
      <c r="O77" s="60"/>
    </row>
    <row r="78" spans="2:15" x14ac:dyDescent="0.2">
      <c r="B78" s="17">
        <v>60</v>
      </c>
      <c r="C78" s="166" t="str">
        <f>VLOOKUP( $B78, Aop!$A$2:$N$415, 5, 1)</f>
        <v>270 do 279</v>
      </c>
      <c r="D78" s="390" t="str">
        <f>VLOOKUP( $B78, Aop!$A$2:$N$415, 6, 1)</f>
        <v xml:space="preserve">      4. Porez na dodatu vrijednost</v>
      </c>
      <c r="E78" s="391"/>
      <c r="F78" s="391"/>
      <c r="G78" s="391"/>
      <c r="H78" s="392"/>
      <c r="I78" s="167">
        <f>VLOOKUP( $B78, Aop!$A$2:$N$415, 4, 1)</f>
        <v>59</v>
      </c>
      <c r="J78" s="211">
        <v>281</v>
      </c>
      <c r="K78" s="211"/>
      <c r="L78" s="201">
        <f t="shared" si="0"/>
        <v>281</v>
      </c>
      <c r="M78" s="310">
        <v>153</v>
      </c>
      <c r="O78" s="60"/>
    </row>
    <row r="79" spans="2:15" x14ac:dyDescent="0.2">
      <c r="B79" s="17">
        <v>61</v>
      </c>
      <c r="C79" s="164" t="str">
        <f>VLOOKUP( $B79, Aop!$A$2:$N$415, 5, 1)</f>
        <v>280 do 289, osim 288</v>
      </c>
      <c r="D79" s="393" t="str">
        <f>VLOOKUP( $B79, Aop!$A$2:$N$415, 6, 1)</f>
        <v xml:space="preserve">      5. Aktivna vremenska razgraničenja</v>
      </c>
      <c r="E79" s="394"/>
      <c r="F79" s="394"/>
      <c r="G79" s="394"/>
      <c r="H79" s="395"/>
      <c r="I79" s="165">
        <f>VLOOKUP( $B79, Aop!$A$2:$N$415, 4, 1)</f>
        <v>60</v>
      </c>
      <c r="J79" s="213">
        <v>6817</v>
      </c>
      <c r="K79" s="213"/>
      <c r="L79" s="200">
        <f t="shared" si="0"/>
        <v>6817</v>
      </c>
      <c r="M79" s="311">
        <v>17563</v>
      </c>
      <c r="O79" s="60"/>
    </row>
    <row r="80" spans="2:15" x14ac:dyDescent="0.2">
      <c r="B80" s="17">
        <v>62</v>
      </c>
      <c r="C80" s="234">
        <f>VLOOKUP( $B80, Aop!$A$2:$N$415, 5, 1)</f>
        <v>288</v>
      </c>
      <c r="D80" s="396" t="str">
        <f>VLOOKUP( $B80, Aop!$A$2:$N$415, 6, 1)</f>
        <v xml:space="preserve">    III - ODLOŽENA PORESKA SREDSTVA</v>
      </c>
      <c r="E80" s="397"/>
      <c r="F80" s="397"/>
      <c r="G80" s="397"/>
      <c r="H80" s="398"/>
      <c r="I80" s="235">
        <f>VLOOKUP( $B80, Aop!$A$2:$N$415, 4, 1)</f>
        <v>61</v>
      </c>
      <c r="J80" s="314"/>
      <c r="K80" s="120"/>
      <c r="L80" s="33">
        <f t="shared" si="0"/>
        <v>0</v>
      </c>
      <c r="M80" s="315"/>
      <c r="O80" s="60"/>
    </row>
    <row r="81" spans="2:15" x14ac:dyDescent="0.2">
      <c r="B81" s="17">
        <v>63</v>
      </c>
      <c r="C81" s="232">
        <f>VLOOKUP( $B81, Aop!$A$2:$N$415, 5, 1)</f>
        <v>0</v>
      </c>
      <c r="D81" s="399" t="str">
        <f>VLOOKUP( $B81, Aop!$A$2:$N$415, 6, 1)</f>
        <v xml:space="preserve">  V. POSLOVNA SREDSTVA (001 + 031)</v>
      </c>
      <c r="E81" s="400"/>
      <c r="F81" s="400"/>
      <c r="G81" s="400"/>
      <c r="H81" s="401"/>
      <c r="I81" s="233">
        <f>VLOOKUP( $B81, Aop!$A$2:$N$415, 4, 1)</f>
        <v>62</v>
      </c>
      <c r="J81" s="35">
        <f>SUBTOTAL( 9, J20:J80)</f>
        <v>13102408</v>
      </c>
      <c r="K81" s="35">
        <f>SUBTOTAL( 9, K20:K80)</f>
        <v>3214526</v>
      </c>
      <c r="L81" s="35">
        <f t="shared" si="0"/>
        <v>9887882</v>
      </c>
      <c r="M81" s="37">
        <f>SUBTOTAL( 9, M20:M80)</f>
        <v>9074711</v>
      </c>
      <c r="O81" s="60"/>
    </row>
    <row r="82" spans="2:15" x14ac:dyDescent="0.2">
      <c r="B82" s="17">
        <v>64</v>
      </c>
      <c r="C82" s="234">
        <f>VLOOKUP( $B82, Aop!$A$2:$N$415, 5, 1)</f>
        <v>29</v>
      </c>
      <c r="D82" s="396" t="str">
        <f>VLOOKUP( $B82, Aop!$A$2:$N$415, 6, 1)</f>
        <v xml:space="preserve">  G. GUBITAK IZNAD VISINE KAPITALA</v>
      </c>
      <c r="E82" s="397"/>
      <c r="F82" s="397"/>
      <c r="G82" s="397"/>
      <c r="H82" s="398"/>
      <c r="I82" s="235">
        <f>VLOOKUP( $B82, Aop!$A$2:$N$415, 4, 1)</f>
        <v>63</v>
      </c>
      <c r="J82" s="120"/>
      <c r="K82" s="120"/>
      <c r="L82" s="33">
        <f t="shared" si="0"/>
        <v>0</v>
      </c>
      <c r="M82" s="316"/>
      <c r="O82" s="60"/>
    </row>
    <row r="83" spans="2:15" x14ac:dyDescent="0.2">
      <c r="B83" s="17">
        <v>65</v>
      </c>
      <c r="C83" s="232">
        <f>VLOOKUP( $B83, Aop!$A$2:$N$415, 5, 1)</f>
        <v>0</v>
      </c>
      <c r="D83" s="399" t="str">
        <f>VLOOKUP( $B83, Aop!$A$2:$N$415, 6, 1)</f>
        <v xml:space="preserve">  D. POSLOVNA AKTIVA (062 + 063)</v>
      </c>
      <c r="E83" s="400"/>
      <c r="F83" s="400"/>
      <c r="G83" s="400"/>
      <c r="H83" s="401"/>
      <c r="I83" s="233">
        <f>VLOOKUP( $B83, Aop!$A$2:$N$415, 4, 1)</f>
        <v>64</v>
      </c>
      <c r="J83" s="35">
        <f>SUBTOTAL( 9, J20:J82)</f>
        <v>13102408</v>
      </c>
      <c r="K83" s="35">
        <f>SUBTOTAL( 9, K20:K82)</f>
        <v>3214526</v>
      </c>
      <c r="L83" s="35">
        <f t="shared" si="0"/>
        <v>9887882</v>
      </c>
      <c r="M83" s="37">
        <f>SUBTOTAL( 9, M20:M82)</f>
        <v>9074711</v>
      </c>
      <c r="O83" s="60"/>
    </row>
    <row r="84" spans="2:15" x14ac:dyDescent="0.2">
      <c r="B84" s="17">
        <v>66</v>
      </c>
      <c r="C84" s="236" t="str">
        <f>VLOOKUP( $B84, Aop!$A$2:$N$415, 5, 1)</f>
        <v>880 do 888</v>
      </c>
      <c r="D84" s="396" t="str">
        <f>VLOOKUP( $B84, Aop!$A$2:$N$415, 6, 1)</f>
        <v xml:space="preserve">  Đ. VANBILANSNA AKTIVA</v>
      </c>
      <c r="E84" s="397"/>
      <c r="F84" s="397"/>
      <c r="G84" s="397"/>
      <c r="H84" s="398"/>
      <c r="I84" s="237">
        <f>VLOOKUP( $B84, Aop!$A$2:$N$415, 4, 1)</f>
        <v>65</v>
      </c>
      <c r="J84" s="317"/>
      <c r="K84" s="317"/>
      <c r="L84" s="226">
        <f t="shared" si="0"/>
        <v>0</v>
      </c>
      <c r="M84" s="318"/>
      <c r="O84" s="60"/>
    </row>
    <row r="85" spans="2:15" x14ac:dyDescent="0.2">
      <c r="B85" s="17">
        <v>67</v>
      </c>
      <c r="C85" s="238">
        <f>VLOOKUP( $B85, Aop!$A$2:$N$415, 5, 1)</f>
        <v>0</v>
      </c>
      <c r="D85" s="408" t="str">
        <f>VLOOKUP( $B85, Aop!$A$2:$N$415, 6, 1)</f>
        <v xml:space="preserve">  E. UKUPNA AKTIVA (064 + 065)</v>
      </c>
      <c r="E85" s="409"/>
      <c r="F85" s="409"/>
      <c r="G85" s="409"/>
      <c r="H85" s="410"/>
      <c r="I85" s="239">
        <f>VLOOKUP( $B85, Aop!$A$2:$N$415, 4, 1)</f>
        <v>66</v>
      </c>
      <c r="J85" s="39">
        <f>SUBTOTAL( 9, J20:J84)</f>
        <v>13102408</v>
      </c>
      <c r="K85" s="39">
        <f>SUBTOTAL( 9, K20:K84)</f>
        <v>3214526</v>
      </c>
      <c r="L85" s="39">
        <f>SUM(J85,-K85)</f>
        <v>9887882</v>
      </c>
      <c r="M85" s="40">
        <f>SUBTOTAL( 9, M20:M84)</f>
        <v>9074711</v>
      </c>
      <c r="O85" s="60"/>
    </row>
    <row r="86" spans="2:15" x14ac:dyDescent="0.2">
      <c r="B86" s="17"/>
      <c r="C86" s="168"/>
      <c r="D86" s="168"/>
      <c r="E86" s="168"/>
      <c r="F86" s="168"/>
      <c r="G86" s="168"/>
      <c r="H86" s="168"/>
      <c r="I86" s="168"/>
      <c r="J86" s="168"/>
      <c r="K86" s="168"/>
      <c r="L86" s="169"/>
      <c r="M86" s="168"/>
      <c r="O86" s="60"/>
    </row>
    <row r="87" spans="2:15" x14ac:dyDescent="0.2">
      <c r="B87" s="17"/>
      <c r="C87" s="404" t="str">
        <f>Tabele_zaglavlje_Grupa_racuna</f>
        <v>Grupa računa, račun</v>
      </c>
      <c r="D87" s="418" t="str">
        <f>Tabele_zaglavlje_Pozicija</f>
        <v>POZICIJA</v>
      </c>
      <c r="E87" s="419"/>
      <c r="F87" s="419"/>
      <c r="G87" s="419"/>
      <c r="H87" s="420"/>
      <c r="I87" s="406" t="str">
        <f>Tabele_zaglavlje_Oznaka_aop</f>
        <v>Oznaka za AOP</v>
      </c>
      <c r="J87" s="424"/>
      <c r="K87" s="425"/>
      <c r="L87" s="428" t="str">
        <f>Tabele_zaglavlje_BS_iznos_tekuca</f>
        <v>Iznos na dan bilansa tekuće godine</v>
      </c>
      <c r="M87" s="416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5"/>
      <c r="D88" s="421"/>
      <c r="E88" s="422"/>
      <c r="F88" s="422"/>
      <c r="G88" s="422"/>
      <c r="H88" s="423"/>
      <c r="I88" s="407"/>
      <c r="J88" s="426"/>
      <c r="K88" s="427"/>
      <c r="L88" s="407"/>
      <c r="M88" s="417"/>
      <c r="O88" s="60"/>
    </row>
    <row r="89" spans="2:15" x14ac:dyDescent="0.2">
      <c r="B89" s="17"/>
      <c r="C89" s="48">
        <v>1</v>
      </c>
      <c r="D89" s="402">
        <v>2</v>
      </c>
      <c r="E89" s="429"/>
      <c r="F89" s="429"/>
      <c r="G89" s="429"/>
      <c r="H89" s="403"/>
      <c r="I89" s="299">
        <v>3</v>
      </c>
      <c r="J89" s="402"/>
      <c r="K89" s="403"/>
      <c r="L89" s="159">
        <v>4</v>
      </c>
      <c r="M89" s="49">
        <v>5</v>
      </c>
      <c r="O89" s="60"/>
    </row>
    <row r="90" spans="2:15" x14ac:dyDescent="0.2">
      <c r="B90" s="17">
        <v>68</v>
      </c>
      <c r="C90" s="229">
        <f>VLOOKUP( $B90, Aop!$A$2:$N$415, 5, 1)</f>
        <v>0</v>
      </c>
      <c r="D90" s="411" t="str">
        <f>VLOOKUP( $B90, Aop!$A$2:$N$415, 6, 1)</f>
        <v>PASIVA</v>
      </c>
      <c r="E90" s="411"/>
      <c r="F90" s="411"/>
      <c r="G90" s="411"/>
      <c r="H90" s="412"/>
      <c r="I90" s="242"/>
      <c r="J90" s="243"/>
      <c r="K90" s="244"/>
      <c r="L90" s="245"/>
      <c r="M90" s="246"/>
      <c r="O90" s="60"/>
    </row>
    <row r="91" spans="2:15" x14ac:dyDescent="0.2">
      <c r="B91" s="17">
        <v>69</v>
      </c>
      <c r="C91" s="234">
        <f>VLOOKUP( $B91, Aop!$A$2:$N$415, 5, 1)</f>
        <v>0</v>
      </c>
      <c r="D91" s="413" t="str">
        <f>VLOOKUP( $B91, Aop!$A$2:$N$415, 6, 1)</f>
        <v xml:space="preserve">  A. KAPITAL (102 - 109 + 110 - 111 + 112 + 116 + 117 - 118 + 119 - 123)</v>
      </c>
      <c r="E91" s="414"/>
      <c r="F91" s="414"/>
      <c r="G91" s="414"/>
      <c r="H91" s="415"/>
      <c r="I91" s="235">
        <f>VLOOKUP( $B91, Aop!$A$2:$N$415, 4, 1)</f>
        <v>101</v>
      </c>
      <c r="J91" s="41"/>
      <c r="K91" s="42"/>
      <c r="L91" s="306">
        <f>SUBTOTAL( 9, L92:L98, L100, L102:L107, L109:L112) - SUBTOTAL( 9, L99, L101, L108, L113:L115)</f>
        <v>3727884</v>
      </c>
      <c r="M91" s="307">
        <f>SUBTOTAL( 9, M92:M98, M100, M102:M107, M109:M112) - SUBTOTAL( 9, M99, M101, M108, M113:M115)</f>
        <v>3288914</v>
      </c>
      <c r="O91" s="60"/>
    </row>
    <row r="92" spans="2:15" x14ac:dyDescent="0.2">
      <c r="B92" s="17">
        <v>70</v>
      </c>
      <c r="C92" s="232">
        <f>VLOOKUP( $B92, Aop!$A$2:$N$415, 5, 1)</f>
        <v>30</v>
      </c>
      <c r="D92" s="399" t="str">
        <f>VLOOKUP( $B92, Aop!$A$2:$N$415, 6, 1)</f>
        <v xml:space="preserve">    I - OSNOVNI KAPITAL (103 do 108)</v>
      </c>
      <c r="E92" s="400"/>
      <c r="F92" s="400"/>
      <c r="G92" s="400"/>
      <c r="H92" s="401"/>
      <c r="I92" s="233">
        <f>VLOOKUP( $B92, Aop!$A$2:$N$415, 4, 1)</f>
        <v>102</v>
      </c>
      <c r="J92" s="43"/>
      <c r="K92" s="44"/>
      <c r="L92" s="70">
        <f>SUBTOTAL( 9, L93:L98)</f>
        <v>2833016</v>
      </c>
      <c r="M92" s="71">
        <f>SUBTOTAL( 9, M93:M98)</f>
        <v>2833016</v>
      </c>
      <c r="O92" s="60"/>
    </row>
    <row r="93" spans="2:15" x14ac:dyDescent="0.2">
      <c r="B93" s="17">
        <v>71</v>
      </c>
      <c r="C93" s="166">
        <f>VLOOKUP( $B93, Aop!$A$2:$N$415, 5, 1)</f>
        <v>300</v>
      </c>
      <c r="D93" s="390" t="str">
        <f>VLOOKUP( $B93, Aop!$A$2:$N$415, 6, 1)</f>
        <v xml:space="preserve">      1. Akcijski kapital</v>
      </c>
      <c r="E93" s="391"/>
      <c r="F93" s="391"/>
      <c r="G93" s="391"/>
      <c r="H93" s="392"/>
      <c r="I93" s="167">
        <f>VLOOKUP( $B93, Aop!$A$2:$N$415, 4, 1)</f>
        <v>103</v>
      </c>
      <c r="J93" s="251"/>
      <c r="K93" s="252"/>
      <c r="L93" s="319">
        <v>2833016</v>
      </c>
      <c r="M93" s="320">
        <v>2833016</v>
      </c>
      <c r="O93" s="60"/>
    </row>
    <row r="94" spans="2:15" x14ac:dyDescent="0.2">
      <c r="B94" s="17">
        <v>72</v>
      </c>
      <c r="C94" s="164">
        <f>VLOOKUP( $B94, Aop!$A$2:$N$415, 5, 1)</f>
        <v>302</v>
      </c>
      <c r="D94" s="393" t="str">
        <f>VLOOKUP( $B94, Aop!$A$2:$N$415, 6, 1)</f>
        <v xml:space="preserve">      2. Udjeli društva sa ograničenom odgovornošću</v>
      </c>
      <c r="E94" s="394"/>
      <c r="F94" s="394"/>
      <c r="G94" s="394"/>
      <c r="H94" s="395"/>
      <c r="I94" s="165">
        <f>VLOOKUP( $B94, Aop!$A$2:$N$415, 4, 1)</f>
        <v>104</v>
      </c>
      <c r="J94" s="249"/>
      <c r="K94" s="250"/>
      <c r="L94" s="321"/>
      <c r="M94" s="322"/>
      <c r="O94" s="60"/>
    </row>
    <row r="95" spans="2:15" x14ac:dyDescent="0.2">
      <c r="B95" s="17">
        <v>73</v>
      </c>
      <c r="C95" s="166">
        <f>VLOOKUP( $B95, Aop!$A$2:$N$415, 5, 1)</f>
        <v>303</v>
      </c>
      <c r="D95" s="390" t="str">
        <f>VLOOKUP( $B95, Aop!$A$2:$N$415, 6, 1)</f>
        <v xml:space="preserve">      3. Zadružni udjeli</v>
      </c>
      <c r="E95" s="391"/>
      <c r="F95" s="391"/>
      <c r="G95" s="391"/>
      <c r="H95" s="392"/>
      <c r="I95" s="167">
        <f>VLOOKUP( $B95, Aop!$A$2:$N$415, 4, 1)</f>
        <v>105</v>
      </c>
      <c r="J95" s="251"/>
      <c r="K95" s="252"/>
      <c r="L95" s="319"/>
      <c r="M95" s="320"/>
      <c r="O95" s="60"/>
    </row>
    <row r="96" spans="2:15" x14ac:dyDescent="0.2">
      <c r="B96" s="17">
        <v>74</v>
      </c>
      <c r="C96" s="164">
        <f>VLOOKUP( $B96, Aop!$A$2:$N$415, 5, 1)</f>
        <v>304</v>
      </c>
      <c r="D96" s="393" t="str">
        <f>VLOOKUP( $B96, Aop!$A$2:$N$415, 6, 1)</f>
        <v xml:space="preserve">      4. Ulozi</v>
      </c>
      <c r="E96" s="394"/>
      <c r="F96" s="394"/>
      <c r="G96" s="394"/>
      <c r="H96" s="395"/>
      <c r="I96" s="165">
        <f>VLOOKUP( $B96, Aop!$A$2:$N$415, 4, 1)</f>
        <v>106</v>
      </c>
      <c r="J96" s="249"/>
      <c r="K96" s="250"/>
      <c r="L96" s="321"/>
      <c r="M96" s="322"/>
      <c r="O96" s="60"/>
    </row>
    <row r="97" spans="2:15" x14ac:dyDescent="0.2">
      <c r="B97" s="17">
        <v>75</v>
      </c>
      <c r="C97" s="166">
        <f>VLOOKUP( $B97, Aop!$A$2:$N$415, 5, 1)</f>
        <v>305</v>
      </c>
      <c r="D97" s="390" t="str">
        <f>VLOOKUP( $B97, Aop!$A$2:$N$415, 6, 1)</f>
        <v xml:space="preserve">      5. Državni kapital</v>
      </c>
      <c r="E97" s="391"/>
      <c r="F97" s="391"/>
      <c r="G97" s="391"/>
      <c r="H97" s="392"/>
      <c r="I97" s="167">
        <f>VLOOKUP( $B97, Aop!$A$2:$N$415, 4, 1)</f>
        <v>107</v>
      </c>
      <c r="J97" s="251"/>
      <c r="K97" s="252"/>
      <c r="L97" s="319"/>
      <c r="M97" s="320"/>
      <c r="O97" s="60"/>
    </row>
    <row r="98" spans="2:15" x14ac:dyDescent="0.2">
      <c r="B98" s="17">
        <v>76</v>
      </c>
      <c r="C98" s="164" t="str">
        <f>VLOOKUP( $B98, Aop!$A$2:$N$415, 5, 1)</f>
        <v>309</v>
      </c>
      <c r="D98" s="393" t="str">
        <f>VLOOKUP( $B98, Aop!$A$2:$N$415, 6, 1)</f>
        <v xml:space="preserve">      6. Ostali osnovni kapital</v>
      </c>
      <c r="E98" s="394"/>
      <c r="F98" s="394"/>
      <c r="G98" s="394"/>
      <c r="H98" s="395"/>
      <c r="I98" s="165">
        <f>VLOOKUP( $B98, Aop!$A$2:$N$415, 4, 1)</f>
        <v>108</v>
      </c>
      <c r="J98" s="249"/>
      <c r="K98" s="250"/>
      <c r="L98" s="321"/>
      <c r="M98" s="322"/>
      <c r="O98" s="60"/>
    </row>
    <row r="99" spans="2:15" x14ac:dyDescent="0.2">
      <c r="B99" s="17">
        <v>77</v>
      </c>
      <c r="C99" s="234">
        <f>VLOOKUP( $B99, Aop!$A$2:$N$415, 5, 1)</f>
        <v>31</v>
      </c>
      <c r="D99" s="396" t="str">
        <f>VLOOKUP( $B99, Aop!$A$2:$N$415, 6, 1)</f>
        <v xml:space="preserve">    II - UPISANI NEUPLAĆENI KAPITAL</v>
      </c>
      <c r="E99" s="397"/>
      <c r="F99" s="397"/>
      <c r="G99" s="397"/>
      <c r="H99" s="398"/>
      <c r="I99" s="235">
        <f>VLOOKUP( $B99, Aop!$A$2:$N$415, 4, 1)</f>
        <v>109</v>
      </c>
      <c r="J99" s="45"/>
      <c r="K99" s="46"/>
      <c r="L99" s="323"/>
      <c r="M99" s="324"/>
      <c r="O99" s="60"/>
    </row>
    <row r="100" spans="2:15" x14ac:dyDescent="0.2">
      <c r="B100" s="17">
        <v>78</v>
      </c>
      <c r="C100" s="232">
        <f>VLOOKUP( $B100, Aop!$A$2:$N$415, 5, 1)</f>
        <v>320</v>
      </c>
      <c r="D100" s="399" t="str">
        <f>VLOOKUP( $B100, Aop!$A$2:$N$415, 6, 1)</f>
        <v xml:space="preserve">    III - EMISIONA PREMIJA </v>
      </c>
      <c r="E100" s="400"/>
      <c r="F100" s="400"/>
      <c r="G100" s="400"/>
      <c r="H100" s="401"/>
      <c r="I100" s="233">
        <f>VLOOKUP( $B100, Aop!$A$2:$N$415, 4, 1)</f>
        <v>110</v>
      </c>
      <c r="J100" s="43"/>
      <c r="K100" s="44"/>
      <c r="L100" s="325"/>
      <c r="M100" s="326"/>
      <c r="O100" s="60"/>
    </row>
    <row r="101" spans="2:15" x14ac:dyDescent="0.2">
      <c r="B101" s="17">
        <v>79</v>
      </c>
      <c r="C101" s="234">
        <f>VLOOKUP( $B101, Aop!$A$2:$N$415, 5, 1)</f>
        <v>321</v>
      </c>
      <c r="D101" s="396" t="str">
        <f>VLOOKUP( $B101, Aop!$A$2:$N$415, 6, 1)</f>
        <v xml:space="preserve">    IV - EMISIONI GUBITAK</v>
      </c>
      <c r="E101" s="397"/>
      <c r="F101" s="397"/>
      <c r="G101" s="397"/>
      <c r="H101" s="398"/>
      <c r="I101" s="235">
        <f>VLOOKUP( $B101, Aop!$A$2:$N$415, 4, 1)</f>
        <v>111</v>
      </c>
      <c r="J101" s="45"/>
      <c r="K101" s="46"/>
      <c r="L101" s="323"/>
      <c r="M101" s="324"/>
      <c r="O101" s="60"/>
    </row>
    <row r="102" spans="2:15" x14ac:dyDescent="0.2">
      <c r="B102" s="17">
        <v>80</v>
      </c>
      <c r="C102" s="232" t="str">
        <f>VLOOKUP( $B102, Aop!$A$2:$N$415, 5, 1)</f>
        <v>dio 32</v>
      </c>
      <c r="D102" s="399" t="str">
        <f>VLOOKUP( $B102, Aop!$A$2:$N$415, 6, 1)</f>
        <v xml:space="preserve">    V - REZERVE (113 do 115)</v>
      </c>
      <c r="E102" s="400"/>
      <c r="F102" s="400"/>
      <c r="G102" s="400"/>
      <c r="H102" s="401"/>
      <c r="I102" s="233">
        <f>VLOOKUP( $B102, Aop!$A$2:$N$415, 4, 1)</f>
        <v>112</v>
      </c>
      <c r="J102" s="43"/>
      <c r="K102" s="44"/>
      <c r="L102" s="70">
        <f>SUBTOTAL( 9, L103:L105)</f>
        <v>283302</v>
      </c>
      <c r="M102" s="71">
        <f>SUBTOTAL( 9, M103:M105)</f>
        <v>283302</v>
      </c>
      <c r="O102" s="60"/>
    </row>
    <row r="103" spans="2:15" x14ac:dyDescent="0.2">
      <c r="B103" s="17">
        <v>81</v>
      </c>
      <c r="C103" s="166">
        <f>VLOOKUP( $B103, Aop!$A$2:$N$415, 5, 1)</f>
        <v>322</v>
      </c>
      <c r="D103" s="390" t="str">
        <f>VLOOKUP( $B103, Aop!$A$2:$N$415, 6, 1)</f>
        <v xml:space="preserve">      1. Zakonske rezerve</v>
      </c>
      <c r="E103" s="391"/>
      <c r="F103" s="391"/>
      <c r="G103" s="391"/>
      <c r="H103" s="392"/>
      <c r="I103" s="167">
        <f>VLOOKUP( $B103, Aop!$A$2:$N$415, 4, 1)</f>
        <v>113</v>
      </c>
      <c r="J103" s="251"/>
      <c r="K103" s="252"/>
      <c r="L103" s="319">
        <v>283302</v>
      </c>
      <c r="M103" s="320">
        <v>283302</v>
      </c>
      <c r="O103" s="60"/>
    </row>
    <row r="104" spans="2:15" x14ac:dyDescent="0.2">
      <c r="B104" s="17">
        <v>82</v>
      </c>
      <c r="C104" s="164">
        <f>VLOOKUP( $B104, Aop!$A$2:$N$415, 5, 1)</f>
        <v>323</v>
      </c>
      <c r="D104" s="393" t="str">
        <f>VLOOKUP( $B104, Aop!$A$2:$N$415, 6, 1)</f>
        <v xml:space="preserve">      2. Statutarne rezerve</v>
      </c>
      <c r="E104" s="394"/>
      <c r="F104" s="394"/>
      <c r="G104" s="394"/>
      <c r="H104" s="395"/>
      <c r="I104" s="165">
        <f>VLOOKUP( $B104, Aop!$A$2:$N$415, 4, 1)</f>
        <v>114</v>
      </c>
      <c r="J104" s="249"/>
      <c r="K104" s="250"/>
      <c r="L104" s="321"/>
      <c r="M104" s="322"/>
      <c r="O104" s="60"/>
    </row>
    <row r="105" spans="2:15" x14ac:dyDescent="0.2">
      <c r="B105" s="17">
        <v>83</v>
      </c>
      <c r="C105" s="166">
        <f>VLOOKUP( $B105, Aop!$A$2:$N$415, 5, 1)</f>
        <v>329</v>
      </c>
      <c r="D105" s="390" t="str">
        <f>VLOOKUP( $B105, Aop!$A$2:$N$415, 6, 1)</f>
        <v xml:space="preserve">      3. Ostale rezerve</v>
      </c>
      <c r="E105" s="391"/>
      <c r="F105" s="391"/>
      <c r="G105" s="391"/>
      <c r="H105" s="392"/>
      <c r="I105" s="167">
        <f>VLOOKUP( $B105, Aop!$A$2:$N$415, 4, 1)</f>
        <v>115</v>
      </c>
      <c r="J105" s="251"/>
      <c r="K105" s="252"/>
      <c r="L105" s="319"/>
      <c r="M105" s="320"/>
      <c r="O105" s="60"/>
    </row>
    <row r="106" spans="2:15" x14ac:dyDescent="0.2">
      <c r="B106" s="17">
        <v>84</v>
      </c>
      <c r="C106" s="232" t="str">
        <f>VLOOKUP( $B106, Aop!$A$2:$N$415, 5, 1)</f>
        <v>330, 331, 334</v>
      </c>
      <c r="D106" s="399" t="str">
        <f>VLOOKUP( $B106, Aop!$A$2:$N$415, 6, 1)</f>
        <v xml:space="preserve">    VI - REVALORIZACIONE REZERVE</v>
      </c>
      <c r="E106" s="400"/>
      <c r="F106" s="400"/>
      <c r="G106" s="400"/>
      <c r="H106" s="401"/>
      <c r="I106" s="233">
        <f>VLOOKUP( $B106, Aop!$A$2:$N$415, 4, 1)</f>
        <v>116</v>
      </c>
      <c r="J106" s="43"/>
      <c r="K106" s="44"/>
      <c r="L106" s="325"/>
      <c r="M106" s="326"/>
      <c r="O106" s="60"/>
    </row>
    <row r="107" spans="2:15" x14ac:dyDescent="0.2">
      <c r="B107" s="17">
        <v>85</v>
      </c>
      <c r="C107" s="234">
        <f>VLOOKUP( $B107, Aop!$A$2:$N$415, 5, 1)</f>
        <v>332</v>
      </c>
      <c r="D107" s="396" t="str">
        <f>VLOOKUP( $B107, Aop!$A$2:$N$415, 6, 1)</f>
        <v xml:space="preserve">    VII - NEREALIZOVANI DOBICI PO OSNOVU FINANSIJSKIH SREDSTAVA RASPOLOŽIVIH ZA PRODAJU</v>
      </c>
      <c r="E107" s="397"/>
      <c r="F107" s="397"/>
      <c r="G107" s="397"/>
      <c r="H107" s="398"/>
      <c r="I107" s="235">
        <f>VLOOKUP( $B107, Aop!$A$2:$N$415, 4, 1)</f>
        <v>117</v>
      </c>
      <c r="J107" s="45"/>
      <c r="K107" s="46"/>
      <c r="L107" s="323"/>
      <c r="M107" s="324"/>
      <c r="O107" s="60"/>
    </row>
    <row r="108" spans="2:15" x14ac:dyDescent="0.2">
      <c r="B108" s="17">
        <v>86</v>
      </c>
      <c r="C108" s="232">
        <f>VLOOKUP( $B108, Aop!$A$2:$N$415, 5, 1)</f>
        <v>333</v>
      </c>
      <c r="D108" s="399" t="str">
        <f>VLOOKUP( $B108, Aop!$A$2:$N$415, 6, 1)</f>
        <v xml:space="preserve">    VIII - NEREALIZOVANI GUBICI PO OSNOVU FINANSIJSKIH SREDSTAVA RASPOLOŽIVIH ZA PRODAJU </v>
      </c>
      <c r="E108" s="400"/>
      <c r="F108" s="400"/>
      <c r="G108" s="400"/>
      <c r="H108" s="401"/>
      <c r="I108" s="233">
        <f>VLOOKUP( $B108, Aop!$A$2:$N$415, 4, 1)</f>
        <v>118</v>
      </c>
      <c r="J108" s="43"/>
      <c r="K108" s="44"/>
      <c r="L108" s="325"/>
      <c r="M108" s="326"/>
      <c r="O108" s="60"/>
    </row>
    <row r="109" spans="2:15" x14ac:dyDescent="0.2">
      <c r="B109" s="17">
        <v>87</v>
      </c>
      <c r="C109" s="234">
        <f>VLOOKUP( $B109, Aop!$A$2:$N$415, 5, 1)</f>
        <v>34</v>
      </c>
      <c r="D109" s="396" t="str">
        <f>VLOOKUP( $B109, Aop!$A$2:$N$415, 6, 1)</f>
        <v xml:space="preserve">    IX - NERASPOREĐENI DOBITAK (120 do 122)</v>
      </c>
      <c r="E109" s="397"/>
      <c r="F109" s="397"/>
      <c r="G109" s="397"/>
      <c r="H109" s="398"/>
      <c r="I109" s="235">
        <f>VLOOKUP( $B109, Aop!$A$2:$N$415, 4, 1)</f>
        <v>119</v>
      </c>
      <c r="J109" s="45"/>
      <c r="K109" s="46"/>
      <c r="L109" s="72">
        <f>SUBTOTAL( 9, L110:L112)</f>
        <v>611566</v>
      </c>
      <c r="M109" s="73">
        <f>SUBTOTAL( 9, M110:M112)</f>
        <v>172596</v>
      </c>
      <c r="O109" s="60"/>
    </row>
    <row r="110" spans="2:15" x14ac:dyDescent="0.2">
      <c r="B110" s="17">
        <v>88</v>
      </c>
      <c r="C110" s="164" t="str">
        <f>VLOOKUP( $B110, Aop!$A$2:$N$415, 5, 1)</f>
        <v>340 ili 342</v>
      </c>
      <c r="D110" s="393" t="str">
        <f>VLOOKUP( $B110, Aop!$A$2:$N$415, 6, 1)</f>
        <v xml:space="preserve">      1. Neraspoređeni dobitak ranijih godina / Neraspoređeni višak prihoda nad rashodima ranijih godina</v>
      </c>
      <c r="E110" s="394"/>
      <c r="F110" s="394"/>
      <c r="G110" s="394"/>
      <c r="H110" s="395"/>
      <c r="I110" s="165">
        <f>VLOOKUP( $B110, Aop!$A$2:$N$415, 4, 1)</f>
        <v>120</v>
      </c>
      <c r="J110" s="249"/>
      <c r="K110" s="250"/>
      <c r="L110" s="321">
        <v>130101</v>
      </c>
      <c r="M110" s="322">
        <v>165306</v>
      </c>
      <c r="O110" s="60"/>
    </row>
    <row r="111" spans="2:15" x14ac:dyDescent="0.2">
      <c r="B111" s="17">
        <v>89</v>
      </c>
      <c r="C111" s="166" t="str">
        <f>VLOOKUP( $B111, Aop!$A$2:$N$415, 5, 1)</f>
        <v>341 ili 343</v>
      </c>
      <c r="D111" s="390" t="str">
        <f>VLOOKUP( $B111, Aop!$A$2:$N$415, 6, 1)</f>
        <v xml:space="preserve">      2. Neraspoređeni dobitak tekuće godine / Neraspoređeni višak prihoda nad rashodima tekuće godine</v>
      </c>
      <c r="E111" s="391"/>
      <c r="F111" s="391"/>
      <c r="G111" s="391"/>
      <c r="H111" s="392"/>
      <c r="I111" s="167">
        <f>VLOOKUP( $B111, Aop!$A$2:$N$415, 4, 1)</f>
        <v>121</v>
      </c>
      <c r="J111" s="251"/>
      <c r="K111" s="252"/>
      <c r="L111" s="319">
        <v>481465</v>
      </c>
      <c r="M111" s="320">
        <v>7290</v>
      </c>
      <c r="O111" s="60"/>
    </row>
    <row r="112" spans="2:15" x14ac:dyDescent="0.2">
      <c r="B112" s="17">
        <v>90</v>
      </c>
      <c r="C112" s="164">
        <f>VLOOKUP( $B112, Aop!$A$2:$N$415, 5, 1)</f>
        <v>344</v>
      </c>
      <c r="D112" s="393" t="str">
        <f>VLOOKUP( $B112, Aop!$A$2:$N$415, 6, 1)</f>
        <v xml:space="preserve">      3. Neto prihod od samostalne djelatnosti</v>
      </c>
      <c r="E112" s="394"/>
      <c r="F112" s="394"/>
      <c r="G112" s="394"/>
      <c r="H112" s="395"/>
      <c r="I112" s="165">
        <f>VLOOKUP( $B112, Aop!$A$2:$N$415, 4, 1)</f>
        <v>122</v>
      </c>
      <c r="J112" s="249"/>
      <c r="K112" s="250"/>
      <c r="L112" s="321"/>
      <c r="M112" s="322"/>
      <c r="O112" s="60"/>
    </row>
    <row r="113" spans="2:15" x14ac:dyDescent="0.2">
      <c r="B113" s="17">
        <v>91</v>
      </c>
      <c r="C113" s="234" t="str">
        <f>VLOOKUP( $B113, Aop!$A$2:$N$415, 5, 1)</f>
        <v>35</v>
      </c>
      <c r="D113" s="396" t="str">
        <f>VLOOKUP( $B113, Aop!$A$2:$N$415, 6, 1)</f>
        <v xml:space="preserve">    X - GUBITAK DO VISINE KAPITALA (124 + 125)</v>
      </c>
      <c r="E113" s="397"/>
      <c r="F113" s="397"/>
      <c r="G113" s="397"/>
      <c r="H113" s="398"/>
      <c r="I113" s="235">
        <f>VLOOKUP( $B113, Aop!$A$2:$N$415,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4">
        <f>VLOOKUP( $B114, Aop!$A$2:$N$415, 5, 1)</f>
        <v>350</v>
      </c>
      <c r="D114" s="393" t="str">
        <f>VLOOKUP( $B114, Aop!$A$2:$N$415, 6, 1)</f>
        <v xml:space="preserve">      1. Gubitak ranijih godina</v>
      </c>
      <c r="E114" s="394"/>
      <c r="F114" s="394"/>
      <c r="G114" s="394"/>
      <c r="H114" s="395"/>
      <c r="I114" s="165">
        <f>VLOOKUP( $B114, Aop!$A$2:$N$415, 4, 1)</f>
        <v>124</v>
      </c>
      <c r="J114" s="249"/>
      <c r="K114" s="250"/>
      <c r="L114" s="321"/>
      <c r="M114" s="322"/>
      <c r="O114" s="60"/>
    </row>
    <row r="115" spans="2:15" x14ac:dyDescent="0.2">
      <c r="B115" s="17">
        <v>93</v>
      </c>
      <c r="C115" s="166">
        <f>VLOOKUP( $B115, Aop!$A$2:$N$415, 5, 1)</f>
        <v>351</v>
      </c>
      <c r="D115" s="390" t="str">
        <f>VLOOKUP( $B115, Aop!$A$2:$N$415, 6, 1)</f>
        <v xml:space="preserve">      2. Gubitak tekuće godine</v>
      </c>
      <c r="E115" s="391"/>
      <c r="F115" s="391"/>
      <c r="G115" s="391"/>
      <c r="H115" s="392"/>
      <c r="I115" s="167">
        <f>VLOOKUP( $B115, Aop!$A$2:$N$415, 4, 1)</f>
        <v>125</v>
      </c>
      <c r="J115" s="251"/>
      <c r="K115" s="252"/>
      <c r="L115" s="319"/>
      <c r="M115" s="320"/>
      <c r="O115" s="60"/>
    </row>
    <row r="116" spans="2:15" x14ac:dyDescent="0.2">
      <c r="B116" s="17">
        <v>94</v>
      </c>
      <c r="C116" s="232">
        <f>VLOOKUP( $B116, Aop!$A$2:$N$415, 5, 1)</f>
        <v>40</v>
      </c>
      <c r="D116" s="399" t="str">
        <f>VLOOKUP( $B116, Aop!$A$2:$N$415, 6, 1)</f>
        <v xml:space="preserve">  B. REZERVISANJA, ODLOŽENE PORESKE OBAVEZE I RAZGRANIČENI PRIHODI (127 do 134)</v>
      </c>
      <c r="E116" s="400"/>
      <c r="F116" s="400"/>
      <c r="G116" s="400"/>
      <c r="H116" s="401"/>
      <c r="I116" s="233">
        <f>VLOOKUP( $B116, Aop!$A$2:$N$415,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6">
        <f>VLOOKUP( $B117, Aop!$A$2:$N$415, 5, 1)</f>
        <v>400</v>
      </c>
      <c r="D117" s="390" t="str">
        <f>VLOOKUP( $B117, Aop!$A$2:$N$415, 6, 1)</f>
        <v xml:space="preserve">    1. Rezervisanja za troškove u garantnom roku</v>
      </c>
      <c r="E117" s="391"/>
      <c r="F117" s="391"/>
      <c r="G117" s="391"/>
      <c r="H117" s="392"/>
      <c r="I117" s="167">
        <f>VLOOKUP( $B117, Aop!$A$2:$N$415, 4, 1)</f>
        <v>127</v>
      </c>
      <c r="J117" s="251"/>
      <c r="K117" s="252"/>
      <c r="L117" s="319"/>
      <c r="M117" s="320"/>
      <c r="O117" s="60"/>
    </row>
    <row r="118" spans="2:15" x14ac:dyDescent="0.2">
      <c r="B118" s="17">
        <v>96</v>
      </c>
      <c r="C118" s="164">
        <f>VLOOKUP( $B118, Aop!$A$2:$N$415, 5, 1)</f>
        <v>401</v>
      </c>
      <c r="D118" s="393" t="str">
        <f>VLOOKUP( $B118, Aop!$A$2:$N$415, 6, 1)</f>
        <v xml:space="preserve">    2. Rezervisanja za troškove obnavljanja prirodnih bogatstava</v>
      </c>
      <c r="E118" s="394"/>
      <c r="F118" s="394"/>
      <c r="G118" s="394"/>
      <c r="H118" s="395"/>
      <c r="I118" s="165">
        <f>VLOOKUP( $B118, Aop!$A$2:$N$415, 4, 1)</f>
        <v>128</v>
      </c>
      <c r="J118" s="249"/>
      <c r="K118" s="250"/>
      <c r="L118" s="321"/>
      <c r="M118" s="322"/>
      <c r="O118" s="60"/>
    </row>
    <row r="119" spans="2:15" x14ac:dyDescent="0.2">
      <c r="B119" s="17">
        <v>97</v>
      </c>
      <c r="C119" s="166">
        <f>VLOOKUP( $B119, Aop!$A$2:$N$415, 5, 1)</f>
        <v>402</v>
      </c>
      <c r="D119" s="390" t="str">
        <f>VLOOKUP( $B119, Aop!$A$2:$N$415, 6, 1)</f>
        <v xml:space="preserve">    3. Rezervisanja za zadržane kaucije i depozite</v>
      </c>
      <c r="E119" s="391"/>
      <c r="F119" s="391"/>
      <c r="G119" s="391"/>
      <c r="H119" s="392"/>
      <c r="I119" s="167">
        <f>VLOOKUP( $B119, Aop!$A$2:$N$415, 4, 1)</f>
        <v>129</v>
      </c>
      <c r="J119" s="251"/>
      <c r="K119" s="252"/>
      <c r="L119" s="319"/>
      <c r="M119" s="320"/>
      <c r="O119" s="60"/>
    </row>
    <row r="120" spans="2:15" x14ac:dyDescent="0.2">
      <c r="B120" s="17">
        <v>98</v>
      </c>
      <c r="C120" s="164">
        <f>VLOOKUP( $B120, Aop!$A$2:$N$415, 5, 1)</f>
        <v>403</v>
      </c>
      <c r="D120" s="393" t="str">
        <f>VLOOKUP( $B120, Aop!$A$2:$N$415, 6, 1)</f>
        <v xml:space="preserve">    4. Rezervisanja za troškove restrukturisanja</v>
      </c>
      <c r="E120" s="394"/>
      <c r="F120" s="394"/>
      <c r="G120" s="394"/>
      <c r="H120" s="395"/>
      <c r="I120" s="165">
        <f>VLOOKUP( $B120, Aop!$A$2:$N$415, 4, 1)</f>
        <v>130</v>
      </c>
      <c r="J120" s="249"/>
      <c r="K120" s="250"/>
      <c r="L120" s="321"/>
      <c r="M120" s="322"/>
      <c r="O120" s="60"/>
    </row>
    <row r="121" spans="2:15" x14ac:dyDescent="0.2">
      <c r="B121" s="17">
        <v>99</v>
      </c>
      <c r="C121" s="166">
        <f>VLOOKUP( $B121, Aop!$A$2:$N$415, 5, 1)</f>
        <v>404</v>
      </c>
      <c r="D121" s="390" t="str">
        <f>VLOOKUP( $B121, Aop!$A$2:$N$415, 6, 1)</f>
        <v xml:space="preserve">    5. Rezervisanja za naknade i beneficije zaposlenih</v>
      </c>
      <c r="E121" s="391"/>
      <c r="F121" s="391"/>
      <c r="G121" s="391"/>
      <c r="H121" s="392"/>
      <c r="I121" s="167">
        <f>VLOOKUP( $B121, Aop!$A$2:$N$415, 4, 1)</f>
        <v>131</v>
      </c>
      <c r="J121" s="251"/>
      <c r="K121" s="252"/>
      <c r="L121" s="319"/>
      <c r="M121" s="320"/>
      <c r="O121" s="60"/>
    </row>
    <row r="122" spans="2:15" x14ac:dyDescent="0.2">
      <c r="B122" s="17">
        <v>100</v>
      </c>
      <c r="C122" s="164">
        <f>VLOOKUP( $B122, Aop!$A$2:$N$415, 5, 1)</f>
        <v>407</v>
      </c>
      <c r="D122" s="393" t="str">
        <f>VLOOKUP( $B122, Aop!$A$2:$N$415, 6, 1)</f>
        <v xml:space="preserve">    6. Odložene poreske obaveze</v>
      </c>
      <c r="E122" s="394"/>
      <c r="F122" s="394"/>
      <c r="G122" s="394"/>
      <c r="H122" s="395"/>
      <c r="I122" s="165">
        <f>VLOOKUP( $B122, Aop!$A$2:$N$415, 4, 1)</f>
        <v>132</v>
      </c>
      <c r="J122" s="249"/>
      <c r="K122" s="250"/>
      <c r="L122" s="321"/>
      <c r="M122" s="322"/>
      <c r="O122" s="60"/>
    </row>
    <row r="123" spans="2:15" x14ac:dyDescent="0.2">
      <c r="B123" s="17">
        <v>101</v>
      </c>
      <c r="C123" s="166">
        <f>VLOOKUP( $B123, Aop!$A$2:$N$415, 5, 1)</f>
        <v>408</v>
      </c>
      <c r="D123" s="390" t="str">
        <f>VLOOKUP( $B123, Aop!$A$2:$N$415, 6, 1)</f>
        <v xml:space="preserve">    7. Razgraničeni prihodi i primljene donacije</v>
      </c>
      <c r="E123" s="391"/>
      <c r="F123" s="391"/>
      <c r="G123" s="391"/>
      <c r="H123" s="392"/>
      <c r="I123" s="167">
        <f>VLOOKUP( $B123, Aop!$A$2:$N$415, 4, 1)</f>
        <v>133</v>
      </c>
      <c r="J123" s="251"/>
      <c r="K123" s="252"/>
      <c r="L123" s="319"/>
      <c r="M123" s="320"/>
      <c r="O123" s="60"/>
    </row>
    <row r="124" spans="2:15" x14ac:dyDescent="0.2">
      <c r="B124" s="17">
        <v>102</v>
      </c>
      <c r="C124" s="164">
        <f>VLOOKUP( $B124, Aop!$A$2:$N$415, 5, 1)</f>
        <v>409</v>
      </c>
      <c r="D124" s="393" t="str">
        <f>VLOOKUP( $B124, Aop!$A$2:$N$415, 6, 1)</f>
        <v xml:space="preserve">    8. Ostala dugoročna rezervisanja</v>
      </c>
      <c r="E124" s="394"/>
      <c r="F124" s="394"/>
      <c r="G124" s="394"/>
      <c r="H124" s="395"/>
      <c r="I124" s="165">
        <f>VLOOKUP( $B124, Aop!$A$2:$N$415, 4, 1)</f>
        <v>134</v>
      </c>
      <c r="J124" s="249"/>
      <c r="K124" s="250"/>
      <c r="L124" s="321"/>
      <c r="M124" s="322"/>
      <c r="O124" s="60"/>
    </row>
    <row r="125" spans="2:15" x14ac:dyDescent="0.2">
      <c r="B125" s="17">
        <v>103</v>
      </c>
      <c r="C125" s="234">
        <f>VLOOKUP( $B125, Aop!$A$2:$N$415, 5, 1)</f>
        <v>0</v>
      </c>
      <c r="D125" s="396" t="str">
        <f>VLOOKUP( $B125, Aop!$A$2:$N$415, 6, 1)</f>
        <v xml:space="preserve">  V. OBAVEZE (136 + 144)</v>
      </c>
      <c r="E125" s="397"/>
      <c r="F125" s="397"/>
      <c r="G125" s="397"/>
      <c r="H125" s="398"/>
      <c r="I125" s="235">
        <f>VLOOKUP( $B125, Aop!$A$2:$N$415, 4, 1)</f>
        <v>135</v>
      </c>
      <c r="J125" s="45"/>
      <c r="K125" s="46"/>
      <c r="L125" s="72">
        <f>SUBTOTAL( 9, L126:L153)</f>
        <v>6159998</v>
      </c>
      <c r="M125" s="73">
        <f>SUBTOTAL( 9, M126:M153)</f>
        <v>5785797</v>
      </c>
      <c r="O125" s="60"/>
    </row>
    <row r="126" spans="2:15" x14ac:dyDescent="0.2">
      <c r="B126" s="17">
        <v>104</v>
      </c>
      <c r="C126" s="232">
        <f>VLOOKUP( $B126, Aop!$A$2:$N$415, 5, 1)</f>
        <v>41</v>
      </c>
      <c r="D126" s="399" t="str">
        <f>VLOOKUP( $B126, Aop!$A$2:$N$415, 6, 1)</f>
        <v xml:space="preserve">    I - DUGOROČNE OBAVEZE (137 do 143)</v>
      </c>
      <c r="E126" s="400"/>
      <c r="F126" s="400"/>
      <c r="G126" s="400"/>
      <c r="H126" s="401"/>
      <c r="I126" s="233">
        <f>VLOOKUP( $B126, Aop!$A$2:$N$415, 4, 1)</f>
        <v>136</v>
      </c>
      <c r="J126" s="43"/>
      <c r="K126" s="44"/>
      <c r="L126" s="70">
        <f>SUBTOTAL( 9, L127:L133)</f>
        <v>581070</v>
      </c>
      <c r="M126" s="71">
        <f>SUBTOTAL( 9, M127:M133)</f>
        <v>789083</v>
      </c>
      <c r="O126" s="60"/>
    </row>
    <row r="127" spans="2:15" x14ac:dyDescent="0.2">
      <c r="B127" s="17">
        <v>105</v>
      </c>
      <c r="C127" s="166">
        <f>VLOOKUP( $B127, Aop!$A$2:$N$415, 5, 1)</f>
        <v>410</v>
      </c>
      <c r="D127" s="390" t="str">
        <f>VLOOKUP( $B127, Aop!$A$2:$N$415, 6, 1)</f>
        <v xml:space="preserve">      1. Obaveze koje se mogu konvertovati u kapital</v>
      </c>
      <c r="E127" s="391"/>
      <c r="F127" s="391"/>
      <c r="G127" s="391"/>
      <c r="H127" s="392"/>
      <c r="I127" s="167">
        <f>VLOOKUP( $B127, Aop!$A$2:$N$415, 4, 1)</f>
        <v>137</v>
      </c>
      <c r="J127" s="251"/>
      <c r="K127" s="252"/>
      <c r="L127" s="319"/>
      <c r="M127" s="320"/>
      <c r="O127" s="60"/>
    </row>
    <row r="128" spans="2:15" x14ac:dyDescent="0.2">
      <c r="B128" s="17">
        <v>106</v>
      </c>
      <c r="C128" s="164">
        <f>VLOOKUP( $B128, Aop!$A$2:$N$415, 5, 1)</f>
        <v>411</v>
      </c>
      <c r="D128" s="393" t="str">
        <f>VLOOKUP( $B128, Aop!$A$2:$N$415, 6, 1)</f>
        <v xml:space="preserve">      2. Obaveze prema povezanim pravnim licima</v>
      </c>
      <c r="E128" s="394"/>
      <c r="F128" s="394"/>
      <c r="G128" s="394"/>
      <c r="H128" s="395"/>
      <c r="I128" s="165">
        <f>VLOOKUP( $B128, Aop!$A$2:$N$415, 4, 1)</f>
        <v>138</v>
      </c>
      <c r="J128" s="249"/>
      <c r="K128" s="250"/>
      <c r="L128" s="321"/>
      <c r="M128" s="322"/>
      <c r="O128" s="60"/>
    </row>
    <row r="129" spans="2:15" x14ac:dyDescent="0.2">
      <c r="B129" s="17">
        <v>107</v>
      </c>
      <c r="C129" s="166">
        <f>VLOOKUP( $B129, Aop!$A$2:$N$415, 5, 1)</f>
        <v>412</v>
      </c>
      <c r="D129" s="390" t="str">
        <f>VLOOKUP( $B129, Aop!$A$2:$N$415, 6, 1)</f>
        <v xml:space="preserve">      3. Obaveze po emitovanim dugoročnim hartijama od vrijednosti</v>
      </c>
      <c r="E129" s="391"/>
      <c r="F129" s="391"/>
      <c r="G129" s="391"/>
      <c r="H129" s="392"/>
      <c r="I129" s="167">
        <f>VLOOKUP( $B129, Aop!$A$2:$N$415, 4, 1)</f>
        <v>139</v>
      </c>
      <c r="J129" s="251"/>
      <c r="K129" s="252"/>
      <c r="L129" s="319"/>
      <c r="M129" s="320"/>
      <c r="O129" s="60"/>
    </row>
    <row r="130" spans="2:15" x14ac:dyDescent="0.2">
      <c r="B130" s="17">
        <v>108</v>
      </c>
      <c r="C130" s="164" t="str">
        <f>VLOOKUP( $B130, Aop!$A$2:$N$415, 5, 1)</f>
        <v>413, 414</v>
      </c>
      <c r="D130" s="393" t="str">
        <f>VLOOKUP( $B130, Aop!$A$2:$N$415, 6, 1)</f>
        <v xml:space="preserve">      4. Dugoročni krediti</v>
      </c>
      <c r="E130" s="394"/>
      <c r="F130" s="394"/>
      <c r="G130" s="394"/>
      <c r="H130" s="395"/>
      <c r="I130" s="165">
        <f>VLOOKUP( $B130, Aop!$A$2:$N$415, 4, 1)</f>
        <v>140</v>
      </c>
      <c r="J130" s="249"/>
      <c r="K130" s="250"/>
      <c r="L130" s="321">
        <v>407406</v>
      </c>
      <c r="M130" s="322">
        <v>463428</v>
      </c>
      <c r="O130" s="60"/>
    </row>
    <row r="131" spans="2:15" x14ac:dyDescent="0.2">
      <c r="B131" s="17">
        <v>109</v>
      </c>
      <c r="C131" s="166" t="str">
        <f>VLOOKUP( $B131, Aop!$A$2:$N$415, 5, 1)</f>
        <v>415, 416</v>
      </c>
      <c r="D131" s="390" t="str">
        <f>VLOOKUP( $B131, Aop!$A$2:$N$415, 6, 1)</f>
        <v xml:space="preserve">      5. Dugoročne obaveze po finansijskom lizingu</v>
      </c>
      <c r="E131" s="391"/>
      <c r="F131" s="391"/>
      <c r="G131" s="391"/>
      <c r="H131" s="392"/>
      <c r="I131" s="167">
        <f>VLOOKUP( $B131, Aop!$A$2:$N$415, 4, 1)</f>
        <v>141</v>
      </c>
      <c r="J131" s="251"/>
      <c r="K131" s="252"/>
      <c r="L131" s="319">
        <v>40164</v>
      </c>
      <c r="M131" s="320">
        <v>155155</v>
      </c>
      <c r="O131" s="60"/>
    </row>
    <row r="132" spans="2:15" x14ac:dyDescent="0.2">
      <c r="B132" s="17">
        <v>110</v>
      </c>
      <c r="C132" s="164">
        <f>VLOOKUP( $B132, Aop!$A$2:$N$415, 5, 1)</f>
        <v>417</v>
      </c>
      <c r="D132" s="393" t="str">
        <f>VLOOKUP( $B132, Aop!$A$2:$N$415, 6, 1)</f>
        <v xml:space="preserve">      6. Dugoročne obaveze po fer vrijednosti kroz bilans uspjeha</v>
      </c>
      <c r="E132" s="394"/>
      <c r="F132" s="394"/>
      <c r="G132" s="394"/>
      <c r="H132" s="395"/>
      <c r="I132" s="165">
        <f>VLOOKUP( $B132, Aop!$A$2:$N$415, 4, 1)</f>
        <v>142</v>
      </c>
      <c r="J132" s="249"/>
      <c r="K132" s="250"/>
      <c r="L132" s="321"/>
      <c r="M132" s="322"/>
      <c r="O132" s="60"/>
    </row>
    <row r="133" spans="2:15" x14ac:dyDescent="0.2">
      <c r="B133" s="17">
        <v>111</v>
      </c>
      <c r="C133" s="166">
        <f>VLOOKUP( $B133, Aop!$A$2:$N$415, 5, 1)</f>
        <v>419</v>
      </c>
      <c r="D133" s="390" t="str">
        <f>VLOOKUP( $B133, Aop!$A$2:$N$415, 6, 1)</f>
        <v xml:space="preserve">      7. Ostale dugoročne obaveze</v>
      </c>
      <c r="E133" s="391"/>
      <c r="F133" s="391"/>
      <c r="G133" s="391"/>
      <c r="H133" s="392"/>
      <c r="I133" s="167">
        <f>VLOOKUP( $B133, Aop!$A$2:$N$415, 4, 1)</f>
        <v>143</v>
      </c>
      <c r="J133" s="251"/>
      <c r="K133" s="252"/>
      <c r="L133" s="319">
        <v>133500</v>
      </c>
      <c r="M133" s="320">
        <v>170500</v>
      </c>
      <c r="O133" s="60"/>
    </row>
    <row r="134" spans="2:15" x14ac:dyDescent="0.2">
      <c r="B134" s="17">
        <v>112</v>
      </c>
      <c r="C134" s="232" t="str">
        <f>VLOOKUP( $B134, Aop!$A$2:$N$415, 5, 1)</f>
        <v>42 do 49</v>
      </c>
      <c r="D134" s="399" t="str">
        <f>VLOOKUP( $B134, Aop!$A$2:$N$415, 6, 1)</f>
        <v xml:space="preserve">    II - KRATKOROČNE OBAVEZE (145 + 150 + 156 + 157 + 158 + 159 + 160 + 161 + 162 + 163)</v>
      </c>
      <c r="E134" s="400"/>
      <c r="F134" s="400"/>
      <c r="G134" s="400"/>
      <c r="H134" s="401"/>
      <c r="I134" s="233">
        <f>VLOOKUP( $B134, Aop!$A$2:$N$415, 4, 1)</f>
        <v>144</v>
      </c>
      <c r="J134" s="43"/>
      <c r="K134" s="44"/>
      <c r="L134" s="70">
        <f>SUBTOTAL( 9, L135:L153)</f>
        <v>5578928</v>
      </c>
      <c r="M134" s="71">
        <f>SUBTOTAL( 9, M135:M153)</f>
        <v>4996714</v>
      </c>
      <c r="O134" s="60"/>
    </row>
    <row r="135" spans="2:15" x14ac:dyDescent="0.2">
      <c r="B135" s="17">
        <v>113</v>
      </c>
      <c r="C135" s="166">
        <f>VLOOKUP( $B135, Aop!$A$2:$N$415, 5, 1)</f>
        <v>42</v>
      </c>
      <c r="D135" s="390" t="str">
        <f>VLOOKUP( $B135, Aop!$A$2:$N$415, 6, 1)</f>
        <v xml:space="preserve">      1. Kratkoročne finansijske obaveze (146 do 149)</v>
      </c>
      <c r="E135" s="391"/>
      <c r="F135" s="391"/>
      <c r="G135" s="391"/>
      <c r="H135" s="392"/>
      <c r="I135" s="167">
        <f>VLOOKUP( $B135, Aop!$A$2:$N$415, 4, 1)</f>
        <v>145</v>
      </c>
      <c r="J135" s="251"/>
      <c r="K135" s="252"/>
      <c r="L135" s="208">
        <f>SUBTOTAL( 9, L136:L139)</f>
        <v>2538655</v>
      </c>
      <c r="M135" s="209">
        <f>SUBTOTAL( 9, M136:M139)</f>
        <v>3015150</v>
      </c>
      <c r="O135" s="60"/>
    </row>
    <row r="136" spans="2:15" x14ac:dyDescent="0.2">
      <c r="B136" s="17">
        <v>114</v>
      </c>
      <c r="C136" s="164" t="str">
        <f>VLOOKUP( $B136, Aop!$A$2:$N$415, 5, 1)</f>
        <v>420 do 423</v>
      </c>
      <c r="D136" s="393" t="str">
        <f>VLOOKUP( $B136, Aop!$A$2:$N$415, 6, 1)</f>
        <v xml:space="preserve">        a) Kratkoročni krediti i obaveze po emitovanim kratkoročnim hartijama od vrijednosti</v>
      </c>
      <c r="E136" s="394"/>
      <c r="F136" s="394"/>
      <c r="G136" s="394"/>
      <c r="H136" s="395"/>
      <c r="I136" s="165">
        <f>VLOOKUP( $B136, Aop!$A$2:$N$415, 4, 1)</f>
        <v>146</v>
      </c>
      <c r="J136" s="253"/>
      <c r="K136" s="254"/>
      <c r="L136" s="321">
        <v>1780816</v>
      </c>
      <c r="M136" s="322">
        <v>2310122</v>
      </c>
      <c r="O136" s="60"/>
    </row>
    <row r="137" spans="2:15" x14ac:dyDescent="0.2">
      <c r="B137" s="17">
        <v>115</v>
      </c>
      <c r="C137" s="166" t="str">
        <f>VLOOKUP( $B137, Aop!$A$2:$N$415, 5, 1)</f>
        <v>424, 425</v>
      </c>
      <c r="D137" s="390" t="str">
        <f>VLOOKUP( $B137, Aop!$A$2:$N$415, 6, 1)</f>
        <v xml:space="preserve">        b) Dio dugoročnih finansijskih obaveza koji za plaćanje dospijeva u periodu do godinu dana</v>
      </c>
      <c r="E137" s="391"/>
      <c r="F137" s="391"/>
      <c r="G137" s="391"/>
      <c r="H137" s="392"/>
      <c r="I137" s="167">
        <f>VLOOKUP( $B137, Aop!$A$2:$N$415, 4, 1)</f>
        <v>147</v>
      </c>
      <c r="J137" s="251"/>
      <c r="K137" s="252"/>
      <c r="L137" s="319">
        <v>757839</v>
      </c>
      <c r="M137" s="320">
        <v>705028</v>
      </c>
      <c r="O137" s="60"/>
    </row>
    <row r="138" spans="2:15" x14ac:dyDescent="0.2">
      <c r="B138" s="17">
        <v>116</v>
      </c>
      <c r="C138" s="164">
        <f>VLOOKUP( $B138, Aop!$A$2:$N$415, 5, 1)</f>
        <v>426</v>
      </c>
      <c r="D138" s="393" t="str">
        <f>VLOOKUP( $B138, Aop!$A$2:$N$415, 6, 1)</f>
        <v xml:space="preserve">        v) Kratkoročne obaveze po fer vrijednosti kroz bilans uspjeha</v>
      </c>
      <c r="E138" s="394"/>
      <c r="F138" s="394"/>
      <c r="G138" s="394"/>
      <c r="H138" s="395"/>
      <c r="I138" s="165">
        <f>VLOOKUP( $B138, Aop!$A$2:$N$415, 4, 1)</f>
        <v>148</v>
      </c>
      <c r="J138" s="249"/>
      <c r="K138" s="250"/>
      <c r="L138" s="321"/>
      <c r="M138" s="322"/>
      <c r="O138" s="60"/>
    </row>
    <row r="139" spans="2:15" x14ac:dyDescent="0.2">
      <c r="B139" s="17">
        <v>117</v>
      </c>
      <c r="C139" s="166">
        <f>VLOOKUP( $B139, Aop!$A$2:$N$415, 5, 1)</f>
        <v>429</v>
      </c>
      <c r="D139" s="390" t="str">
        <f>VLOOKUP( $B139, Aop!$A$2:$N$415, 6, 1)</f>
        <v xml:space="preserve">        g) Ostale kratkoročne finansijske obaveze</v>
      </c>
      <c r="E139" s="391"/>
      <c r="F139" s="391"/>
      <c r="G139" s="391"/>
      <c r="H139" s="392"/>
      <c r="I139" s="167">
        <f>VLOOKUP( $B139, Aop!$A$2:$N$415, 4, 1)</f>
        <v>149</v>
      </c>
      <c r="J139" s="251"/>
      <c r="K139" s="252"/>
      <c r="L139" s="319"/>
      <c r="M139" s="320"/>
      <c r="O139" s="60"/>
    </row>
    <row r="140" spans="2:15" x14ac:dyDescent="0.2">
      <c r="B140" s="17">
        <v>118</v>
      </c>
      <c r="C140" s="164">
        <f>VLOOKUP( $B140, Aop!$A$2:$N$415, 5, 1)</f>
        <v>43</v>
      </c>
      <c r="D140" s="393" t="str">
        <f>VLOOKUP( $B140, Aop!$A$2:$N$415, 6, 1)</f>
        <v xml:space="preserve">      2. Obaveze iz poslovanja (151 do 155)</v>
      </c>
      <c r="E140" s="394"/>
      <c r="F140" s="394"/>
      <c r="G140" s="394"/>
      <c r="H140" s="395"/>
      <c r="I140" s="165">
        <f>VLOOKUP( $B140, Aop!$A$2:$N$415, 4, 1)</f>
        <v>150</v>
      </c>
      <c r="J140" s="249"/>
      <c r="K140" s="250"/>
      <c r="L140" s="206">
        <f>SUBTOTAL( 9, L141:L145)</f>
        <v>2859976</v>
      </c>
      <c r="M140" s="207">
        <f>SUBTOTAL( 9, M141:M145)</f>
        <v>1777263</v>
      </c>
      <c r="O140" s="60"/>
    </row>
    <row r="141" spans="2:15" x14ac:dyDescent="0.2">
      <c r="B141" s="17">
        <v>119</v>
      </c>
      <c r="C141" s="166">
        <f>VLOOKUP( $B141, Aop!$A$2:$N$415, 5, 1)</f>
        <v>430</v>
      </c>
      <c r="D141" s="390" t="str">
        <f>VLOOKUP( $B141, Aop!$A$2:$N$415, 6, 1)</f>
        <v xml:space="preserve">        a) Primljeni avansi, depoziti i kaucije</v>
      </c>
      <c r="E141" s="391"/>
      <c r="F141" s="391"/>
      <c r="G141" s="391"/>
      <c r="H141" s="392"/>
      <c r="I141" s="167">
        <f>VLOOKUP( $B141, Aop!$A$2:$N$415, 4, 1)</f>
        <v>151</v>
      </c>
      <c r="J141" s="251"/>
      <c r="K141" s="252"/>
      <c r="L141" s="319">
        <v>915</v>
      </c>
      <c r="M141" s="320">
        <v>2384</v>
      </c>
      <c r="O141" s="60"/>
    </row>
    <row r="142" spans="2:15" x14ac:dyDescent="0.2">
      <c r="B142" s="17">
        <v>120</v>
      </c>
      <c r="C142" s="164">
        <f>VLOOKUP( $B142, Aop!$A$2:$N$415, 5, 1)</f>
        <v>431</v>
      </c>
      <c r="D142" s="393" t="str">
        <f>VLOOKUP( $B142, Aop!$A$2:$N$415, 6, 1)</f>
        <v xml:space="preserve">        b) Dobavljači - povezana pravna lica</v>
      </c>
      <c r="E142" s="394"/>
      <c r="F142" s="394"/>
      <c r="G142" s="394"/>
      <c r="H142" s="395"/>
      <c r="I142" s="165">
        <f>VLOOKUP( $B142, Aop!$A$2:$N$415, 4, 1)</f>
        <v>152</v>
      </c>
      <c r="J142" s="249"/>
      <c r="K142" s="250"/>
      <c r="L142" s="321"/>
      <c r="M142" s="322"/>
      <c r="O142" s="60"/>
    </row>
    <row r="143" spans="2:15" x14ac:dyDescent="0.2">
      <c r="B143" s="17">
        <v>121</v>
      </c>
      <c r="C143" s="166" t="str">
        <f>VLOOKUP( $B143, Aop!$A$2:$N$415, 5, 1)</f>
        <v>432, 433, 434</v>
      </c>
      <c r="D143" s="390" t="str">
        <f>VLOOKUP( $B143, Aop!$A$2:$N$415, 6, 1)</f>
        <v xml:space="preserve">        v) Dobavljači u zemlji</v>
      </c>
      <c r="E143" s="391"/>
      <c r="F143" s="391"/>
      <c r="G143" s="391"/>
      <c r="H143" s="392"/>
      <c r="I143" s="167">
        <f>VLOOKUP( $B143, Aop!$A$2:$N$415, 4, 1)</f>
        <v>153</v>
      </c>
      <c r="J143" s="251"/>
      <c r="K143" s="252"/>
      <c r="L143" s="319">
        <v>168160</v>
      </c>
      <c r="M143" s="320">
        <v>109200</v>
      </c>
      <c r="O143" s="60"/>
    </row>
    <row r="144" spans="2:15" x14ac:dyDescent="0.2">
      <c r="B144" s="17">
        <v>122</v>
      </c>
      <c r="C144" s="164">
        <f>VLOOKUP( $B144, Aop!$A$2:$N$415, 5, 1)</f>
        <v>435</v>
      </c>
      <c r="D144" s="393" t="str">
        <f>VLOOKUP( $B144, Aop!$A$2:$N$415, 6, 1)</f>
        <v xml:space="preserve">        g) Dobavljači iz inostranstva</v>
      </c>
      <c r="E144" s="394"/>
      <c r="F144" s="394"/>
      <c r="G144" s="394"/>
      <c r="H144" s="395"/>
      <c r="I144" s="165">
        <f>VLOOKUP( $B144, Aop!$A$2:$N$415, 4, 1)</f>
        <v>154</v>
      </c>
      <c r="J144" s="249"/>
      <c r="K144" s="250"/>
      <c r="L144" s="321">
        <v>2690901</v>
      </c>
      <c r="M144" s="322">
        <v>1665679</v>
      </c>
      <c r="O144" s="60"/>
    </row>
    <row r="145" spans="2:15" x14ac:dyDescent="0.2">
      <c r="B145" s="17">
        <v>123</v>
      </c>
      <c r="C145" s="166">
        <f>VLOOKUP( $B145, Aop!$A$2:$N$415, 5, 1)</f>
        <v>439</v>
      </c>
      <c r="D145" s="390" t="str">
        <f>VLOOKUP( $B145, Aop!$A$2:$N$415, 6, 1)</f>
        <v xml:space="preserve">        d) Ostale obaveze iz poslovanja</v>
      </c>
      <c r="E145" s="391"/>
      <c r="F145" s="391"/>
      <c r="G145" s="391"/>
      <c r="H145" s="392"/>
      <c r="I145" s="167">
        <f>VLOOKUP( $B145, Aop!$A$2:$N$415, 4, 1)</f>
        <v>155</v>
      </c>
      <c r="J145" s="251"/>
      <c r="K145" s="252"/>
      <c r="L145" s="319"/>
      <c r="M145" s="320"/>
      <c r="O145" s="60"/>
    </row>
    <row r="146" spans="2:15" x14ac:dyDescent="0.2">
      <c r="B146" s="17">
        <v>124</v>
      </c>
      <c r="C146" s="164" t="str">
        <f>VLOOKUP( $B146, Aop!$A$2:$N$415, 5, 1)</f>
        <v>440 do 449</v>
      </c>
      <c r="D146" s="393" t="str">
        <f>VLOOKUP( $B146, Aop!$A$2:$N$415, 6, 1)</f>
        <v xml:space="preserve">      3. Obaveze iz specifičnih poslova</v>
      </c>
      <c r="E146" s="394"/>
      <c r="F146" s="394"/>
      <c r="G146" s="394"/>
      <c r="H146" s="395"/>
      <c r="I146" s="165">
        <f>VLOOKUP( $B146, Aop!$A$2:$N$415, 4, 1)</f>
        <v>156</v>
      </c>
      <c r="J146" s="249"/>
      <c r="K146" s="250"/>
      <c r="L146" s="321"/>
      <c r="M146" s="322"/>
      <c r="O146" s="60"/>
    </row>
    <row r="147" spans="2:15" x14ac:dyDescent="0.2">
      <c r="B147" s="17">
        <v>125</v>
      </c>
      <c r="C147" s="166" t="str">
        <f>VLOOKUP( $B147, Aop!$A$2:$N$415, 5, 1)</f>
        <v>450 do 458</v>
      </c>
      <c r="D147" s="390" t="str">
        <f>VLOOKUP( $B147, Aop!$A$2:$N$415, 6, 1)</f>
        <v xml:space="preserve">      4. Obaveze za zarade i naknade zarada</v>
      </c>
      <c r="E147" s="391"/>
      <c r="F147" s="391"/>
      <c r="G147" s="391"/>
      <c r="H147" s="392"/>
      <c r="I147" s="167">
        <f>VLOOKUP( $B147, Aop!$A$2:$N$415, 4, 1)</f>
        <v>157</v>
      </c>
      <c r="J147" s="251"/>
      <c r="K147" s="252"/>
      <c r="L147" s="319">
        <v>43752</v>
      </c>
      <c r="M147" s="320">
        <v>82154</v>
      </c>
      <c r="O147" s="60"/>
    </row>
    <row r="148" spans="2:15" x14ac:dyDescent="0.2">
      <c r="B148" s="17">
        <v>126</v>
      </c>
      <c r="C148" s="164" t="str">
        <f>VLOOKUP( $B148, Aop!$A$2:$N$415, 5, 1)</f>
        <v>460 do 469</v>
      </c>
      <c r="D148" s="393" t="str">
        <f>VLOOKUP( $B148, Aop!$A$2:$N$415, 6, 1)</f>
        <v xml:space="preserve">      5. Druge obaveze</v>
      </c>
      <c r="E148" s="394"/>
      <c r="F148" s="394"/>
      <c r="G148" s="394"/>
      <c r="H148" s="395"/>
      <c r="I148" s="165">
        <f>VLOOKUP( $B148, Aop!$A$2:$N$415, 4, 1)</f>
        <v>158</v>
      </c>
      <c r="J148" s="249"/>
      <c r="K148" s="250"/>
      <c r="L148" s="321">
        <v>11502</v>
      </c>
      <c r="M148" s="322">
        <v>16305</v>
      </c>
      <c r="O148" s="60"/>
    </row>
    <row r="149" spans="2:15" x14ac:dyDescent="0.2">
      <c r="B149" s="17">
        <v>127</v>
      </c>
      <c r="C149" s="166" t="str">
        <f>VLOOKUP( $B149, Aop!$A$2:$N$415, 5, 1)</f>
        <v>470 do 479</v>
      </c>
      <c r="D149" s="390" t="str">
        <f>VLOOKUP( $B149, Aop!$A$2:$N$415, 6, 1)</f>
        <v xml:space="preserve">      6. Porez na dodatu vrijednost</v>
      </c>
      <c r="E149" s="391"/>
      <c r="F149" s="391"/>
      <c r="G149" s="391"/>
      <c r="H149" s="392"/>
      <c r="I149" s="167">
        <f>VLOOKUP( $B149, Aop!$A$2:$N$415, 4, 1)</f>
        <v>159</v>
      </c>
      <c r="J149" s="251"/>
      <c r="K149" s="252"/>
      <c r="L149" s="319"/>
      <c r="M149" s="320">
        <v>34923</v>
      </c>
      <c r="O149" s="60"/>
    </row>
    <row r="150" spans="2:15" x14ac:dyDescent="0.2">
      <c r="B150" s="17">
        <v>128</v>
      </c>
      <c r="C150" s="164" t="str">
        <f>VLOOKUP( $B150, Aop!$A$2:$N$415, 5, 1)</f>
        <v>48, osim 481</v>
      </c>
      <c r="D150" s="393" t="str">
        <f>VLOOKUP( $B150, Aop!$A$2:$N$415, 6, 1)</f>
        <v xml:space="preserve">      7. Obaveze za ostale poreze, doprinose i druge dažbine</v>
      </c>
      <c r="E150" s="394"/>
      <c r="F150" s="394"/>
      <c r="G150" s="394"/>
      <c r="H150" s="395"/>
      <c r="I150" s="165">
        <f>VLOOKUP( $B150, Aop!$A$2:$N$415, 4, 1)</f>
        <v>160</v>
      </c>
      <c r="J150" s="249"/>
      <c r="K150" s="250"/>
      <c r="L150" s="321">
        <v>73540</v>
      </c>
      <c r="M150" s="322">
        <v>66057</v>
      </c>
      <c r="O150" s="60"/>
    </row>
    <row r="151" spans="2:15" x14ac:dyDescent="0.2">
      <c r="B151" s="17">
        <v>129</v>
      </c>
      <c r="C151" s="166">
        <f>VLOOKUP( $B151, Aop!$A$2:$N$415, 5, 1)</f>
        <v>481</v>
      </c>
      <c r="D151" s="390" t="str">
        <f>VLOOKUP( $B151, Aop!$A$2:$N$415, 6, 1)</f>
        <v xml:space="preserve">      8. Obaveze za porez na dobitak</v>
      </c>
      <c r="E151" s="391"/>
      <c r="F151" s="391"/>
      <c r="G151" s="391"/>
      <c r="H151" s="392"/>
      <c r="I151" s="167">
        <f>VLOOKUP( $B151, Aop!$A$2:$N$415, 4, 1)</f>
        <v>161</v>
      </c>
      <c r="J151" s="251"/>
      <c r="K151" s="252"/>
      <c r="L151" s="319">
        <v>51503</v>
      </c>
      <c r="M151" s="320">
        <v>2462</v>
      </c>
      <c r="O151" s="60"/>
    </row>
    <row r="152" spans="2:15" x14ac:dyDescent="0.2">
      <c r="B152" s="17">
        <v>130</v>
      </c>
      <c r="C152" s="164" t="str">
        <f>VLOOKUP( $B152, Aop!$A$2:$N$415, 5, 1)</f>
        <v>49, osim 495</v>
      </c>
      <c r="D152" s="393" t="str">
        <f>VLOOKUP( $B152, Aop!$A$2:$N$415, 6, 1)</f>
        <v xml:space="preserve">      9. Pasivna vremenska razgraničenja i kratkoročna rezervisanja</v>
      </c>
      <c r="E152" s="394"/>
      <c r="F152" s="394"/>
      <c r="G152" s="394"/>
      <c r="H152" s="395"/>
      <c r="I152" s="165">
        <f>VLOOKUP( $B152, Aop!$A$2:$N$415, 4, 1)</f>
        <v>162</v>
      </c>
      <c r="J152" s="249"/>
      <c r="K152" s="250"/>
      <c r="L152" s="321"/>
      <c r="M152" s="322">
        <v>2400</v>
      </c>
      <c r="O152" s="60"/>
    </row>
    <row r="153" spans="2:15" x14ac:dyDescent="0.2">
      <c r="B153" s="17">
        <v>131</v>
      </c>
      <c r="C153" s="166">
        <f>VLOOKUP( $B153, Aop!$A$2:$N$415, 5, 1)</f>
        <v>495</v>
      </c>
      <c r="D153" s="390" t="str">
        <f>VLOOKUP( $B153, Aop!$A$2:$N$415, 6, 1)</f>
        <v xml:space="preserve">      10. Odložene poreske obaveze</v>
      </c>
      <c r="E153" s="391"/>
      <c r="F153" s="391"/>
      <c r="G153" s="391"/>
      <c r="H153" s="392"/>
      <c r="I153" s="167">
        <f>VLOOKUP( $B153, Aop!$A$2:$N$415, 4, 1)</f>
        <v>163</v>
      </c>
      <c r="J153" s="251"/>
      <c r="K153" s="252"/>
      <c r="L153" s="319"/>
      <c r="M153" s="320"/>
      <c r="O153" s="60"/>
    </row>
    <row r="154" spans="2:15" x14ac:dyDescent="0.2">
      <c r="B154" s="17">
        <v>132</v>
      </c>
      <c r="C154" s="232">
        <f>VLOOKUP( $B154, Aop!$A$2:$N$415, 5, 1)</f>
        <v>0</v>
      </c>
      <c r="D154" s="399" t="str">
        <f>VLOOKUP( $B154, Aop!$A$2:$N$415, 6, 1)</f>
        <v xml:space="preserve">  G. POSLOVNA PASIVA (101 + 126 + 135)</v>
      </c>
      <c r="E154" s="400"/>
      <c r="F154" s="400"/>
      <c r="G154" s="400"/>
      <c r="H154" s="401"/>
      <c r="I154" s="233">
        <f>VLOOKUP( $B154, Aop!$A$2:$N$415, 4, 1)</f>
        <v>164</v>
      </c>
      <c r="J154" s="43"/>
      <c r="K154" s="44"/>
      <c r="L154" s="70">
        <f>SUBTOTAL( 9, L91:L98, L100, L102:L107, L109:L112, L116:L153) - SUBTOTAL( 9, L99, L101, L108, L113:L115)</f>
        <v>9887882</v>
      </c>
      <c r="M154" s="71">
        <f>SUBTOTAL( 9, M91:M98, M100, M102:M107, M109:M112, M116:M153) - SUBTOTAL( 9, M99, M101, M108, M113:M115)</f>
        <v>9074711</v>
      </c>
      <c r="O154" s="60"/>
    </row>
    <row r="155" spans="2:15" x14ac:dyDescent="0.2">
      <c r="B155" s="17">
        <v>133</v>
      </c>
      <c r="C155" s="234" t="str">
        <f>VLOOKUP( $B155, Aop!$A$2:$N$415, 5, 1)</f>
        <v>890 do 898</v>
      </c>
      <c r="D155" s="396" t="str">
        <f>VLOOKUP( $B155, Aop!$A$2:$N$415, 6, 1)</f>
        <v xml:space="preserve">  D. VANBILANSNA PASIVA</v>
      </c>
      <c r="E155" s="397"/>
      <c r="F155" s="397"/>
      <c r="G155" s="397"/>
      <c r="H155" s="398"/>
      <c r="I155" s="235">
        <f>VLOOKUP( $B155, Aop!$A$2:$N$415, 4, 1)</f>
        <v>165</v>
      </c>
      <c r="J155" s="45"/>
      <c r="K155" s="46"/>
      <c r="L155" s="323"/>
      <c r="M155" s="324"/>
      <c r="O155" s="60"/>
    </row>
    <row r="156" spans="2:15" ht="12.75" customHeight="1" x14ac:dyDescent="0.2">
      <c r="B156" s="17">
        <v>134</v>
      </c>
      <c r="C156" s="238">
        <f>VLOOKUP( $B156, Aop!$A$2:$N$415, 5, 1)</f>
        <v>0</v>
      </c>
      <c r="D156" s="408" t="str">
        <f>VLOOKUP( $B156, Aop!$A$2:$N$415, 6, 1)</f>
        <v xml:space="preserve">  Đ. UKUPNA PASIVA (164 + 165)</v>
      </c>
      <c r="E156" s="409"/>
      <c r="F156" s="409"/>
      <c r="G156" s="409"/>
      <c r="H156" s="410"/>
      <c r="I156" s="239">
        <f>VLOOKUP( $B156, Aop!$A$2:$N$415, 4, 1)</f>
        <v>166</v>
      </c>
      <c r="J156" s="247"/>
      <c r="K156" s="248"/>
      <c r="L156" s="259">
        <f>SUBTOTAL( 9, L91:L98, L100, L102:L107, L109:L112, L116:L155) - SUBTOTAL( 9, L99, L101, L108, L113:L115)</f>
        <v>9887882</v>
      </c>
      <c r="M156" s="260">
        <f>SUBTOTAL( 9, M91:M98, M100, M102:M107, M109:M112, M116:M155) - SUBTOTAL( 9, M99, M101, M108, M113:M115)</f>
        <v>9074711</v>
      </c>
      <c r="O156" s="60"/>
    </row>
    <row r="157" spans="2:15" x14ac:dyDescent="0.2">
      <c r="C157" s="178"/>
      <c r="D157" s="172"/>
      <c r="E157" s="172"/>
      <c r="F157" s="172"/>
      <c r="G157" s="172"/>
      <c r="H157" s="172"/>
      <c r="I157" s="171"/>
      <c r="J157" s="171"/>
    </row>
    <row r="158" spans="2:15" x14ac:dyDescent="0.2">
      <c r="C158" s="264" t="str">
        <f>Podnozje_U</f>
        <v>U:</v>
      </c>
      <c r="D158" s="261" t="str">
        <f>Podatak_U</f>
        <v>Banja Luka</v>
      </c>
      <c r="E158" s="272"/>
      <c r="F158" s="171"/>
      <c r="G158" s="171"/>
      <c r="H158" s="171"/>
      <c r="J158" s="152" t="str">
        <f>Podnozje_Lice_sa_licencom</f>
        <v>Lice sa licencom:</v>
      </c>
      <c r="K158" s="262" t="str">
        <f>Podatak_Lice_sa_licencom</f>
        <v>Nada Diljkan, SRT-0354/22</v>
      </c>
      <c r="L158" s="263"/>
      <c r="M158" s="263"/>
    </row>
    <row r="159" spans="2:15" x14ac:dyDescent="0.2">
      <c r="D159" s="266"/>
      <c r="E159" s="272"/>
      <c r="F159" s="171"/>
      <c r="G159" s="179" t="str">
        <f>Podnozje_MP</f>
        <v>(M.P.)</v>
      </c>
      <c r="I159" s="15"/>
      <c r="J159"/>
      <c r="K159"/>
    </row>
    <row r="160" spans="2:15" x14ac:dyDescent="0.2">
      <c r="C160" s="264" t="str">
        <f>Podnozje_Dana</f>
        <v>Datum:</v>
      </c>
      <c r="D160" s="262" t="str">
        <f>Podatak_Dana</f>
        <v>28.02.2022.</v>
      </c>
      <c r="E160" s="173"/>
      <c r="F160" s="171"/>
      <c r="G160" s="171"/>
      <c r="H160" s="180"/>
      <c r="J160" s="152" t="str">
        <f>Podnozje_Direktor</f>
        <v>Lice ovlašćeno za zastupanje:</v>
      </c>
      <c r="K160" s="262" t="str">
        <f>Podatak_Direktor</f>
        <v>Mario Derajić</v>
      </c>
      <c r="L160" s="263"/>
      <c r="M160" s="263"/>
    </row>
    <row r="161" spans="3:15" hidden="1" x14ac:dyDescent="0.2">
      <c r="C161" s="171"/>
      <c r="D161" s="171"/>
      <c r="E161" s="171"/>
      <c r="F161" s="171"/>
      <c r="G161" s="171"/>
      <c r="H161" s="171"/>
      <c r="I161" s="181"/>
      <c r="J161" s="179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38:H138"/>
    <mergeCell ref="D143:H143"/>
    <mergeCell ref="D147:H147"/>
    <mergeCell ref="D134:H134"/>
    <mergeCell ref="D115:H115"/>
    <mergeCell ref="D116:H116"/>
    <mergeCell ref="D131:H131"/>
    <mergeCell ref="D132:H132"/>
    <mergeCell ref="D133:H133"/>
    <mergeCell ref="D142:H142"/>
    <mergeCell ref="D124:H124"/>
    <mergeCell ref="D109:H109"/>
    <mergeCell ref="D30:H30"/>
    <mergeCell ref="D31:H31"/>
    <mergeCell ref="D125:H125"/>
    <mergeCell ref="D62:H62"/>
    <mergeCell ref="D63:H63"/>
    <mergeCell ref="D64:H64"/>
    <mergeCell ref="D55:H55"/>
    <mergeCell ref="D54:H54"/>
    <mergeCell ref="D38:H38"/>
    <mergeCell ref="D39:H39"/>
    <mergeCell ref="D41:H41"/>
    <mergeCell ref="D29:H29"/>
    <mergeCell ref="D59:H59"/>
    <mergeCell ref="D53:H53"/>
    <mergeCell ref="D49:H49"/>
    <mergeCell ref="D50:H50"/>
    <mergeCell ref="D51:H51"/>
    <mergeCell ref="D52:H52"/>
    <mergeCell ref="D61:H61"/>
    <mergeCell ref="D56:H56"/>
    <mergeCell ref="D57:H57"/>
    <mergeCell ref="D58:H58"/>
    <mergeCell ref="D60:H60"/>
    <mergeCell ref="J16:L16"/>
    <mergeCell ref="C13:M13"/>
    <mergeCell ref="C14:M14"/>
    <mergeCell ref="C9:F9"/>
    <mergeCell ref="L5:M5"/>
    <mergeCell ref="D24:H24"/>
    <mergeCell ref="D25:H25"/>
    <mergeCell ref="L6:M6"/>
    <mergeCell ref="L7:M7"/>
    <mergeCell ref="L8:M8"/>
    <mergeCell ref="C7:E8"/>
    <mergeCell ref="D20:H20"/>
    <mergeCell ref="D21:H21"/>
    <mergeCell ref="D16:H17"/>
    <mergeCell ref="D18:H18"/>
    <mergeCell ref="C16:C17"/>
    <mergeCell ref="L9:M9"/>
    <mergeCell ref="L10:M10"/>
    <mergeCell ref="M16:M17"/>
    <mergeCell ref="I16:I17"/>
    <mergeCell ref="D22:H22"/>
    <mergeCell ref="D23:H23"/>
    <mergeCell ref="D19:H19"/>
    <mergeCell ref="D5:E5"/>
    <mergeCell ref="D6:E6"/>
    <mergeCell ref="D42:H42"/>
    <mergeCell ref="D27:H27"/>
    <mergeCell ref="D32:H32"/>
    <mergeCell ref="D26:H26"/>
    <mergeCell ref="D45:H45"/>
    <mergeCell ref="D46:H46"/>
    <mergeCell ref="D47:H47"/>
    <mergeCell ref="D48:H48"/>
    <mergeCell ref="D40:H40"/>
    <mergeCell ref="D44:H44"/>
    <mergeCell ref="D43:H43"/>
    <mergeCell ref="D37:H37"/>
    <mergeCell ref="D28:H28"/>
    <mergeCell ref="D34:H34"/>
    <mergeCell ref="D35:H35"/>
    <mergeCell ref="D36:H36"/>
    <mergeCell ref="D33:H33"/>
    <mergeCell ref="M87:M88"/>
    <mergeCell ref="D79:H79"/>
    <mergeCell ref="D80:H80"/>
    <mergeCell ref="D81:H81"/>
    <mergeCell ref="D87:H88"/>
    <mergeCell ref="J87:K88"/>
    <mergeCell ref="D83:H83"/>
    <mergeCell ref="D84:H84"/>
    <mergeCell ref="D94:H94"/>
    <mergeCell ref="L87:L88"/>
    <mergeCell ref="D89:H89"/>
    <mergeCell ref="D155:H155"/>
    <mergeCell ref="D135:H135"/>
    <mergeCell ref="D136:H136"/>
    <mergeCell ref="D139:H139"/>
    <mergeCell ref="D128:H128"/>
    <mergeCell ref="D129:H129"/>
    <mergeCell ref="D137:H137"/>
    <mergeCell ref="D90:H90"/>
    <mergeCell ref="D91:H91"/>
    <mergeCell ref="D93:H93"/>
    <mergeCell ref="D92:H92"/>
    <mergeCell ref="D126:H126"/>
    <mergeCell ref="D127:H127"/>
    <mergeCell ref="D95:H95"/>
    <mergeCell ref="D96:H96"/>
    <mergeCell ref="D154:H154"/>
    <mergeCell ref="D103:H103"/>
    <mergeCell ref="D104:H104"/>
    <mergeCell ref="D105:H105"/>
    <mergeCell ref="D106:H106"/>
    <mergeCell ref="D99:H99"/>
    <mergeCell ref="D100:H100"/>
    <mergeCell ref="D152:H152"/>
    <mergeCell ref="D114:H114"/>
    <mergeCell ref="D74:H74"/>
    <mergeCell ref="D68:H68"/>
    <mergeCell ref="D69:H69"/>
    <mergeCell ref="D70:H70"/>
    <mergeCell ref="D71:H71"/>
    <mergeCell ref="D65:H65"/>
    <mergeCell ref="D72:H72"/>
    <mergeCell ref="D73:H73"/>
    <mergeCell ref="D66:H66"/>
    <mergeCell ref="D67:H67"/>
    <mergeCell ref="D153:H153"/>
    <mergeCell ref="D150:H150"/>
    <mergeCell ref="D151:H151"/>
    <mergeCell ref="D140:H140"/>
    <mergeCell ref="D141:H141"/>
    <mergeCell ref="D101:H101"/>
    <mergeCell ref="D117:H117"/>
    <mergeCell ref="D118:H118"/>
    <mergeCell ref="D119:H119"/>
    <mergeCell ref="D130:H130"/>
    <mergeCell ref="D102:H102"/>
    <mergeCell ref="D110:H110"/>
    <mergeCell ref="D111:H111"/>
    <mergeCell ref="D120:H120"/>
    <mergeCell ref="D121:H121"/>
    <mergeCell ref="D122:H122"/>
    <mergeCell ref="D123:H123"/>
    <mergeCell ref="D97:H97"/>
    <mergeCell ref="D112:H112"/>
    <mergeCell ref="D113:H113"/>
    <mergeCell ref="D107:H107"/>
    <mergeCell ref="D108:H108"/>
    <mergeCell ref="J89:K89"/>
    <mergeCell ref="C87:C88"/>
    <mergeCell ref="I87:I88"/>
    <mergeCell ref="D75:H75"/>
    <mergeCell ref="D76:H76"/>
    <mergeCell ref="D77:H77"/>
    <mergeCell ref="D78:H78"/>
    <mergeCell ref="D82:H82"/>
    <mergeCell ref="D85:H85"/>
    <mergeCell ref="D98:H98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10" activePane="bottomLeft" state="frozen"/>
      <selection activeCell="D15" sqref="D15"/>
      <selection pane="bottomLeft" activeCell="J48" sqref="J4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48" t="str">
        <f>Podatak_MB</f>
        <v>01940155</v>
      </c>
      <c r="E5" s="448"/>
      <c r="I5" s="17" t="str">
        <f>Zaglavlje_Ziro_racun</f>
        <v>Poslovni računi:</v>
      </c>
      <c r="J5" s="455" t="str">
        <f>Podatak_Ziro_racun_1</f>
        <v>555-007-00215205-80</v>
      </c>
      <c r="K5" s="455"/>
    </row>
    <row r="6" spans="3:13" ht="12.75" customHeight="1" x14ac:dyDescent="0.2">
      <c r="C6" s="16" t="str">
        <f>Zaglavlje_Sifra_djelatnosti</f>
        <v>Šifra djelatnosti:</v>
      </c>
      <c r="D6" s="448" t="str">
        <f>Podatak_Sifra_djelatnosti</f>
        <v>10.20</v>
      </c>
      <c r="E6" s="448"/>
      <c r="F6" s="9"/>
      <c r="J6" s="455" t="str">
        <f>Podatak_Ziro_racun_2</f>
        <v>551-001-00000138-03</v>
      </c>
      <c r="K6" s="455"/>
    </row>
    <row r="7" spans="3:13" ht="12.75" customHeight="1" x14ac:dyDescent="0.2">
      <c r="C7" s="449" t="str">
        <f>Zaglavlje_Naziv_preduzeca</f>
        <v>Naziv privrednog društva, zadruge, drugog pravnog lica ili preduzetnika:</v>
      </c>
      <c r="D7" s="449"/>
      <c r="E7" s="449"/>
      <c r="F7" s="19"/>
      <c r="J7" s="455" t="str">
        <f>Podatak_Ziro_racun_3</f>
        <v>154-560-20018542-14</v>
      </c>
      <c r="K7" s="455"/>
    </row>
    <row r="8" spans="3:13" ht="12.75" customHeight="1" x14ac:dyDescent="0.2">
      <c r="C8" s="449"/>
      <c r="D8" s="449"/>
      <c r="E8" s="449"/>
      <c r="F8" s="19"/>
      <c r="J8" s="455" t="str">
        <f>Podatak_Ziro_racun_4</f>
        <v>567-162-11000878-15</v>
      </c>
      <c r="K8" s="455"/>
    </row>
    <row r="9" spans="3:13" ht="12.75" customHeight="1" x14ac:dyDescent="0.2">
      <c r="C9" s="450" t="str">
        <f>Podatak_Naziv_preduzeca</f>
        <v xml:space="preserve">Fratello Trade a.d. </v>
      </c>
      <c r="D9" s="450"/>
      <c r="E9" s="450"/>
      <c r="F9" s="450"/>
      <c r="J9" s="455" t="str">
        <f>Podatak_Ziro_racun_5</f>
        <v>194-146-03103041-89</v>
      </c>
      <c r="K9" s="455"/>
    </row>
    <row r="10" spans="3:13" ht="12.75" customHeight="1" x14ac:dyDescent="0.2">
      <c r="C10" s="16" t="str">
        <f>Zaglavlje_Sjediste</f>
        <v>Sjedište:</v>
      </c>
      <c r="D10" s="448" t="str">
        <f>Podatak_Sjediste</f>
        <v>Banja Luka</v>
      </c>
      <c r="E10" s="448"/>
      <c r="F10" s="16"/>
      <c r="J10" s="455" t="str">
        <f>Podatak_Ziro_racun_6</f>
        <v>199-056-00543633-54</v>
      </c>
      <c r="K10" s="455"/>
    </row>
    <row r="11" spans="3:13" ht="12.75" customHeight="1" x14ac:dyDescent="0.2">
      <c r="C11" s="16" t="str">
        <f>Zaglavlje_JIB</f>
        <v>JIB:</v>
      </c>
      <c r="D11" s="448" t="str">
        <f>Podatak_JIB</f>
        <v>4400929510006</v>
      </c>
      <c r="E11" s="448"/>
      <c r="F11" s="20"/>
      <c r="G11" s="20"/>
      <c r="H11" s="20"/>
      <c r="I11" s="20"/>
      <c r="J11"/>
      <c r="K11"/>
    </row>
    <row r="12" spans="3:13" ht="15.75" customHeight="1" x14ac:dyDescent="0.2">
      <c r="C12" s="438" t="str">
        <f>IF( Id_Konsolidovani, Nazivi_bilansa_Konsolidovani_naziv &amp; LOWER( Nazivi_bilansa_BUa), Nazivi_bilansa_BUa)</f>
        <v>Bilans uspjeha</v>
      </c>
      <c r="D12" s="438"/>
      <c r="E12" s="438"/>
      <c r="F12" s="438"/>
      <c r="G12" s="438"/>
      <c r="H12" s="438"/>
      <c r="I12" s="438"/>
      <c r="J12" s="438"/>
      <c r="K12" s="438"/>
      <c r="L12" s="54"/>
    </row>
    <row r="13" spans="3:13" ht="12.75" customHeight="1" x14ac:dyDescent="0.2">
      <c r="C13" s="452" t="str">
        <f>Nazivi_bilansa_BUa1</f>
        <v>(Izvještaj o ukupnom rezultatu u periodu)</v>
      </c>
      <c r="D13" s="452"/>
      <c r="E13" s="452"/>
      <c r="F13" s="452"/>
      <c r="G13" s="452"/>
      <c r="H13" s="452"/>
      <c r="I13" s="452"/>
      <c r="J13" s="452"/>
      <c r="K13" s="452"/>
      <c r="L13" s="54"/>
    </row>
    <row r="14" spans="3:13" ht="12.75" customHeight="1" x14ac:dyDescent="0.2">
      <c r="C14" s="452" t="str">
        <f>Datumi_Datum_BU</f>
        <v>za period od 01.01. do 31.12.2021. godine</v>
      </c>
      <c r="D14" s="452"/>
      <c r="E14" s="452"/>
      <c r="F14" s="452"/>
      <c r="G14" s="452"/>
      <c r="H14" s="452"/>
      <c r="I14" s="452"/>
      <c r="J14" s="452"/>
      <c r="K14" s="45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3" t="str">
        <f>Tabele_zaglavlje_Grupa_racuna</f>
        <v>Grupa računa, račun</v>
      </c>
      <c r="D16" s="444" t="str">
        <f>Tabele_zaglavlje_Pozicija</f>
        <v>POZICIJA</v>
      </c>
      <c r="E16" s="444"/>
      <c r="F16" s="444"/>
      <c r="G16" s="444"/>
      <c r="H16" s="444"/>
      <c r="I16" s="456" t="str">
        <f>Tabele_zaglavlje_Oznaka_aop</f>
        <v>Oznaka za AOP</v>
      </c>
      <c r="J16" s="444" t="str">
        <f>Tabele_zaglavlje_Iznos</f>
        <v>Iznos</v>
      </c>
      <c r="K16" s="451"/>
      <c r="M16" s="57"/>
    </row>
    <row r="17" spans="2:15" ht="25.5" customHeight="1" x14ac:dyDescent="0.2">
      <c r="C17" s="454"/>
      <c r="D17" s="445"/>
      <c r="E17" s="445"/>
      <c r="F17" s="445"/>
      <c r="G17" s="445"/>
      <c r="H17" s="445"/>
      <c r="I17" s="45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3" t="s">
        <v>1780</v>
      </c>
    </row>
    <row r="18" spans="2:15" ht="12.75" customHeight="1" x14ac:dyDescent="0.2">
      <c r="B18" s="60" t="s">
        <v>1364</v>
      </c>
      <c r="C18" s="93">
        <v>1</v>
      </c>
      <c r="D18" s="446">
        <v>2</v>
      </c>
      <c r="E18" s="446"/>
      <c r="F18" s="446"/>
      <c r="G18" s="446"/>
      <c r="H18" s="446"/>
      <c r="I18" s="94">
        <v>3</v>
      </c>
      <c r="J18" s="94">
        <v>4</v>
      </c>
      <c r="K18" s="95">
        <v>5</v>
      </c>
    </row>
    <row r="19" spans="2:15" x14ac:dyDescent="0.2">
      <c r="B19" s="17">
        <v>135</v>
      </c>
      <c r="C19" s="273">
        <f>VLOOKUP( $B19, Aop!$A$2:$N$415, 5, 1)</f>
        <v>0</v>
      </c>
      <c r="D19" s="447" t="str">
        <f>VLOOKUP( $B19, Aop!$A$2:$N$415, 6, 1)</f>
        <v>A. POSLOVNI PRIHODI I RASHODI</v>
      </c>
      <c r="E19" s="447"/>
      <c r="F19" s="447"/>
      <c r="G19" s="447"/>
      <c r="H19" s="447"/>
      <c r="I19" s="274">
        <f>VLOOKUP( $B19, Aop!$A$2:$N$415, 4, 1)</f>
        <v>0</v>
      </c>
      <c r="J19" s="97"/>
      <c r="K19" s="98"/>
      <c r="M19" s="60"/>
      <c r="O19" s="281"/>
    </row>
    <row r="20" spans="2:15" x14ac:dyDescent="0.2">
      <c r="B20" s="17">
        <v>136</v>
      </c>
      <c r="C20" s="275">
        <f>VLOOKUP( $B20, Aop!$A$2:$N$415, 5, 1)</f>
        <v>0</v>
      </c>
      <c r="D20" s="441" t="str">
        <f>VLOOKUP( $B20, Aop!$A$2:$N$415, 6, 1)</f>
        <v xml:space="preserve">    I - POSLOVNI PRIHODI (202 + 206 + 210 + 211 - 212 + 213 - 214 + 215)</v>
      </c>
      <c r="E20" s="441"/>
      <c r="F20" s="441"/>
      <c r="G20" s="441"/>
      <c r="H20" s="441"/>
      <c r="I20" s="235">
        <f>VLOOKUP( $B20, Aop!$A$2:$N$415, 4, 1)</f>
        <v>201</v>
      </c>
      <c r="J20" s="33">
        <f>SUBTOTAL( 9, J21:J30, J32, J34) - SUBTOTAL( 9, J31, J33)</f>
        <v>18205944</v>
      </c>
      <c r="K20" s="84">
        <f>SUBTOTAL( 9, K21:K30, K32, K34) - SUBTOTAL( 9, K31, K33)</f>
        <v>12951567</v>
      </c>
      <c r="M20" s="60"/>
      <c r="O20" s="281"/>
    </row>
    <row r="21" spans="2:15" x14ac:dyDescent="0.2">
      <c r="B21" s="17">
        <v>137</v>
      </c>
      <c r="C21" s="279">
        <f>VLOOKUP( $B21, Aop!$A$2:$N$415, 5, 1)</f>
        <v>60</v>
      </c>
      <c r="D21" s="442" t="str">
        <f>VLOOKUP( $B21, Aop!$A$2:$N$415, 6, 1)</f>
        <v xml:space="preserve">      1. Prihodi od prodaje robe (203 do 205)</v>
      </c>
      <c r="E21" s="442"/>
      <c r="F21" s="442"/>
      <c r="G21" s="442"/>
      <c r="H21" s="442"/>
      <c r="I21" s="165">
        <f>VLOOKUP( $B21, Aop!$A$2:$N$415, 4, 1)</f>
        <v>202</v>
      </c>
      <c r="J21" s="200">
        <f>SUBTOTAL( 9, J22:J24)</f>
        <v>10247935</v>
      </c>
      <c r="K21" s="203">
        <f>SUBTOTAL( 9, K22:K24)</f>
        <v>8449026</v>
      </c>
      <c r="M21" s="60"/>
      <c r="O21" s="281"/>
    </row>
    <row r="22" spans="2:15" x14ac:dyDescent="0.2">
      <c r="B22" s="17">
        <v>138</v>
      </c>
      <c r="C22" s="278">
        <f>VLOOKUP( $B22, Aop!$A$2:$N$415, 5, 1)</f>
        <v>600</v>
      </c>
      <c r="D22" s="443" t="str">
        <f>VLOOKUP( $B22, Aop!$A$2:$N$415, 6, 1)</f>
        <v xml:space="preserve">        a) Prihodi od prodaje robe povezanim pravnim licima</v>
      </c>
      <c r="E22" s="443"/>
      <c r="F22" s="443"/>
      <c r="G22" s="443"/>
      <c r="H22" s="443"/>
      <c r="I22" s="167">
        <f>VLOOKUP( $B22, Aop!$A$2:$N$415, 4, 1)</f>
        <v>203</v>
      </c>
      <c r="J22" s="211"/>
      <c r="K22" s="212"/>
      <c r="M22" s="60"/>
      <c r="O22" s="281"/>
    </row>
    <row r="23" spans="2:15" x14ac:dyDescent="0.2">
      <c r="B23" s="17">
        <v>139</v>
      </c>
      <c r="C23" s="279" t="str">
        <f>VLOOKUP( $B23, Aop!$A$2:$N$415, 5, 1)</f>
        <v>601, 602, 603</v>
      </c>
      <c r="D23" s="442" t="str">
        <f>VLOOKUP( $B23, Aop!$A$2:$N$415, 6, 1)</f>
        <v xml:space="preserve">        b) Prihodi od prodaje robe na domaćem tržištu</v>
      </c>
      <c r="E23" s="442"/>
      <c r="F23" s="442"/>
      <c r="G23" s="442"/>
      <c r="H23" s="442"/>
      <c r="I23" s="165">
        <f>VLOOKUP( $B23, Aop!$A$2:$N$415, 4, 1)</f>
        <v>204</v>
      </c>
      <c r="J23" s="213">
        <v>10247935</v>
      </c>
      <c r="K23" s="214">
        <v>8449026</v>
      </c>
      <c r="M23" s="60"/>
      <c r="O23" s="281"/>
    </row>
    <row r="24" spans="2:15" x14ac:dyDescent="0.2">
      <c r="B24" s="17">
        <v>140</v>
      </c>
      <c r="C24" s="278">
        <f>VLOOKUP( $B24, Aop!$A$2:$N$415, 5, 1)</f>
        <v>604</v>
      </c>
      <c r="D24" s="443" t="str">
        <f>VLOOKUP( $B24, Aop!$A$2:$N$415, 6, 1)</f>
        <v xml:space="preserve">        v) Prihodi od prodaje robe na inostranom tržištu</v>
      </c>
      <c r="E24" s="443"/>
      <c r="F24" s="443"/>
      <c r="G24" s="443"/>
      <c r="H24" s="443"/>
      <c r="I24" s="167">
        <f>VLOOKUP( $B24, Aop!$A$2:$N$415, 4, 1)</f>
        <v>205</v>
      </c>
      <c r="J24" s="211"/>
      <c r="K24" s="212"/>
      <c r="M24" s="60"/>
      <c r="O24" s="281"/>
    </row>
    <row r="25" spans="2:15" x14ac:dyDescent="0.2">
      <c r="B25" s="17">
        <v>141</v>
      </c>
      <c r="C25" s="279">
        <f>VLOOKUP( $B25, Aop!$A$2:$N$415, 5, 1)</f>
        <v>61</v>
      </c>
      <c r="D25" s="442" t="str">
        <f>VLOOKUP( $B25, Aop!$A$2:$N$415, 6, 1)</f>
        <v xml:space="preserve">      2. Prihodi od prodaje učinaka (207 do 209)</v>
      </c>
      <c r="E25" s="442"/>
      <c r="F25" s="442"/>
      <c r="G25" s="442"/>
      <c r="H25" s="442"/>
      <c r="I25" s="165">
        <f>VLOOKUP( $B25, Aop!$A$2:$N$415, 4, 1)</f>
        <v>206</v>
      </c>
      <c r="J25" s="200">
        <f>SUBTOTAL( 9, J26:J28)</f>
        <v>7863680</v>
      </c>
      <c r="K25" s="203">
        <f>SUBTOTAL( 9, K26:K28)</f>
        <v>4323028</v>
      </c>
      <c r="M25" s="60"/>
      <c r="O25" s="281"/>
    </row>
    <row r="26" spans="2:15" x14ac:dyDescent="0.2">
      <c r="B26" s="17">
        <v>142</v>
      </c>
      <c r="C26" s="278">
        <f>VLOOKUP( $B26, Aop!$A$2:$N$415, 5, 1)</f>
        <v>610</v>
      </c>
      <c r="D26" s="443" t="str">
        <f>VLOOKUP( $B26, Aop!$A$2:$N$415, 6, 1)</f>
        <v xml:space="preserve">        a) Prihodi od prodaje učinaka povezanim pravnim licima</v>
      </c>
      <c r="E26" s="443"/>
      <c r="F26" s="443"/>
      <c r="G26" s="443"/>
      <c r="H26" s="443"/>
      <c r="I26" s="167">
        <f>VLOOKUP( $B26, Aop!$A$2:$N$415, 4, 1)</f>
        <v>207</v>
      </c>
      <c r="J26" s="211">
        <v>2245016</v>
      </c>
      <c r="K26" s="212">
        <v>1681687</v>
      </c>
      <c r="M26" s="60"/>
      <c r="O26" s="281"/>
    </row>
    <row r="27" spans="2:15" x14ac:dyDescent="0.2">
      <c r="B27" s="17">
        <v>143</v>
      </c>
      <c r="C27" s="279" t="str">
        <f>VLOOKUP( $B27, Aop!$A$2:$N$415, 5, 1)</f>
        <v>611, 612, 613</v>
      </c>
      <c r="D27" s="442" t="str">
        <f>VLOOKUP( $B27, Aop!$A$2:$N$415, 6, 1)</f>
        <v xml:space="preserve">        b) Prihodi od prodaje učinaka na domaćem tržištu</v>
      </c>
      <c r="E27" s="442"/>
      <c r="F27" s="442"/>
      <c r="G27" s="442"/>
      <c r="H27" s="442"/>
      <c r="I27" s="165">
        <f>VLOOKUP( $B27, Aop!$A$2:$N$415, 4, 1)</f>
        <v>208</v>
      </c>
      <c r="J27" s="213">
        <v>274618</v>
      </c>
      <c r="K27" s="214">
        <v>217983</v>
      </c>
      <c r="M27" s="60"/>
      <c r="O27" s="281"/>
    </row>
    <row r="28" spans="2:15" x14ac:dyDescent="0.2">
      <c r="B28" s="17">
        <v>144</v>
      </c>
      <c r="C28" s="278">
        <f>VLOOKUP( $B28, Aop!$A$2:$N$415, 5, 1)</f>
        <v>614</v>
      </c>
      <c r="D28" s="443" t="str">
        <f>VLOOKUP( $B28, Aop!$A$2:$N$415, 6, 1)</f>
        <v xml:space="preserve">        v) Prihodi od prodaje učinaka na inostranom tržištu</v>
      </c>
      <c r="E28" s="443"/>
      <c r="F28" s="443"/>
      <c r="G28" s="443"/>
      <c r="H28" s="443"/>
      <c r="I28" s="167">
        <f>VLOOKUP( $B28, Aop!$A$2:$N$415, 4, 1)</f>
        <v>209</v>
      </c>
      <c r="J28" s="211">
        <v>5344046</v>
      </c>
      <c r="K28" s="212">
        <v>2423358</v>
      </c>
      <c r="M28" s="60"/>
      <c r="O28" s="281"/>
    </row>
    <row r="29" spans="2:15" x14ac:dyDescent="0.2">
      <c r="B29" s="17">
        <v>145</v>
      </c>
      <c r="C29" s="279">
        <f>VLOOKUP( $B29, Aop!$A$2:$N$415, 5, 1)</f>
        <v>62</v>
      </c>
      <c r="D29" s="442" t="str">
        <f>VLOOKUP( $B29, Aop!$A$2:$N$415, 6, 1)</f>
        <v xml:space="preserve">      3. Prihodi od aktiviranja ili potrošnje robe i učinaka</v>
      </c>
      <c r="E29" s="442"/>
      <c r="F29" s="442"/>
      <c r="G29" s="442"/>
      <c r="H29" s="442"/>
      <c r="I29" s="165">
        <f>VLOOKUP( $B29, Aop!$A$2:$N$415, 4, 1)</f>
        <v>210</v>
      </c>
      <c r="J29" s="213"/>
      <c r="K29" s="214"/>
      <c r="M29" s="60"/>
      <c r="O29" s="281"/>
    </row>
    <row r="30" spans="2:15" x14ac:dyDescent="0.2">
      <c r="B30" s="17">
        <v>146</v>
      </c>
      <c r="C30" s="278">
        <f>VLOOKUP( $B30, Aop!$A$2:$N$415, 5, 1)</f>
        <v>630</v>
      </c>
      <c r="D30" s="443" t="str">
        <f>VLOOKUP( $B30, Aop!$A$2:$N$415, 6, 1)</f>
        <v xml:space="preserve">      4. Povećanje vrijednosti zaliha učinaka</v>
      </c>
      <c r="E30" s="443"/>
      <c r="F30" s="443"/>
      <c r="G30" s="443"/>
      <c r="H30" s="443"/>
      <c r="I30" s="167">
        <f>VLOOKUP( $B30, Aop!$A$2:$N$415, 4, 1)</f>
        <v>211</v>
      </c>
      <c r="J30" s="211">
        <v>34671</v>
      </c>
      <c r="K30" s="212">
        <v>38539</v>
      </c>
      <c r="M30" s="60"/>
      <c r="O30" s="281"/>
    </row>
    <row r="31" spans="2:15" x14ac:dyDescent="0.2">
      <c r="B31" s="17">
        <v>147</v>
      </c>
      <c r="C31" s="279">
        <f>VLOOKUP( $B31, Aop!$A$2:$N$415, 5, 1)</f>
        <v>631</v>
      </c>
      <c r="D31" s="442" t="str">
        <f>VLOOKUP( $B31, Aop!$A$2:$N$415, 6, 1)</f>
        <v xml:space="preserve">      5. Smanjenje vrijednosti zaliha učinaka</v>
      </c>
      <c r="E31" s="442"/>
      <c r="F31" s="442"/>
      <c r="G31" s="442"/>
      <c r="H31" s="442"/>
      <c r="I31" s="165">
        <f>VLOOKUP( $B31, Aop!$A$2:$N$415, 4, 1)</f>
        <v>212</v>
      </c>
      <c r="J31" s="213">
        <v>62258</v>
      </c>
      <c r="K31" s="214">
        <v>25065</v>
      </c>
      <c r="M31" s="60"/>
      <c r="O31" s="281"/>
    </row>
    <row r="32" spans="2:15" x14ac:dyDescent="0.2">
      <c r="B32" s="17">
        <v>148</v>
      </c>
      <c r="C32" s="278" t="str">
        <f>VLOOKUP( $B32, Aop!$A$2:$N$415, 5, 1)</f>
        <v>640, 641</v>
      </c>
      <c r="D32" s="443" t="str">
        <f>VLOOKUP( $B32, Aop!$A$2:$N$415, 6, 1)</f>
        <v xml:space="preserve">      6. Povećanje vrijednosti investicionih nekretnina i bioloških sredstava koja se ne amortizuju</v>
      </c>
      <c r="E32" s="443"/>
      <c r="F32" s="443"/>
      <c r="G32" s="443"/>
      <c r="H32" s="443"/>
      <c r="I32" s="167">
        <f>VLOOKUP( $B32, Aop!$A$2:$N$415, 4, 1)</f>
        <v>213</v>
      </c>
      <c r="J32" s="211"/>
      <c r="K32" s="212"/>
      <c r="M32" s="60"/>
      <c r="O32" s="281"/>
    </row>
    <row r="33" spans="2:15" x14ac:dyDescent="0.2">
      <c r="B33" s="17">
        <v>149</v>
      </c>
      <c r="C33" s="279" t="str">
        <f>VLOOKUP( $B33, Aop!$A$2:$N$415, 5, 1)</f>
        <v>642, 643</v>
      </c>
      <c r="D33" s="442" t="str">
        <f>VLOOKUP( $B33, Aop!$A$2:$N$415, 6, 1)</f>
        <v xml:space="preserve">      7. Smanjenje vrijednosti investicionih nekretnina i bioloških sredstava koja se ne amortizuju</v>
      </c>
      <c r="E33" s="442"/>
      <c r="F33" s="442"/>
      <c r="G33" s="442"/>
      <c r="H33" s="442"/>
      <c r="I33" s="165">
        <f>VLOOKUP( $B33, Aop!$A$2:$N$415, 4, 1)</f>
        <v>214</v>
      </c>
      <c r="J33" s="213"/>
      <c r="K33" s="214"/>
      <c r="M33" s="60"/>
      <c r="O33" s="281"/>
    </row>
    <row r="34" spans="2:15" x14ac:dyDescent="0.2">
      <c r="B34" s="17">
        <v>150</v>
      </c>
      <c r="C34" s="278" t="str">
        <f>VLOOKUP( $B34, Aop!$A$2:$N$415, 5, 1)</f>
        <v>650 do 659</v>
      </c>
      <c r="D34" s="443" t="str">
        <f>VLOOKUP( $B34, Aop!$A$2:$N$415, 6, 1)</f>
        <v xml:space="preserve">      8. Ostali poslovni prihodi</v>
      </c>
      <c r="E34" s="443"/>
      <c r="F34" s="443"/>
      <c r="G34" s="443"/>
      <c r="H34" s="443"/>
      <c r="I34" s="167">
        <f>VLOOKUP( $B34, Aop!$A$2:$N$415, 4, 1)</f>
        <v>215</v>
      </c>
      <c r="J34" s="211">
        <v>121916</v>
      </c>
      <c r="K34" s="212">
        <v>166039</v>
      </c>
      <c r="M34" s="60"/>
      <c r="O34" s="281"/>
    </row>
    <row r="35" spans="2:15" x14ac:dyDescent="0.2">
      <c r="B35" s="17">
        <v>151</v>
      </c>
      <c r="C35" s="276">
        <f>VLOOKUP( $B35, Aop!$A$2:$N$415, 5, 1)</f>
        <v>0</v>
      </c>
      <c r="D35" s="440" t="str">
        <f>VLOOKUP( $B35, Aop!$A$2:$N$415, 6, 1)</f>
        <v xml:space="preserve">    II - POSLOVNI RASHODI (217 + 218 + 219 + 222 + 223 + 226 + 227 + 228)</v>
      </c>
      <c r="E35" s="440"/>
      <c r="F35" s="440"/>
      <c r="G35" s="440"/>
      <c r="H35" s="440"/>
      <c r="I35" s="233">
        <f>VLOOKUP( $B35, Aop!$A$2:$N$415, 4, 1)</f>
        <v>216</v>
      </c>
      <c r="J35" s="35">
        <f>SUBTOTAL( 9, J36:J47)</f>
        <v>17530682</v>
      </c>
      <c r="K35" s="87">
        <f>SUBTOTAL( 9, K36:K47)</f>
        <v>12775430</v>
      </c>
      <c r="M35" s="60"/>
      <c r="O35" s="281"/>
    </row>
    <row r="36" spans="2:15" x14ac:dyDescent="0.2">
      <c r="B36" s="17">
        <v>152</v>
      </c>
      <c r="C36" s="278" t="str">
        <f>VLOOKUP( $B36, Aop!$A$2:$N$415, 5, 1)</f>
        <v>500 do 502</v>
      </c>
      <c r="D36" s="443" t="str">
        <f>VLOOKUP( $B36, Aop!$A$2:$N$415, 6, 1)</f>
        <v xml:space="preserve">      1. Nabavna vrijednost prodate robe</v>
      </c>
      <c r="E36" s="443"/>
      <c r="F36" s="443"/>
      <c r="G36" s="443"/>
      <c r="H36" s="443"/>
      <c r="I36" s="167">
        <f>VLOOKUP( $B36, Aop!$A$2:$N$415, 4, 1)</f>
        <v>217</v>
      </c>
      <c r="J36" s="211">
        <v>7162580</v>
      </c>
      <c r="K36" s="212">
        <v>6268215</v>
      </c>
      <c r="M36" s="60"/>
      <c r="O36" s="281"/>
    </row>
    <row r="37" spans="2:15" x14ac:dyDescent="0.2">
      <c r="B37" s="17">
        <v>153</v>
      </c>
      <c r="C37" s="279" t="str">
        <f>VLOOKUP( $B37, Aop!$A$2:$N$415, 5, 1)</f>
        <v>510 do 513</v>
      </c>
      <c r="D37" s="442" t="str">
        <f>VLOOKUP( $B37, Aop!$A$2:$N$415, 6, 1)</f>
        <v xml:space="preserve">      2. Troškovi materijala</v>
      </c>
      <c r="E37" s="442"/>
      <c r="F37" s="442"/>
      <c r="G37" s="442"/>
      <c r="H37" s="442"/>
      <c r="I37" s="165">
        <f>VLOOKUP( $B37, Aop!$A$2:$N$415, 4, 1)</f>
        <v>218</v>
      </c>
      <c r="J37" s="213">
        <v>8099058</v>
      </c>
      <c r="K37" s="214">
        <v>4521671</v>
      </c>
      <c r="M37" s="60"/>
      <c r="O37" s="281"/>
    </row>
    <row r="38" spans="2:15" x14ac:dyDescent="0.2">
      <c r="B38" s="17">
        <v>154</v>
      </c>
      <c r="C38" s="278">
        <f>VLOOKUP( $B38, Aop!$A$2:$N$415, 5, 1)</f>
        <v>52</v>
      </c>
      <c r="D38" s="443" t="str">
        <f>VLOOKUP( $B38, Aop!$A$2:$N$415, 6, 1)</f>
        <v xml:space="preserve">      3. Troškovi zarada, naknada zarada i ostalih ličnih rashoda (220 + 221)</v>
      </c>
      <c r="E38" s="443"/>
      <c r="F38" s="443"/>
      <c r="G38" s="443"/>
      <c r="H38" s="443"/>
      <c r="I38" s="167">
        <f>VLOOKUP( $B38, Aop!$A$2:$N$415, 4, 1)</f>
        <v>219</v>
      </c>
      <c r="J38" s="201">
        <f>SUBTOTAL( 9, J39:J40)</f>
        <v>1370879</v>
      </c>
      <c r="K38" s="202">
        <f>SUBTOTAL( 9, K39:K40)</f>
        <v>1168194</v>
      </c>
      <c r="M38" s="60"/>
      <c r="O38" s="281"/>
    </row>
    <row r="39" spans="2:15" x14ac:dyDescent="0.2">
      <c r="B39" s="17">
        <v>155</v>
      </c>
      <c r="C39" s="279" t="str">
        <f>VLOOKUP( $B39, Aop!$A$2:$N$415, 5, 1)</f>
        <v>520 do 523</v>
      </c>
      <c r="D39" s="442" t="str">
        <f>VLOOKUP( $B39, Aop!$A$2:$N$415, 6, 1)</f>
        <v xml:space="preserve">        a) Troškovi bruto zarada i bruto naknada zarada</v>
      </c>
      <c r="E39" s="442"/>
      <c r="F39" s="442"/>
      <c r="G39" s="442"/>
      <c r="H39" s="442"/>
      <c r="I39" s="165">
        <f>VLOOKUP( $B39, Aop!$A$2:$N$415, 4, 1)</f>
        <v>220</v>
      </c>
      <c r="J39" s="213">
        <v>1097643</v>
      </c>
      <c r="K39" s="214">
        <v>970148</v>
      </c>
      <c r="M39" s="60"/>
      <c r="O39" s="281"/>
    </row>
    <row r="40" spans="2:15" x14ac:dyDescent="0.2">
      <c r="B40" s="17">
        <v>156</v>
      </c>
      <c r="C40" s="278" t="str">
        <f>VLOOKUP( $B40, Aop!$A$2:$N$415, 5, 1)</f>
        <v>524 do 529</v>
      </c>
      <c r="D40" s="443" t="str">
        <f>VLOOKUP( $B40, Aop!$A$2:$N$415, 6, 1)</f>
        <v xml:space="preserve">        b) Ostali lični rashodi</v>
      </c>
      <c r="E40" s="443"/>
      <c r="F40" s="443"/>
      <c r="G40" s="443"/>
      <c r="H40" s="443"/>
      <c r="I40" s="167">
        <f>VLOOKUP( $B40, Aop!$A$2:$N$415, 4, 1)</f>
        <v>221</v>
      </c>
      <c r="J40" s="211">
        <v>273236</v>
      </c>
      <c r="K40" s="212">
        <v>198046</v>
      </c>
      <c r="M40" s="60"/>
      <c r="O40" s="281"/>
    </row>
    <row r="41" spans="2:15" x14ac:dyDescent="0.2">
      <c r="B41" s="17">
        <v>157</v>
      </c>
      <c r="C41" s="279" t="str">
        <f>VLOOKUP( $B41, Aop!$A$2:$N$415, 5, 1)</f>
        <v>530 do 539</v>
      </c>
      <c r="D41" s="442" t="str">
        <f>VLOOKUP( $B41, Aop!$A$2:$N$415, 6, 1)</f>
        <v xml:space="preserve">      4. Troškovi proizvodnih usluga</v>
      </c>
      <c r="E41" s="442"/>
      <c r="F41" s="442"/>
      <c r="G41" s="442"/>
      <c r="H41" s="442"/>
      <c r="I41" s="165">
        <f>VLOOKUP( $B41, Aop!$A$2:$N$415, 4, 1)</f>
        <v>222</v>
      </c>
      <c r="J41" s="213">
        <v>392323</v>
      </c>
      <c r="K41" s="214">
        <v>340467</v>
      </c>
      <c r="M41" s="60"/>
      <c r="O41" s="281"/>
    </row>
    <row r="42" spans="2:15" x14ac:dyDescent="0.2">
      <c r="B42" s="17">
        <v>158</v>
      </c>
      <c r="C42" s="278">
        <f>VLOOKUP( $B42, Aop!$A$2:$N$415, 5, 1)</f>
        <v>54</v>
      </c>
      <c r="D42" s="443" t="str">
        <f>VLOOKUP( $B42, Aop!$A$2:$N$415, 6, 1)</f>
        <v xml:space="preserve">      5. Troškovi amortizacije i rezervisanja (224 + 225)</v>
      </c>
      <c r="E42" s="443"/>
      <c r="F42" s="443"/>
      <c r="G42" s="443"/>
      <c r="H42" s="443"/>
      <c r="I42" s="167">
        <f>VLOOKUP( $B42, Aop!$A$2:$N$415, 4, 1)</f>
        <v>223</v>
      </c>
      <c r="J42" s="201">
        <f>SUBTOTAL( 9, J43:J44)</f>
        <v>304222</v>
      </c>
      <c r="K42" s="202">
        <f>SUBTOTAL( 9, K43:K44)</f>
        <v>290461</v>
      </c>
      <c r="M42" s="60"/>
      <c r="O42" s="281"/>
    </row>
    <row r="43" spans="2:15" x14ac:dyDescent="0.2">
      <c r="B43" s="17">
        <v>159</v>
      </c>
      <c r="C43" s="279">
        <f>VLOOKUP( $B43, Aop!$A$2:$N$415, 5, 1)</f>
        <v>540</v>
      </c>
      <c r="D43" s="442" t="str">
        <f>VLOOKUP( $B43, Aop!$A$2:$N$415, 6, 1)</f>
        <v xml:space="preserve">        a) Troškovi amortizacije</v>
      </c>
      <c r="E43" s="442"/>
      <c r="F43" s="442"/>
      <c r="G43" s="442"/>
      <c r="H43" s="442"/>
      <c r="I43" s="165">
        <f>VLOOKUP( $B43, Aop!$A$2:$N$415, 4, 1)</f>
        <v>224</v>
      </c>
      <c r="J43" s="213">
        <v>304222</v>
      </c>
      <c r="K43" s="214">
        <v>290461</v>
      </c>
      <c r="M43" s="60"/>
      <c r="O43" s="281"/>
    </row>
    <row r="44" spans="2:15" x14ac:dyDescent="0.2">
      <c r="B44" s="17">
        <v>160</v>
      </c>
      <c r="C44" s="278">
        <f>VLOOKUP( $B44, Aop!$A$2:$N$415, 5, 1)</f>
        <v>541</v>
      </c>
      <c r="D44" s="443" t="str">
        <f>VLOOKUP( $B44, Aop!$A$2:$N$415, 6, 1)</f>
        <v xml:space="preserve">        b) Troškovi rezervisanja</v>
      </c>
      <c r="E44" s="443"/>
      <c r="F44" s="443"/>
      <c r="G44" s="443"/>
      <c r="H44" s="443"/>
      <c r="I44" s="167">
        <f>VLOOKUP( $B44, Aop!$A$2:$N$415, 4, 1)</f>
        <v>225</v>
      </c>
      <c r="J44" s="211"/>
      <c r="K44" s="212"/>
      <c r="M44" s="60"/>
      <c r="O44" s="281"/>
    </row>
    <row r="45" spans="2:15" x14ac:dyDescent="0.2">
      <c r="B45" s="17">
        <v>161</v>
      </c>
      <c r="C45" s="279" t="str">
        <f>VLOOKUP( $B45, Aop!$A$2:$N$415, 5, 1)</f>
        <v>55, osim 555 i 556</v>
      </c>
      <c r="D45" s="442" t="str">
        <f>VLOOKUP( $B45, Aop!$A$2:$N$415, 6, 1)</f>
        <v xml:space="preserve">      6. Nematerijalni troškovi (bez poreza i doprinosa)</v>
      </c>
      <c r="E45" s="442"/>
      <c r="F45" s="442"/>
      <c r="G45" s="442"/>
      <c r="H45" s="442"/>
      <c r="I45" s="165">
        <f>VLOOKUP( $B45, Aop!$A$2:$N$415, 4, 1)</f>
        <v>226</v>
      </c>
      <c r="J45" s="213">
        <v>176815</v>
      </c>
      <c r="K45" s="214">
        <v>164269</v>
      </c>
      <c r="M45" s="60"/>
      <c r="O45" s="281"/>
    </row>
    <row r="46" spans="2:15" x14ac:dyDescent="0.2">
      <c r="B46" s="17">
        <v>162</v>
      </c>
      <c r="C46" s="278">
        <f>VLOOKUP( $B46, Aop!$A$2:$N$415, 5, 1)</f>
        <v>555</v>
      </c>
      <c r="D46" s="443" t="str">
        <f>VLOOKUP( $B46, Aop!$A$2:$N$415, 6, 1)</f>
        <v xml:space="preserve">      7. Troškovi poreza</v>
      </c>
      <c r="E46" s="443"/>
      <c r="F46" s="443"/>
      <c r="G46" s="443"/>
      <c r="H46" s="443"/>
      <c r="I46" s="167">
        <f>VLOOKUP( $B46, Aop!$A$2:$N$415, 4, 1)</f>
        <v>227</v>
      </c>
      <c r="J46" s="211">
        <v>23711</v>
      </c>
      <c r="K46" s="212">
        <v>21176</v>
      </c>
      <c r="M46" s="60"/>
      <c r="O46" s="281"/>
    </row>
    <row r="47" spans="2:15" x14ac:dyDescent="0.2">
      <c r="B47" s="17">
        <v>163</v>
      </c>
      <c r="C47" s="279">
        <f>VLOOKUP( $B47, Aop!$A$2:$N$415, 5, 1)</f>
        <v>556</v>
      </c>
      <c r="D47" s="442" t="str">
        <f>VLOOKUP( $B47, Aop!$A$2:$N$415, 6, 1)</f>
        <v xml:space="preserve">      8. Troškovi doprinosa</v>
      </c>
      <c r="E47" s="442"/>
      <c r="F47" s="442"/>
      <c r="G47" s="442"/>
      <c r="H47" s="442"/>
      <c r="I47" s="165">
        <f>VLOOKUP( $B47, Aop!$A$2:$N$415, 4, 1)</f>
        <v>228</v>
      </c>
      <c r="J47" s="213">
        <v>1094</v>
      </c>
      <c r="K47" s="214">
        <v>977</v>
      </c>
      <c r="M47" s="60"/>
      <c r="O47" s="281"/>
    </row>
    <row r="48" spans="2:15" x14ac:dyDescent="0.2">
      <c r="B48" s="17">
        <v>164</v>
      </c>
      <c r="C48" s="275">
        <f>VLOOKUP( $B48, Aop!$A$2:$N$415, 5, 1)</f>
        <v>0</v>
      </c>
      <c r="D48" s="441" t="str">
        <f>VLOOKUP( $B48, Aop!$A$2:$N$415, 6, 1)</f>
        <v xml:space="preserve">  B. POSLOVNI DOBITAK (201 - 216)</v>
      </c>
      <c r="E48" s="441"/>
      <c r="F48" s="441"/>
      <c r="G48" s="441"/>
      <c r="H48" s="441"/>
      <c r="I48" s="235">
        <f>VLOOKUP( $B48, Aop!$A$2:$N$415, 4, 1)</f>
        <v>229</v>
      </c>
      <c r="J48" s="33">
        <f>IF( SUBTOTAL( 9, J20:J30, J32, J34) - SUBTOTAL( 9, J31, J33, J35:J47) &lt;= 0, 0, ABS( SUBTOTAL( 9, J20:J30, J32, J34) - SUBTOTAL( 9, J31, J33, J35:J47)) )</f>
        <v>675262</v>
      </c>
      <c r="K48" s="84">
        <f>IF( SUBTOTAL( 9, K20:K30, K32, K34) - SUBTOTAL( 9, K31, K33, K35:K47) &lt;= 0, 0, ABS( SUBTOTAL( 9, K20:K30, K32, K34) - SUBTOTAL( 9, K31, K33, K35:K47)) )</f>
        <v>176137</v>
      </c>
      <c r="M48" s="60"/>
      <c r="O48" s="281"/>
    </row>
    <row r="49" spans="2:15" x14ac:dyDescent="0.2">
      <c r="B49" s="17">
        <v>165</v>
      </c>
      <c r="C49" s="276">
        <f>VLOOKUP( $B49, Aop!$A$2:$N$415, 5, 1)</f>
        <v>0</v>
      </c>
      <c r="D49" s="440" t="str">
        <f>VLOOKUP( $B49, Aop!$A$2:$N$415, 6, 1)</f>
        <v xml:space="preserve">  V. POSLOVNI GUBITAK (216 - 201)</v>
      </c>
      <c r="E49" s="440"/>
      <c r="F49" s="440"/>
      <c r="G49" s="440"/>
      <c r="H49" s="440"/>
      <c r="I49" s="233">
        <f>VLOOKUP( $B49, Aop!$A$2:$N$415, 4, 1)</f>
        <v>230</v>
      </c>
      <c r="J49" s="35">
        <f>IF( SUBTOTAL( 9, J20:J30, J32, J34) - SUBTOTAL( 9, J31, J33, J35:J47) &gt;= 0, 0, ABS( SUBTOTAL( 9, J20:J30, J32, J34) - SUBTOTAL( 9, J31, J33, J35:J47)) )</f>
        <v>0</v>
      </c>
      <c r="K49" s="87">
        <f>IF( SUBTOTAL( 9, K20:K30, K32, K34) - SUBTOTAL( 9, K31, K33, K35:K47) &gt;= 0, 0, ABS( SUBTOTAL( 9, K20:K30, K32, K34) - SUBTOTAL( 9, K31, K33, K35:K47)) )</f>
        <v>0</v>
      </c>
      <c r="M49" s="60"/>
      <c r="O49" s="281"/>
    </row>
    <row r="50" spans="2:15" x14ac:dyDescent="0.2">
      <c r="B50" s="17">
        <v>166</v>
      </c>
      <c r="C50" s="275">
        <f>VLOOKUP( $B50, Aop!$A$2:$N$415, 5, 1)</f>
        <v>0</v>
      </c>
      <c r="D50" s="441" t="str">
        <f>VLOOKUP( $B50, Aop!$A$2:$N$415, 6, 1)</f>
        <v>G. FINANSIJSKI PRIHODI I RASHODI</v>
      </c>
      <c r="E50" s="441"/>
      <c r="F50" s="441"/>
      <c r="G50" s="441"/>
      <c r="H50" s="441"/>
      <c r="I50" s="235">
        <f>VLOOKUP( $B50, Aop!$A$2:$N$415, 4, 1)</f>
        <v>0</v>
      </c>
      <c r="J50" s="33"/>
      <c r="K50" s="84"/>
      <c r="M50" s="60"/>
      <c r="O50" s="281"/>
    </row>
    <row r="51" spans="2:15" x14ac:dyDescent="0.2">
      <c r="B51" s="17">
        <v>167</v>
      </c>
      <c r="C51" s="276">
        <f>VLOOKUP( $B51, Aop!$A$2:$N$415, 5, 1)</f>
        <v>66</v>
      </c>
      <c r="D51" s="440" t="str">
        <f>VLOOKUP( $B51, Aop!$A$2:$N$415, 6, 1)</f>
        <v xml:space="preserve">    I - FINANSIJSKI PRIHODI (232 do 237)</v>
      </c>
      <c r="E51" s="440"/>
      <c r="F51" s="440"/>
      <c r="G51" s="440"/>
      <c r="H51" s="440"/>
      <c r="I51" s="233">
        <f>VLOOKUP( $B51, Aop!$A$2:$N$415, 4, 1)</f>
        <v>231</v>
      </c>
      <c r="J51" s="35">
        <f>SUBTOTAL( 9, J52:J57)</f>
        <v>58280</v>
      </c>
      <c r="K51" s="87">
        <f>SUBTOTAL( 9, K52:K57)</f>
        <v>4077</v>
      </c>
      <c r="M51" s="60"/>
      <c r="O51" s="281"/>
    </row>
    <row r="52" spans="2:15" x14ac:dyDescent="0.2">
      <c r="B52" s="17">
        <v>168</v>
      </c>
      <c r="C52" s="278">
        <f>VLOOKUP( $B52, Aop!$A$2:$N$415, 5, 1)</f>
        <v>660</v>
      </c>
      <c r="D52" s="443" t="str">
        <f>VLOOKUP( $B52, Aop!$A$2:$N$415, 6, 1)</f>
        <v xml:space="preserve">      1. Finansijski prihodi od povezanih pravnih lica</v>
      </c>
      <c r="E52" s="443"/>
      <c r="F52" s="443"/>
      <c r="G52" s="443"/>
      <c r="H52" s="443"/>
      <c r="I52" s="167">
        <f>VLOOKUP( $B52, Aop!$A$2:$N$415, 4, 1)</f>
        <v>232</v>
      </c>
      <c r="J52" s="211">
        <v>58280</v>
      </c>
      <c r="K52" s="212"/>
      <c r="M52" s="60"/>
      <c r="O52" s="281"/>
    </row>
    <row r="53" spans="2:15" x14ac:dyDescent="0.2">
      <c r="B53" s="17">
        <v>169</v>
      </c>
      <c r="C53" s="279">
        <f>VLOOKUP( $B53, Aop!$A$2:$N$415, 5, 1)</f>
        <v>661</v>
      </c>
      <c r="D53" s="442" t="str">
        <f>VLOOKUP( $B53, Aop!$A$2:$N$415, 6, 1)</f>
        <v xml:space="preserve">      2. Prihodi od kamata</v>
      </c>
      <c r="E53" s="442"/>
      <c r="F53" s="442"/>
      <c r="G53" s="442"/>
      <c r="H53" s="442"/>
      <c r="I53" s="165">
        <f>VLOOKUP( $B53, Aop!$A$2:$N$415, 4, 1)</f>
        <v>233</v>
      </c>
      <c r="J53" s="213"/>
      <c r="K53" s="214"/>
      <c r="M53" s="60"/>
      <c r="O53" s="281"/>
    </row>
    <row r="54" spans="2:15" x14ac:dyDescent="0.2">
      <c r="B54" s="17">
        <v>170</v>
      </c>
      <c r="C54" s="278">
        <f>VLOOKUP( $B54, Aop!$A$2:$N$415, 5, 1)</f>
        <v>662</v>
      </c>
      <c r="D54" s="443" t="str">
        <f>VLOOKUP( $B54, Aop!$A$2:$N$415, 6, 1)</f>
        <v xml:space="preserve">      3. Pozitivne kursne razlike</v>
      </c>
      <c r="E54" s="443"/>
      <c r="F54" s="443"/>
      <c r="G54" s="443"/>
      <c r="H54" s="443"/>
      <c r="I54" s="167">
        <f>VLOOKUP( $B54, Aop!$A$2:$N$415, 4, 1)</f>
        <v>234</v>
      </c>
      <c r="J54" s="211"/>
      <c r="K54" s="212">
        <v>4077</v>
      </c>
      <c r="M54" s="60"/>
      <c r="O54" s="281"/>
    </row>
    <row r="55" spans="2:15" x14ac:dyDescent="0.2">
      <c r="B55" s="17">
        <v>171</v>
      </c>
      <c r="C55" s="279">
        <f>VLOOKUP( $B55, Aop!$A$2:$N$415, 5, 1)</f>
        <v>663</v>
      </c>
      <c r="D55" s="442" t="str">
        <f>VLOOKUP( $B55, Aop!$A$2:$N$415, 6, 1)</f>
        <v xml:space="preserve">      4. Prihodi od efekata valutne klauzule</v>
      </c>
      <c r="E55" s="442"/>
      <c r="F55" s="442"/>
      <c r="G55" s="442"/>
      <c r="H55" s="442"/>
      <c r="I55" s="165">
        <f>VLOOKUP( $B55, Aop!$A$2:$N$415, 4, 1)</f>
        <v>235</v>
      </c>
      <c r="J55" s="213"/>
      <c r="K55" s="214"/>
      <c r="M55" s="60"/>
      <c r="O55" s="281"/>
    </row>
    <row r="56" spans="2:15" x14ac:dyDescent="0.2">
      <c r="B56" s="17">
        <v>172</v>
      </c>
      <c r="C56" s="278">
        <f>VLOOKUP( $B56, Aop!$A$2:$N$415, 5, 1)</f>
        <v>664</v>
      </c>
      <c r="D56" s="443" t="str">
        <f>VLOOKUP( $B56, Aop!$A$2:$N$415, 6, 1)</f>
        <v xml:space="preserve">      5. Prihodi od učešća u dobitku zajedničkih ulaganja</v>
      </c>
      <c r="E56" s="443"/>
      <c r="F56" s="443"/>
      <c r="G56" s="443"/>
      <c r="H56" s="443"/>
      <c r="I56" s="167">
        <f>VLOOKUP( $B56, Aop!$A$2:$N$415, 4, 1)</f>
        <v>236</v>
      </c>
      <c r="J56" s="211"/>
      <c r="K56" s="212"/>
      <c r="M56" s="60"/>
      <c r="O56" s="281"/>
    </row>
    <row r="57" spans="2:15" x14ac:dyDescent="0.2">
      <c r="B57" s="17">
        <v>173</v>
      </c>
      <c r="C57" s="279">
        <f>VLOOKUP( $B57, Aop!$A$2:$N$415, 5, 1)</f>
        <v>669</v>
      </c>
      <c r="D57" s="442" t="str">
        <f>VLOOKUP( $B57, Aop!$A$2:$N$415, 6, 1)</f>
        <v xml:space="preserve">      6. Ostali finansijski prihodi</v>
      </c>
      <c r="E57" s="442"/>
      <c r="F57" s="442"/>
      <c r="G57" s="442"/>
      <c r="H57" s="442"/>
      <c r="I57" s="165">
        <f>VLOOKUP( $B57, Aop!$A$2:$N$415, 4, 1)</f>
        <v>237</v>
      </c>
      <c r="J57" s="213"/>
      <c r="K57" s="214"/>
      <c r="M57" s="60"/>
      <c r="O57" s="281"/>
    </row>
    <row r="58" spans="2:15" x14ac:dyDescent="0.2">
      <c r="B58" s="17">
        <v>174</v>
      </c>
      <c r="C58" s="275">
        <f>VLOOKUP( $B58, Aop!$A$2:$N$415, 5, 1)</f>
        <v>56</v>
      </c>
      <c r="D58" s="441" t="str">
        <f>VLOOKUP( $B58, Aop!$A$2:$N$415, 6, 1)</f>
        <v xml:space="preserve">    II - FINANSIJSKI RASHODI (239 do 243)</v>
      </c>
      <c r="E58" s="441"/>
      <c r="F58" s="441"/>
      <c r="G58" s="441"/>
      <c r="H58" s="441"/>
      <c r="I58" s="235">
        <f>VLOOKUP( $B58, Aop!$A$2:$N$415, 4, 1)</f>
        <v>238</v>
      </c>
      <c r="J58" s="33">
        <f>SUBTOTAL( 9, J59:J63)</f>
        <v>112454</v>
      </c>
      <c r="K58" s="84">
        <f>SUBTOTAL( 9, K59:K63)</f>
        <v>137533</v>
      </c>
      <c r="M58" s="60"/>
      <c r="O58" s="281"/>
    </row>
    <row r="59" spans="2:15" x14ac:dyDescent="0.2">
      <c r="B59" s="17">
        <v>175</v>
      </c>
      <c r="C59" s="279">
        <f>VLOOKUP( $B59, Aop!$A$2:$N$415, 5, 1)</f>
        <v>560</v>
      </c>
      <c r="D59" s="442" t="str">
        <f>VLOOKUP( $B59, Aop!$A$2:$N$415, 6, 1)</f>
        <v xml:space="preserve">      1. Finansijski rashodi po osnovu odnosa povezanih pravnih lica</v>
      </c>
      <c r="E59" s="442"/>
      <c r="F59" s="442"/>
      <c r="G59" s="442"/>
      <c r="H59" s="442"/>
      <c r="I59" s="165">
        <f>VLOOKUP( $B59, Aop!$A$2:$N$415, 4, 1)</f>
        <v>239</v>
      </c>
      <c r="J59" s="213"/>
      <c r="K59" s="214"/>
      <c r="M59" s="60"/>
      <c r="O59" s="281"/>
    </row>
    <row r="60" spans="2:15" x14ac:dyDescent="0.2">
      <c r="B60" s="17">
        <v>176</v>
      </c>
      <c r="C60" s="278">
        <f>VLOOKUP( $B60, Aop!$A$2:$N$415, 5, 1)</f>
        <v>561</v>
      </c>
      <c r="D60" s="443" t="str">
        <f>VLOOKUP( $B60, Aop!$A$2:$N$415, 6, 1)</f>
        <v xml:space="preserve">      2. Rashodi kamata</v>
      </c>
      <c r="E60" s="443"/>
      <c r="F60" s="443"/>
      <c r="G60" s="443"/>
      <c r="H60" s="443"/>
      <c r="I60" s="167">
        <f>VLOOKUP( $B60, Aop!$A$2:$N$415, 4, 1)</f>
        <v>240</v>
      </c>
      <c r="J60" s="211">
        <v>104262</v>
      </c>
      <c r="K60" s="212">
        <v>125291</v>
      </c>
      <c r="M60" s="60"/>
      <c r="O60" s="281"/>
    </row>
    <row r="61" spans="2:15" x14ac:dyDescent="0.2">
      <c r="B61" s="17">
        <v>177</v>
      </c>
      <c r="C61" s="279">
        <f>VLOOKUP( $B61, Aop!$A$2:$N$415, 5, 1)</f>
        <v>562</v>
      </c>
      <c r="D61" s="442" t="str">
        <f>VLOOKUP( $B61, Aop!$A$2:$N$415, 6, 1)</f>
        <v xml:space="preserve">      3. Negativne kursne razlike</v>
      </c>
      <c r="E61" s="442"/>
      <c r="F61" s="442"/>
      <c r="G61" s="442"/>
      <c r="H61" s="442"/>
      <c r="I61" s="165">
        <f>VLOOKUP( $B61, Aop!$A$2:$N$415, 4, 1)</f>
        <v>241</v>
      </c>
      <c r="J61" s="213">
        <v>8192</v>
      </c>
      <c r="K61" s="214">
        <v>12242</v>
      </c>
      <c r="M61" s="60"/>
      <c r="O61" s="281"/>
    </row>
    <row r="62" spans="2:15" x14ac:dyDescent="0.2">
      <c r="B62" s="17">
        <v>178</v>
      </c>
      <c r="C62" s="278">
        <f>VLOOKUP( $B62, Aop!$A$2:$N$415, 5, 1)</f>
        <v>563</v>
      </c>
      <c r="D62" s="443" t="str">
        <f>VLOOKUP( $B62, Aop!$A$2:$N$415, 6, 1)</f>
        <v xml:space="preserve">      4. Rashodi po osnovu valutne klauzule</v>
      </c>
      <c r="E62" s="443"/>
      <c r="F62" s="443"/>
      <c r="G62" s="443"/>
      <c r="H62" s="443"/>
      <c r="I62" s="167">
        <f>VLOOKUP( $B62, Aop!$A$2:$N$415, 4, 1)</f>
        <v>242</v>
      </c>
      <c r="J62" s="211"/>
      <c r="K62" s="212"/>
      <c r="M62" s="60"/>
      <c r="O62" s="281"/>
    </row>
    <row r="63" spans="2:15" x14ac:dyDescent="0.2">
      <c r="B63" s="17">
        <v>179</v>
      </c>
      <c r="C63" s="279">
        <f>VLOOKUP( $B63, Aop!$A$2:$N$415, 5, 1)</f>
        <v>569</v>
      </c>
      <c r="D63" s="442" t="str">
        <f>VLOOKUP( $B63, Aop!$A$2:$N$415, 6, 1)</f>
        <v xml:space="preserve">      5. Ostali finansijski rashodi</v>
      </c>
      <c r="E63" s="442"/>
      <c r="F63" s="442"/>
      <c r="G63" s="442"/>
      <c r="H63" s="442"/>
      <c r="I63" s="165">
        <f>VLOOKUP( $B63, Aop!$A$2:$N$415, 4, 1)</f>
        <v>243</v>
      </c>
      <c r="J63" s="213"/>
      <c r="K63" s="214"/>
      <c r="M63" s="60"/>
      <c r="O63" s="281"/>
    </row>
    <row r="64" spans="2:15" x14ac:dyDescent="0.2">
      <c r="B64" s="17">
        <v>180</v>
      </c>
      <c r="C64" s="275">
        <f>VLOOKUP( $B64, Aop!$A$2:$N$415, 5, 1)</f>
        <v>0</v>
      </c>
      <c r="D64" s="441" t="str">
        <f>VLOOKUP( $B64, Aop!$A$2:$N$415, 6, 1)</f>
        <v xml:space="preserve">  D. DOBITAK REDOVNE AKTIVNOSTI (229 + 231 - 238) ili (231 - 238 - 230)</v>
      </c>
      <c r="E64" s="441"/>
      <c r="F64" s="441"/>
      <c r="G64" s="441"/>
      <c r="H64" s="441"/>
      <c r="I64" s="235">
        <f>VLOOKUP( $B64, Aop!$A$2:$N$415, 4, 1)</f>
        <v>244</v>
      </c>
      <c r="J64" s="33">
        <f>IF( SUBTOTAL( 9,J20:J30, J32, J34, J51:J57) - SUBTOTAL( 9, J31, J33, J35:J47, J58:J63) &lt;= 0, 0, ABS( SUBTOTAL( 9,J20:J30, J32, J34, J51:J57) - SUBTOTAL( 9, J31, J33, J35:J47, J58:J63)))</f>
        <v>621088</v>
      </c>
      <c r="K64" s="84">
        <f>IF( SUBTOTAL( 9,K20:K30, K32, K34, K51:K57) - SUBTOTAL( 9, K31, K33, K35:K47, K58:K63) &lt;= 0, 0, ABS( SUBTOTAL( 9,K20:K30, K32, K34, K51:K57) - SUBTOTAL( 9, K31, K33, K35:K47, K58:K63)))</f>
        <v>42681</v>
      </c>
      <c r="M64" s="60"/>
      <c r="O64" s="281"/>
    </row>
    <row r="65" spans="2:15" x14ac:dyDescent="0.2">
      <c r="B65" s="17">
        <v>181</v>
      </c>
      <c r="C65" s="276">
        <f>VLOOKUP( $B65, Aop!$A$2:$N$415, 5, 1)</f>
        <v>0</v>
      </c>
      <c r="D65" s="440" t="str">
        <f>VLOOKUP( $B65, Aop!$A$2:$N$415, 6, 1)</f>
        <v xml:space="preserve">  Đ. GUBITAK REDOVNE AKTIVNOSTI (230 + 238 - 231) ili (238 - 229 - 231)</v>
      </c>
      <c r="E65" s="440"/>
      <c r="F65" s="440"/>
      <c r="G65" s="440"/>
      <c r="H65" s="440"/>
      <c r="I65" s="233">
        <f>VLOOKUP( $B65, Aop!$A$2:$N$415, 4, 1)</f>
        <v>245</v>
      </c>
      <c r="J65" s="35">
        <f>IF( SUBTOTAL( 9,J20:J30, J32, J34, J51:J57) - SUBTOTAL( 9, J31, J33, J35:J47, J58:J63) &gt;= 0, 0, ABS( SUBTOTAL( 9,J20:J30, J32, J34, J51:J57) - SUBTOTAL( 9, J31, J33, J35:J47, J58:J63)))</f>
        <v>0</v>
      </c>
      <c r="K65" s="87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1"/>
    </row>
    <row r="66" spans="2:15" x14ac:dyDescent="0.2">
      <c r="B66" s="17">
        <v>182</v>
      </c>
      <c r="C66" s="275">
        <f>VLOOKUP( $B66, Aop!$A$2:$N$415, 5, 1)</f>
        <v>0</v>
      </c>
      <c r="D66" s="441" t="str">
        <f>VLOOKUP( $B66, Aop!$A$2:$N$415, 6, 1)</f>
        <v>E. OSTALI PRIHODI I RASHODI</v>
      </c>
      <c r="E66" s="441"/>
      <c r="F66" s="441"/>
      <c r="G66" s="441"/>
      <c r="H66" s="441"/>
      <c r="I66" s="235">
        <f>VLOOKUP( $B66, Aop!$A$2:$N$415, 4, 1)</f>
        <v>0</v>
      </c>
      <c r="J66" s="33"/>
      <c r="K66" s="84"/>
      <c r="M66" s="60"/>
      <c r="O66" s="281"/>
    </row>
    <row r="67" spans="2:15" x14ac:dyDescent="0.2">
      <c r="B67" s="17">
        <v>183</v>
      </c>
      <c r="C67" s="276">
        <f>VLOOKUP( $B67, Aop!$A$2:$N$415, 5, 1)</f>
        <v>67</v>
      </c>
      <c r="D67" s="440" t="str">
        <f>VLOOKUP( $B67, Aop!$A$2:$N$415, 6, 1)</f>
        <v xml:space="preserve">    I - OSTALI PRIHODI (247 do 256)</v>
      </c>
      <c r="E67" s="440"/>
      <c r="F67" s="440"/>
      <c r="G67" s="440"/>
      <c r="H67" s="440"/>
      <c r="I67" s="233">
        <f>VLOOKUP( $B67, Aop!$A$2:$N$415, 4, 1)</f>
        <v>246</v>
      </c>
      <c r="J67" s="35">
        <f>SUBTOTAL( 9, J68:J77)</f>
        <v>1500</v>
      </c>
      <c r="K67" s="87">
        <f>SUBTOTAL( 9, K68:K77)</f>
        <v>24477</v>
      </c>
      <c r="M67" s="60"/>
      <c r="O67" s="281"/>
    </row>
    <row r="68" spans="2:15" x14ac:dyDescent="0.2">
      <c r="B68" s="17">
        <v>184</v>
      </c>
      <c r="C68" s="278">
        <f>VLOOKUP( $B68, Aop!$A$2:$N$415, 5, 1)</f>
        <v>670</v>
      </c>
      <c r="D68" s="443" t="str">
        <f>VLOOKUP( $B68, Aop!$A$2:$N$415, 6, 1)</f>
        <v xml:space="preserve">      1. Dobici po osnovu prodaje nematerijalnih sredstava, nekretnina, postrojenja i opreme</v>
      </c>
      <c r="E68" s="443"/>
      <c r="F68" s="443"/>
      <c r="G68" s="443"/>
      <c r="H68" s="443"/>
      <c r="I68" s="167">
        <f>VLOOKUP( $B68, Aop!$A$2:$N$415, 4, 1)</f>
        <v>247</v>
      </c>
      <c r="J68" s="211">
        <v>1500</v>
      </c>
      <c r="K68" s="212">
        <v>24477</v>
      </c>
      <c r="M68" s="60"/>
      <c r="O68" s="281"/>
    </row>
    <row r="69" spans="2:15" x14ac:dyDescent="0.2">
      <c r="B69" s="17">
        <v>185</v>
      </c>
      <c r="C69" s="279">
        <f>VLOOKUP( $B69, Aop!$A$2:$N$415, 5, 1)</f>
        <v>671</v>
      </c>
      <c r="D69" s="442" t="str">
        <f>VLOOKUP( $B69, Aop!$A$2:$N$415, 6, 1)</f>
        <v xml:space="preserve">      2. Dobici po osnovu prodaje investicionih nekretnina</v>
      </c>
      <c r="E69" s="442"/>
      <c r="F69" s="442"/>
      <c r="G69" s="442"/>
      <c r="H69" s="442"/>
      <c r="I69" s="165">
        <f>VLOOKUP( $B69, Aop!$A$2:$N$415, 4, 1)</f>
        <v>248</v>
      </c>
      <c r="J69" s="213"/>
      <c r="K69" s="214"/>
      <c r="M69" s="60"/>
      <c r="O69" s="281"/>
    </row>
    <row r="70" spans="2:15" x14ac:dyDescent="0.2">
      <c r="B70" s="17">
        <v>186</v>
      </c>
      <c r="C70" s="278">
        <f>VLOOKUP( $B70, Aop!$A$2:$N$415, 5, 1)</f>
        <v>672</v>
      </c>
      <c r="D70" s="443" t="str">
        <f>VLOOKUP( $B70, Aop!$A$2:$N$415, 6, 1)</f>
        <v xml:space="preserve">      3. Dobici po osnovu prodaje bioloških sredstava</v>
      </c>
      <c r="E70" s="443"/>
      <c r="F70" s="443"/>
      <c r="G70" s="443"/>
      <c r="H70" s="443"/>
      <c r="I70" s="167">
        <f>VLOOKUP( $B70, Aop!$A$2:$N$415, 4, 1)</f>
        <v>249</v>
      </c>
      <c r="J70" s="211"/>
      <c r="K70" s="212"/>
      <c r="M70" s="60"/>
      <c r="O70" s="281"/>
    </row>
    <row r="71" spans="2:15" x14ac:dyDescent="0.2">
      <c r="B71" s="17">
        <v>187</v>
      </c>
      <c r="C71" s="279">
        <f>VLOOKUP( $B71, Aop!$A$2:$N$415, 5, 1)</f>
        <v>673</v>
      </c>
      <c r="D71" s="442" t="str">
        <f>VLOOKUP( $B71, Aop!$A$2:$N$415, 6, 1)</f>
        <v xml:space="preserve">      4. Dobici po osnovu prodaje sredstava obustavljenog poslovanja</v>
      </c>
      <c r="E71" s="442"/>
      <c r="F71" s="442"/>
      <c r="G71" s="442"/>
      <c r="H71" s="442"/>
      <c r="I71" s="165">
        <f>VLOOKUP( $B71, Aop!$A$2:$N$415, 4, 1)</f>
        <v>250</v>
      </c>
      <c r="J71" s="213"/>
      <c r="K71" s="214"/>
      <c r="M71" s="60"/>
      <c r="O71" s="281"/>
    </row>
    <row r="72" spans="2:15" x14ac:dyDescent="0.2">
      <c r="B72" s="17">
        <v>188</v>
      </c>
      <c r="C72" s="278">
        <f>VLOOKUP( $B72, Aop!$A$2:$N$415, 5, 1)</f>
        <v>674</v>
      </c>
      <c r="D72" s="443" t="str">
        <f>VLOOKUP( $B72, Aop!$A$2:$N$415, 6, 1)</f>
        <v xml:space="preserve">      5. Dobici po osnovu prodaje učešća u kapitalu i HOV</v>
      </c>
      <c r="E72" s="443"/>
      <c r="F72" s="443"/>
      <c r="G72" s="443"/>
      <c r="H72" s="443"/>
      <c r="I72" s="167">
        <f>VLOOKUP( $B72, Aop!$A$2:$N$415, 4, 1)</f>
        <v>251</v>
      </c>
      <c r="J72" s="211"/>
      <c r="K72" s="212"/>
      <c r="M72" s="60"/>
      <c r="O72" s="281"/>
    </row>
    <row r="73" spans="2:15" x14ac:dyDescent="0.2">
      <c r="B73" s="17">
        <v>189</v>
      </c>
      <c r="C73" s="279">
        <f>VLOOKUP( $B73, Aop!$A$2:$N$415, 5, 1)</f>
        <v>675</v>
      </c>
      <c r="D73" s="442" t="str">
        <f>VLOOKUP( $B73, Aop!$A$2:$N$415, 6, 1)</f>
        <v xml:space="preserve">      6. Dobici po osnovu prodaje materijala</v>
      </c>
      <c r="E73" s="442"/>
      <c r="F73" s="442"/>
      <c r="G73" s="442"/>
      <c r="H73" s="442"/>
      <c r="I73" s="165">
        <f>VLOOKUP( $B73, Aop!$A$2:$N$415, 4, 1)</f>
        <v>252</v>
      </c>
      <c r="J73" s="213"/>
      <c r="K73" s="214"/>
      <c r="M73" s="60"/>
      <c r="O73" s="281"/>
    </row>
    <row r="74" spans="2:15" x14ac:dyDescent="0.2">
      <c r="B74" s="17">
        <v>190</v>
      </c>
      <c r="C74" s="278">
        <f>VLOOKUP( $B74, Aop!$A$2:$N$415, 5, 1)</f>
        <v>676</v>
      </c>
      <c r="D74" s="443" t="str">
        <f>VLOOKUP( $B74, Aop!$A$2:$N$415, 6, 1)</f>
        <v xml:space="preserve">      7. Viškovi, izuzimajući viškove zaliha učinaka</v>
      </c>
      <c r="E74" s="443"/>
      <c r="F74" s="443"/>
      <c r="G74" s="443"/>
      <c r="H74" s="443"/>
      <c r="I74" s="167">
        <f>VLOOKUP( $B74, Aop!$A$2:$N$415, 4, 1)</f>
        <v>253</v>
      </c>
      <c r="J74" s="211"/>
      <c r="K74" s="212"/>
      <c r="M74" s="60"/>
      <c r="O74" s="281"/>
    </row>
    <row r="75" spans="2:15" x14ac:dyDescent="0.2">
      <c r="B75" s="17">
        <v>191</v>
      </c>
      <c r="C75" s="279">
        <f>VLOOKUP( $B75, Aop!$A$2:$N$415, 5, 1)</f>
        <v>677</v>
      </c>
      <c r="D75" s="442" t="str">
        <f>VLOOKUP( $B75, Aop!$A$2:$N$415, 6, 1)</f>
        <v xml:space="preserve">      8. Naplaćena otpisana potraživanja</v>
      </c>
      <c r="E75" s="442"/>
      <c r="F75" s="442"/>
      <c r="G75" s="442"/>
      <c r="H75" s="442"/>
      <c r="I75" s="165">
        <f>VLOOKUP( $B75, Aop!$A$2:$N$415, 4, 1)</f>
        <v>254</v>
      </c>
      <c r="J75" s="213"/>
      <c r="K75" s="214"/>
      <c r="M75" s="60"/>
      <c r="O75" s="281"/>
    </row>
    <row r="76" spans="2:15" ht="25.5" x14ac:dyDescent="0.2">
      <c r="B76" s="17">
        <v>192</v>
      </c>
      <c r="C76" s="278">
        <f>VLOOKUP( $B76, Aop!$A$2:$N$415, 5, 1)</f>
        <v>678</v>
      </c>
      <c r="D76" s="443" t="str">
        <f>VLOOKUP( $B76, Aop!$A$2:$N$415, 6, 1)</f>
        <v xml:space="preserve">      9. Prihodi po osnovu ugovorene zaštite od rizika, koji ne ispunjavaju uslove da se iskažu u okviru revalorizacionih rezervi</v>
      </c>
      <c r="E76" s="443"/>
      <c r="F76" s="443"/>
      <c r="G76" s="443"/>
      <c r="H76" s="443"/>
      <c r="I76" s="167">
        <f>VLOOKUP( $B76, Aop!$A$2:$N$415, 4, 1)</f>
        <v>255</v>
      </c>
      <c r="J76" s="211"/>
      <c r="K76" s="212"/>
      <c r="M76" s="60"/>
      <c r="O76" s="282" t="s">
        <v>1581</v>
      </c>
    </row>
    <row r="77" spans="2:15" ht="25.5" x14ac:dyDescent="0.2">
      <c r="B77" s="17">
        <v>193</v>
      </c>
      <c r="C77" s="279">
        <f>VLOOKUP( $B77, Aop!$A$2:$N$415, 5, 1)</f>
        <v>679</v>
      </c>
      <c r="D77" s="442" t="str">
        <f>VLOOKUP( $B77, Aop!$A$2:$N$415, 6, 1)</f>
        <v xml:space="preserve">      10. Prihodi od smanjenja obaveza, ukidanja neiskorišćenih dugoročnih rezervisanja i ostali nepomenuti prihodi</v>
      </c>
      <c r="E77" s="442"/>
      <c r="F77" s="442"/>
      <c r="G77" s="442"/>
      <c r="H77" s="442"/>
      <c r="I77" s="165">
        <f>VLOOKUP( $B77, Aop!$A$2:$N$415, 4, 1)</f>
        <v>256</v>
      </c>
      <c r="J77" s="213"/>
      <c r="K77" s="214"/>
      <c r="M77" s="60"/>
      <c r="O77" s="282" t="s">
        <v>1581</v>
      </c>
    </row>
    <row r="78" spans="2:15" x14ac:dyDescent="0.2">
      <c r="B78" s="17">
        <v>194</v>
      </c>
      <c r="C78" s="275">
        <f>VLOOKUP( $B78, Aop!$A$2:$N$415, 5, 1)</f>
        <v>57</v>
      </c>
      <c r="D78" s="441" t="str">
        <f>VLOOKUP( $B78, Aop!$A$2:$N$415, 6, 1)</f>
        <v xml:space="preserve">    II - OSTALI RASHODI (258 do 267)</v>
      </c>
      <c r="E78" s="441"/>
      <c r="F78" s="441"/>
      <c r="G78" s="441"/>
      <c r="H78" s="441"/>
      <c r="I78" s="235">
        <f>VLOOKUP( $B78, Aop!$A$2:$N$415, 4, 1)</f>
        <v>257</v>
      </c>
      <c r="J78" s="33">
        <f>SUBTOTAL( 9, J79:J88)</f>
        <v>87220</v>
      </c>
      <c r="K78" s="84">
        <f>SUBTOTAL( 9, K79:K88)</f>
        <v>54406</v>
      </c>
      <c r="M78" s="60"/>
      <c r="O78" s="281"/>
    </row>
    <row r="79" spans="2:15" x14ac:dyDescent="0.2">
      <c r="B79" s="17">
        <v>195</v>
      </c>
      <c r="C79" s="279">
        <f>VLOOKUP( $B79, Aop!$A$2:$N$415, 5, 1)</f>
        <v>570</v>
      </c>
      <c r="D79" s="442" t="str">
        <f>VLOOKUP( $B79, Aop!$A$2:$N$415, 6, 1)</f>
        <v xml:space="preserve">      1. Gubici po osnovu prodaje i rashodovanja nematerijalnih sredstava, nekretnina, postrojenja i opreme</v>
      </c>
      <c r="E79" s="442"/>
      <c r="F79" s="442"/>
      <c r="G79" s="442"/>
      <c r="H79" s="442"/>
      <c r="I79" s="165">
        <f>VLOOKUP( $B79, Aop!$A$2:$N$415, 4, 1)</f>
        <v>258</v>
      </c>
      <c r="J79" s="213">
        <v>1413</v>
      </c>
      <c r="K79" s="214"/>
      <c r="M79" s="60"/>
      <c r="O79" s="281"/>
    </row>
    <row r="80" spans="2:15" x14ac:dyDescent="0.2">
      <c r="B80" s="17">
        <v>196</v>
      </c>
      <c r="C80" s="278">
        <f>VLOOKUP( $B80, Aop!$A$2:$N$415, 5, 1)</f>
        <v>571</v>
      </c>
      <c r="D80" s="443" t="str">
        <f>VLOOKUP( $B80, Aop!$A$2:$N$415, 6, 1)</f>
        <v xml:space="preserve">      2. Gubici po osnovu prodaje i rashodovanja investicionih nekretnina</v>
      </c>
      <c r="E80" s="443"/>
      <c r="F80" s="443"/>
      <c r="G80" s="443"/>
      <c r="H80" s="443"/>
      <c r="I80" s="167">
        <f>VLOOKUP( $B80, Aop!$A$2:$N$415, 4, 1)</f>
        <v>259</v>
      </c>
      <c r="J80" s="211"/>
      <c r="K80" s="212"/>
      <c r="M80" s="60"/>
      <c r="O80" s="281"/>
    </row>
    <row r="81" spans="2:15" x14ac:dyDescent="0.2">
      <c r="B81" s="17">
        <v>197</v>
      </c>
      <c r="C81" s="279">
        <f>VLOOKUP( $B81, Aop!$A$2:$N$415, 5, 1)</f>
        <v>572</v>
      </c>
      <c r="D81" s="442" t="str">
        <f>VLOOKUP( $B81, Aop!$A$2:$N$415, 6, 1)</f>
        <v xml:space="preserve">      3. Gubici po osnovu prodaje i rashodovanja bioloških sredstava</v>
      </c>
      <c r="E81" s="442"/>
      <c r="F81" s="442"/>
      <c r="G81" s="442"/>
      <c r="H81" s="442"/>
      <c r="I81" s="165">
        <f>VLOOKUP( $B81, Aop!$A$2:$N$415, 4, 1)</f>
        <v>260</v>
      </c>
      <c r="J81" s="213"/>
      <c r="K81" s="214"/>
      <c r="M81" s="60"/>
      <c r="O81" s="281"/>
    </row>
    <row r="82" spans="2:15" x14ac:dyDescent="0.2">
      <c r="B82" s="17">
        <v>198</v>
      </c>
      <c r="C82" s="278">
        <f>VLOOKUP( $B82, Aop!$A$2:$N$415, 5, 1)</f>
        <v>573</v>
      </c>
      <c r="D82" s="443" t="str">
        <f>VLOOKUP( $B82, Aop!$A$2:$N$415, 6, 1)</f>
        <v xml:space="preserve">      4. Gubici po osnovu prodaje sredstava obustavljenog poslovanja</v>
      </c>
      <c r="E82" s="443"/>
      <c r="F82" s="443"/>
      <c r="G82" s="443"/>
      <c r="H82" s="443"/>
      <c r="I82" s="167">
        <f>VLOOKUP( $B82, Aop!$A$2:$N$415, 4, 1)</f>
        <v>261</v>
      </c>
      <c r="J82" s="211"/>
      <c r="K82" s="212"/>
      <c r="M82" s="60"/>
      <c r="O82" s="281"/>
    </row>
    <row r="83" spans="2:15" x14ac:dyDescent="0.2">
      <c r="B83" s="17">
        <v>199</v>
      </c>
      <c r="C83" s="279">
        <f>VLOOKUP( $B83, Aop!$A$2:$N$415, 5, 1)</f>
        <v>574</v>
      </c>
      <c r="D83" s="442" t="str">
        <f>VLOOKUP( $B83, Aop!$A$2:$N$415, 6, 1)</f>
        <v xml:space="preserve">      5. Gubici po osnovu prodaje učešća u kapitalu i HOV</v>
      </c>
      <c r="E83" s="442"/>
      <c r="F83" s="442"/>
      <c r="G83" s="442"/>
      <c r="H83" s="442"/>
      <c r="I83" s="165">
        <f>VLOOKUP( $B83, Aop!$A$2:$N$415, 4, 1)</f>
        <v>262</v>
      </c>
      <c r="J83" s="213"/>
      <c r="K83" s="214"/>
      <c r="M83" s="60"/>
      <c r="O83" s="281"/>
    </row>
    <row r="84" spans="2:15" x14ac:dyDescent="0.2">
      <c r="B84" s="17">
        <v>200</v>
      </c>
      <c r="C84" s="278">
        <f>VLOOKUP( $B84, Aop!$A$2:$N$415, 5, 1)</f>
        <v>575</v>
      </c>
      <c r="D84" s="443" t="str">
        <f>VLOOKUP( $B84, Aop!$A$2:$N$415, 6, 1)</f>
        <v xml:space="preserve">      6. Gubici po osnovu prodaje materijala</v>
      </c>
      <c r="E84" s="443"/>
      <c r="F84" s="443"/>
      <c r="G84" s="443"/>
      <c r="H84" s="443"/>
      <c r="I84" s="167">
        <f>VLOOKUP( $B84, Aop!$A$2:$N$415, 4, 1)</f>
        <v>263</v>
      </c>
      <c r="J84" s="211"/>
      <c r="K84" s="212"/>
      <c r="M84" s="60"/>
      <c r="O84" s="281"/>
    </row>
    <row r="85" spans="2:15" x14ac:dyDescent="0.2">
      <c r="B85" s="17">
        <v>201</v>
      </c>
      <c r="C85" s="279">
        <f>VLOOKUP( $B85, Aop!$A$2:$N$415, 5, 1)</f>
        <v>576</v>
      </c>
      <c r="D85" s="442" t="str">
        <f>VLOOKUP( $B85, Aop!$A$2:$N$415, 6, 1)</f>
        <v xml:space="preserve">      7. Manjkovi, izuzimajući manjkove zaliha učinaka</v>
      </c>
      <c r="E85" s="442"/>
      <c r="F85" s="442"/>
      <c r="G85" s="442"/>
      <c r="H85" s="442"/>
      <c r="I85" s="165">
        <f>VLOOKUP( $B85, Aop!$A$2:$N$415, 4, 1)</f>
        <v>264</v>
      </c>
      <c r="J85" s="213"/>
      <c r="K85" s="214"/>
      <c r="M85" s="60"/>
      <c r="O85" s="281"/>
    </row>
    <row r="86" spans="2:15" ht="25.5" x14ac:dyDescent="0.2">
      <c r="B86" s="17">
        <v>202</v>
      </c>
      <c r="C86" s="278">
        <f>VLOOKUP( $B86, Aop!$A$2:$N$415, 5, 1)</f>
        <v>577</v>
      </c>
      <c r="D86" s="443" t="str">
        <f>VLOOKUP( $B86, Aop!$A$2:$N$415, 6, 1)</f>
        <v xml:space="preserve">      8. Rashodi po osnovu zaštite od rizika koji ne ispunjavaju uslove da se iskažu u okviru revalorizacionih rezervi</v>
      </c>
      <c r="E86" s="443"/>
      <c r="F86" s="443"/>
      <c r="G86" s="443"/>
      <c r="H86" s="443"/>
      <c r="I86" s="167">
        <f>VLOOKUP( $B86, Aop!$A$2:$N$415, 4, 1)</f>
        <v>265</v>
      </c>
      <c r="J86" s="211"/>
      <c r="K86" s="212"/>
      <c r="M86" s="60"/>
      <c r="O86" s="282" t="s">
        <v>1581</v>
      </c>
    </row>
    <row r="87" spans="2:15" x14ac:dyDescent="0.2">
      <c r="B87" s="17">
        <v>203</v>
      </c>
      <c r="C87" s="279">
        <f>VLOOKUP( $B87, Aop!$A$2:$N$415, 5, 1)</f>
        <v>578</v>
      </c>
      <c r="D87" s="442" t="str">
        <f>VLOOKUP( $B87, Aop!$A$2:$N$415, 6, 1)</f>
        <v xml:space="preserve">      9. Rashodi po osnovu ispravke vrijednosti i otpisa potraživanja</v>
      </c>
      <c r="E87" s="442"/>
      <c r="F87" s="442"/>
      <c r="G87" s="442"/>
      <c r="H87" s="442"/>
      <c r="I87" s="165">
        <f>VLOOKUP( $B87, Aop!$A$2:$N$415, 4, 1)</f>
        <v>266</v>
      </c>
      <c r="J87" s="213">
        <v>7078</v>
      </c>
      <c r="K87" s="214"/>
      <c r="M87" s="60"/>
      <c r="O87" s="281"/>
    </row>
    <row r="88" spans="2:15" x14ac:dyDescent="0.2">
      <c r="B88" s="17">
        <v>204</v>
      </c>
      <c r="C88" s="278">
        <f>VLOOKUP( $B88, Aop!$A$2:$N$415, 5, 1)</f>
        <v>579</v>
      </c>
      <c r="D88" s="443" t="str">
        <f>VLOOKUP( $B88, Aop!$A$2:$N$415, 6, 1)</f>
        <v xml:space="preserve">      10. Rashodi po osnovu rashodovanja zaliha materijala i robe i ostali rashodi</v>
      </c>
      <c r="E88" s="443"/>
      <c r="F88" s="443"/>
      <c r="G88" s="443"/>
      <c r="H88" s="443"/>
      <c r="I88" s="167">
        <f>VLOOKUP( $B88, Aop!$A$2:$N$415, 4, 1)</f>
        <v>267</v>
      </c>
      <c r="J88" s="211">
        <v>78729</v>
      </c>
      <c r="K88" s="212">
        <v>54406</v>
      </c>
      <c r="M88" s="60"/>
      <c r="O88" s="281"/>
    </row>
    <row r="89" spans="2:15" x14ac:dyDescent="0.2">
      <c r="B89" s="17">
        <v>205</v>
      </c>
      <c r="C89" s="276">
        <f>VLOOKUP( $B89, Aop!$A$2:$N$415, 5, 1)</f>
        <v>0</v>
      </c>
      <c r="D89" s="440" t="str">
        <f>VLOOKUP( $B89, Aop!$A$2:$N$415, 6, 1)</f>
        <v xml:space="preserve">  Ž. DOBITAK PO OSNOVU OSTALIH PRIHODA I RASHODA (246 - 257)</v>
      </c>
      <c r="E89" s="440"/>
      <c r="F89" s="440"/>
      <c r="G89" s="440"/>
      <c r="H89" s="440"/>
      <c r="I89" s="233">
        <f>VLOOKUP( $B89, Aop!$A$2:$N$415, 4, 1)</f>
        <v>268</v>
      </c>
      <c r="J89" s="35">
        <f>IF( SUBTOTAL( 9, J67:J77) - SUBTOTAL( 9, J78:J88) &lt;= 0, 0, ABS( SUBTOTAL( 9, J67:J77) - SUBTOTAL( 9, J78:J88)) )</f>
        <v>0</v>
      </c>
      <c r="K89" s="87">
        <f>IF( SUBTOTAL( 9, K67:K77) - SUBTOTAL( 9, K78:K88) &lt;= 0, 0, ABS( SUBTOTAL( 9, K67:K77) - SUBTOTAL( 9, K78:K88)) )</f>
        <v>0</v>
      </c>
      <c r="M89" s="60"/>
      <c r="O89" s="281"/>
    </row>
    <row r="90" spans="2:15" x14ac:dyDescent="0.2">
      <c r="B90" s="17">
        <v>206</v>
      </c>
      <c r="C90" s="275">
        <f>VLOOKUP( $B90, Aop!$A$2:$N$415, 5, 1)</f>
        <v>0</v>
      </c>
      <c r="D90" s="441" t="str">
        <f>VLOOKUP( $B90, Aop!$A$2:$N$415, 6, 1)</f>
        <v xml:space="preserve">  Z. GUBITAK PO OSNOVU OSTALIH PRIHODA I RASHODA (257 - 246)</v>
      </c>
      <c r="E90" s="441"/>
      <c r="F90" s="441"/>
      <c r="G90" s="441"/>
      <c r="H90" s="441"/>
      <c r="I90" s="235">
        <f>VLOOKUP( $B90, Aop!$A$2:$N$415, 4, 1)</f>
        <v>269</v>
      </c>
      <c r="J90" s="33">
        <f>IF( SUBTOTAL( 9, J67:J77) - SUBTOTAL( 9, J78:J88) &gt;= 0, 0, ABS( SUBTOTAL( 9, J67:J77) - SUBTOTAL( 9, J78:J88)) )</f>
        <v>85720</v>
      </c>
      <c r="K90" s="84">
        <f>IF( SUBTOTAL( 9, K67:K77) - SUBTOTAL( 9, K78:K88) &gt;= 0, 0, ABS( SUBTOTAL( 9, K67:K77) - SUBTOTAL( 9, K78:K88)) )</f>
        <v>29929</v>
      </c>
      <c r="M90" s="60"/>
      <c r="O90" s="281"/>
    </row>
    <row r="91" spans="2:15" x14ac:dyDescent="0.2">
      <c r="B91" s="17">
        <v>207</v>
      </c>
      <c r="C91" s="276">
        <f>VLOOKUP( $B91, Aop!$A$2:$N$415, 5, 1)</f>
        <v>0</v>
      </c>
      <c r="D91" s="440" t="str">
        <f>VLOOKUP( $B91, Aop!$A$2:$N$415, 6, 1)</f>
        <v>I. PRIHODI I RASHODI OD USKLAĐIVANJA VRIJEDNOSTI IMOVINE</v>
      </c>
      <c r="E91" s="440"/>
      <c r="F91" s="440"/>
      <c r="G91" s="440"/>
      <c r="H91" s="440"/>
      <c r="I91" s="233">
        <f>VLOOKUP( $B91, Aop!$A$2:$N$415, 4, 1)</f>
        <v>0</v>
      </c>
      <c r="J91" s="35"/>
      <c r="K91" s="87"/>
      <c r="M91" s="60"/>
      <c r="O91" s="281"/>
    </row>
    <row r="92" spans="2:15" x14ac:dyDescent="0.2">
      <c r="B92" s="17">
        <v>208</v>
      </c>
      <c r="C92" s="275">
        <f>VLOOKUP( $B92, Aop!$A$2:$N$415, 5, 1)</f>
        <v>68</v>
      </c>
      <c r="D92" s="441" t="str">
        <f>VLOOKUP( $B92, Aop!$A$2:$N$415, 6, 1)</f>
        <v xml:space="preserve">    I - PRIHODI OD USKLAĐIVANJA VRIJEDNOSTI IMOVINE (271 do 279)</v>
      </c>
      <c r="E92" s="441"/>
      <c r="F92" s="441"/>
      <c r="G92" s="441"/>
      <c r="H92" s="441"/>
      <c r="I92" s="235">
        <f>VLOOKUP( $B92, Aop!$A$2:$N$415, 4, 1)</f>
        <v>270</v>
      </c>
      <c r="J92" s="33">
        <f>SUBTOTAL( 9, J93:J101)</f>
        <v>0</v>
      </c>
      <c r="K92" s="84">
        <f>SUBTOTAL( 9, K93:K101)</f>
        <v>0</v>
      </c>
      <c r="M92" s="60"/>
      <c r="O92" s="281"/>
    </row>
    <row r="93" spans="2:15" x14ac:dyDescent="0.2">
      <c r="B93" s="17">
        <v>209</v>
      </c>
      <c r="C93" s="279">
        <f>VLOOKUP( $B93, Aop!$A$2:$N$415, 5, 1)</f>
        <v>680</v>
      </c>
      <c r="D93" s="442" t="str">
        <f>VLOOKUP( $B93, Aop!$A$2:$N$415, 6, 1)</f>
        <v xml:space="preserve">      1. Prihodi od usklađivanja vrijednosti nematerijalnih sredstava</v>
      </c>
      <c r="E93" s="442"/>
      <c r="F93" s="442"/>
      <c r="G93" s="442"/>
      <c r="H93" s="442"/>
      <c r="I93" s="165">
        <f>VLOOKUP( $B93, Aop!$A$2:$N$415, 4, 1)</f>
        <v>271</v>
      </c>
      <c r="J93" s="213"/>
      <c r="K93" s="214"/>
      <c r="M93" s="60"/>
      <c r="O93" s="281"/>
    </row>
    <row r="94" spans="2:15" x14ac:dyDescent="0.2">
      <c r="B94" s="17">
        <v>210</v>
      </c>
      <c r="C94" s="278">
        <f>VLOOKUP( $B94, Aop!$A$2:$N$415, 5, 1)</f>
        <v>681</v>
      </c>
      <c r="D94" s="443" t="str">
        <f>VLOOKUP( $B94, Aop!$A$2:$N$415, 6, 1)</f>
        <v xml:space="preserve">      2. Prihodi od usklađivanja vrijednosti nekretnina, postrojenja i opreme</v>
      </c>
      <c r="E94" s="443"/>
      <c r="F94" s="443"/>
      <c r="G94" s="443"/>
      <c r="H94" s="443"/>
      <c r="I94" s="167">
        <f>VLOOKUP( $B94, Aop!$A$2:$N$415, 4, 1)</f>
        <v>272</v>
      </c>
      <c r="J94" s="211"/>
      <c r="K94" s="212"/>
      <c r="M94" s="60"/>
      <c r="O94" s="281"/>
    </row>
    <row r="95" spans="2:15" x14ac:dyDescent="0.2">
      <c r="B95" s="17">
        <v>211</v>
      </c>
      <c r="C95" s="279">
        <f>VLOOKUP( $B95, Aop!$A$2:$N$415, 5, 1)</f>
        <v>682</v>
      </c>
      <c r="D95" s="442" t="str">
        <f>VLOOKUP( $B95, Aop!$A$2:$N$415, 6, 1)</f>
        <v xml:space="preserve">      3. Prihodi od usklađivanja vrijednosti investicionih nekretnina za koje se obračunava amortizacija</v>
      </c>
      <c r="E95" s="442"/>
      <c r="F95" s="442"/>
      <c r="G95" s="442"/>
      <c r="H95" s="442"/>
      <c r="I95" s="165">
        <f>VLOOKUP( $B95, Aop!$A$2:$N$415, 4, 1)</f>
        <v>273</v>
      </c>
      <c r="J95" s="213"/>
      <c r="K95" s="214"/>
      <c r="M95" s="60"/>
      <c r="O95" s="281"/>
    </row>
    <row r="96" spans="2:15" x14ac:dyDescent="0.2">
      <c r="B96" s="17">
        <v>212</v>
      </c>
      <c r="C96" s="278">
        <f>VLOOKUP( $B96, Aop!$A$2:$N$415, 5, 1)</f>
        <v>683</v>
      </c>
      <c r="D96" s="443" t="str">
        <f>VLOOKUP( $B96, Aop!$A$2:$N$415, 6, 1)</f>
        <v xml:space="preserve">      4. Prihodi od usklađivanja vrijednosti bioloških sredstava za koje se obračunava amortizacija</v>
      </c>
      <c r="E96" s="443"/>
      <c r="F96" s="443"/>
      <c r="G96" s="443"/>
      <c r="H96" s="443"/>
      <c r="I96" s="167">
        <f>VLOOKUP( $B96, Aop!$A$2:$N$415, 4, 1)</f>
        <v>274</v>
      </c>
      <c r="J96" s="211"/>
      <c r="K96" s="212"/>
      <c r="M96" s="60"/>
      <c r="O96" s="281"/>
    </row>
    <row r="97" spans="2:15" ht="25.5" x14ac:dyDescent="0.2">
      <c r="B97" s="17">
        <v>213</v>
      </c>
      <c r="C97" s="279">
        <f>VLOOKUP( $B97, Aop!$A$2:$N$415, 5, 1)</f>
        <v>684</v>
      </c>
      <c r="D97" s="442" t="str">
        <f>VLOOKUP( $B97, Aop!$A$2:$N$415, 6, 1)</f>
        <v xml:space="preserve">      5. Prihodi od usklađivanja vrijednosti dugoročnih finansijskih plasmana i finansijskih sredstava raspoloživih za prodaju</v>
      </c>
      <c r="E97" s="442"/>
      <c r="F97" s="442"/>
      <c r="G97" s="442"/>
      <c r="H97" s="442"/>
      <c r="I97" s="165">
        <f>VLOOKUP( $B97, Aop!$A$2:$N$415, 4, 1)</f>
        <v>275</v>
      </c>
      <c r="J97" s="213"/>
      <c r="K97" s="214"/>
      <c r="M97" s="60"/>
      <c r="O97" s="282" t="s">
        <v>1581</v>
      </c>
    </row>
    <row r="98" spans="2:15" x14ac:dyDescent="0.2">
      <c r="B98" s="17">
        <v>214</v>
      </c>
      <c r="C98" s="278">
        <f>VLOOKUP( $B98, Aop!$A$2:$N$415, 5, 1)</f>
        <v>685</v>
      </c>
      <c r="D98" s="443" t="str">
        <f>VLOOKUP( $B98, Aop!$A$2:$N$415, 6, 1)</f>
        <v xml:space="preserve">      6. Prihodi od usklađivanja vrijednosti zaliha materijala i robe</v>
      </c>
      <c r="E98" s="443"/>
      <c r="F98" s="443"/>
      <c r="G98" s="443"/>
      <c r="H98" s="443"/>
      <c r="I98" s="167">
        <f>VLOOKUP( $B98, Aop!$A$2:$N$415, 4, 1)</f>
        <v>276</v>
      </c>
      <c r="J98" s="211"/>
      <c r="K98" s="212"/>
      <c r="M98" s="60"/>
      <c r="O98" s="281"/>
    </row>
    <row r="99" spans="2:15" x14ac:dyDescent="0.2">
      <c r="B99" s="17">
        <v>215</v>
      </c>
      <c r="C99" s="279">
        <f>VLOOKUP( $B99, Aop!$A$2:$N$415, 5, 1)</f>
        <v>686</v>
      </c>
      <c r="D99" s="442" t="str">
        <f>VLOOKUP( $B99, Aop!$A$2:$N$415, 6, 1)</f>
        <v xml:space="preserve">      7. Prihodi od usklađivanja vrijednosti kratkoročnih finansijskih plasmana</v>
      </c>
      <c r="E99" s="442"/>
      <c r="F99" s="442"/>
      <c r="G99" s="442"/>
      <c r="H99" s="442"/>
      <c r="I99" s="165">
        <f>VLOOKUP( $B99, Aop!$A$2:$N$415, 4, 1)</f>
        <v>277</v>
      </c>
      <c r="J99" s="213"/>
      <c r="K99" s="214"/>
      <c r="M99" s="60"/>
      <c r="O99" s="281"/>
    </row>
    <row r="100" spans="2:15" x14ac:dyDescent="0.2">
      <c r="B100" s="17">
        <v>216</v>
      </c>
      <c r="C100" s="278">
        <f>VLOOKUP( $B100, Aop!$A$2:$N$415, 5, 1)</f>
        <v>687</v>
      </c>
      <c r="D100" s="443" t="str">
        <f>VLOOKUP( $B100, Aop!$A$2:$N$415, 6, 1)</f>
        <v xml:space="preserve">      8. Prihodi od usklađivanja vrijednosti kapitala (negativni Goodwill)</v>
      </c>
      <c r="E100" s="443"/>
      <c r="F100" s="443"/>
      <c r="G100" s="443"/>
      <c r="H100" s="443"/>
      <c r="I100" s="167">
        <f>VLOOKUP( $B100, Aop!$A$2:$N$415, 4, 1)</f>
        <v>278</v>
      </c>
      <c r="J100" s="211"/>
      <c r="K100" s="212"/>
      <c r="M100" s="60"/>
      <c r="O100" s="281"/>
    </row>
    <row r="101" spans="2:15" x14ac:dyDescent="0.2">
      <c r="B101" s="17">
        <v>217</v>
      </c>
      <c r="C101" s="279">
        <f>VLOOKUP( $B101, Aop!$A$2:$N$415, 5, 1)</f>
        <v>689</v>
      </c>
      <c r="D101" s="442" t="str">
        <f>VLOOKUP( $B101, Aop!$A$2:$N$415, 6, 1)</f>
        <v xml:space="preserve">      9. Prihodi od usklađivanja vrijednosti ostale imovine</v>
      </c>
      <c r="E101" s="442"/>
      <c r="F101" s="442"/>
      <c r="G101" s="442"/>
      <c r="H101" s="442"/>
      <c r="I101" s="165">
        <f>VLOOKUP( $B101, Aop!$A$2:$N$415, 4, 1)</f>
        <v>279</v>
      </c>
      <c r="J101" s="213"/>
      <c r="K101" s="214"/>
      <c r="M101" s="60"/>
      <c r="O101" s="281"/>
    </row>
    <row r="102" spans="2:15" x14ac:dyDescent="0.2">
      <c r="B102" s="17">
        <v>218</v>
      </c>
      <c r="C102" s="275">
        <f>VLOOKUP( $B102, Aop!$A$2:$N$415, 5, 1)</f>
        <v>58</v>
      </c>
      <c r="D102" s="441" t="str">
        <f>VLOOKUP( $B102, Aop!$A$2:$N$415, 6, 1)</f>
        <v xml:space="preserve">    II - RASHODI OD USKLAĐIVANJA VRIJEDNOSTI IMOVINE (281 do 289)</v>
      </c>
      <c r="E102" s="441"/>
      <c r="F102" s="441"/>
      <c r="G102" s="441"/>
      <c r="H102" s="441"/>
      <c r="I102" s="235">
        <f>VLOOKUP( $B102, Aop!$A$2:$N$415, 4, 1)</f>
        <v>280</v>
      </c>
      <c r="J102" s="33">
        <f>SUBTOTAL( 9, J103:J111)</f>
        <v>0</v>
      </c>
      <c r="K102" s="84">
        <f>SUBTOTAL( 9, K103:K111)</f>
        <v>0</v>
      </c>
      <c r="M102" s="60"/>
      <c r="O102" s="281"/>
    </row>
    <row r="103" spans="2:15" x14ac:dyDescent="0.2">
      <c r="B103" s="17">
        <v>219</v>
      </c>
      <c r="C103" s="279">
        <f>VLOOKUP( $B103, Aop!$A$2:$N$415, 5, 1)</f>
        <v>580</v>
      </c>
      <c r="D103" s="442" t="str">
        <f>VLOOKUP( $B103, Aop!$A$2:$N$415, 6, 1)</f>
        <v xml:space="preserve">      1. Obezvrjeđenje nematerijalnih sredstava</v>
      </c>
      <c r="E103" s="442"/>
      <c r="F103" s="442"/>
      <c r="G103" s="442"/>
      <c r="H103" s="442"/>
      <c r="I103" s="165">
        <f>VLOOKUP( $B103, Aop!$A$2:$N$415, 4, 1)</f>
        <v>281</v>
      </c>
      <c r="J103" s="213"/>
      <c r="K103" s="214"/>
      <c r="M103" s="60"/>
      <c r="O103" s="281"/>
    </row>
    <row r="104" spans="2:15" x14ac:dyDescent="0.2">
      <c r="B104" s="17">
        <v>220</v>
      </c>
      <c r="C104" s="278">
        <f>VLOOKUP( $B104, Aop!$A$2:$N$415, 5, 1)</f>
        <v>581</v>
      </c>
      <c r="D104" s="443" t="str">
        <f>VLOOKUP( $B104, Aop!$A$2:$N$415, 6, 1)</f>
        <v xml:space="preserve">      2. Obezvrjeđenje nekretnina, postrojenja i opreme</v>
      </c>
      <c r="E104" s="443"/>
      <c r="F104" s="443"/>
      <c r="G104" s="443"/>
      <c r="H104" s="443"/>
      <c r="I104" s="167">
        <f>VLOOKUP( $B104, Aop!$A$2:$N$415, 4, 1)</f>
        <v>282</v>
      </c>
      <c r="J104" s="211"/>
      <c r="K104" s="212"/>
      <c r="M104" s="60"/>
      <c r="O104" s="281"/>
    </row>
    <row r="105" spans="2:15" x14ac:dyDescent="0.2">
      <c r="B105" s="17">
        <v>221</v>
      </c>
      <c r="C105" s="279">
        <f>VLOOKUP( $B105, Aop!$A$2:$N$415, 5, 1)</f>
        <v>582</v>
      </c>
      <c r="D105" s="442" t="str">
        <f>VLOOKUP( $B105, Aop!$A$2:$N$415, 6, 1)</f>
        <v xml:space="preserve">      3. Obezvrjeđenje investicionih nekretnina za koje se obračunava amortizacija</v>
      </c>
      <c r="E105" s="442"/>
      <c r="F105" s="442"/>
      <c r="G105" s="442"/>
      <c r="H105" s="442"/>
      <c r="I105" s="165">
        <f>VLOOKUP( $B105, Aop!$A$2:$N$415, 4, 1)</f>
        <v>283</v>
      </c>
      <c r="J105" s="213"/>
      <c r="K105" s="214"/>
      <c r="M105" s="60"/>
      <c r="O105" s="281"/>
    </row>
    <row r="106" spans="2:15" x14ac:dyDescent="0.2">
      <c r="B106" s="17">
        <v>222</v>
      </c>
      <c r="C106" s="278">
        <f>VLOOKUP( $B106, Aop!$A$2:$N$415, 5, 1)</f>
        <v>583</v>
      </c>
      <c r="D106" s="443" t="str">
        <f>VLOOKUP( $B106, Aop!$A$2:$N$415, 6, 1)</f>
        <v xml:space="preserve">      4. Obezvrjeđenje bioloških sredstava za koja se obračunava amortizacija</v>
      </c>
      <c r="E106" s="443"/>
      <c r="F106" s="443"/>
      <c r="G106" s="443"/>
      <c r="H106" s="443"/>
      <c r="I106" s="167">
        <f>VLOOKUP( $B106, Aop!$A$2:$N$415, 4, 1)</f>
        <v>284</v>
      </c>
      <c r="J106" s="211"/>
      <c r="K106" s="212"/>
      <c r="M106" s="60"/>
      <c r="O106" s="281"/>
    </row>
    <row r="107" spans="2:15" x14ac:dyDescent="0.2">
      <c r="B107" s="17">
        <v>223</v>
      </c>
      <c r="C107" s="279">
        <f>VLOOKUP( $B107, Aop!$A$2:$N$415, 5, 1)</f>
        <v>584</v>
      </c>
      <c r="D107" s="442" t="str">
        <f>VLOOKUP( $B107, Aop!$A$2:$N$415, 6, 1)</f>
        <v xml:space="preserve">      5. Obezvrjeđenje dugoročnih finansijskih plasmana i finansijskih sredstava raspoloživih za prodaju</v>
      </c>
      <c r="E107" s="442"/>
      <c r="F107" s="442"/>
      <c r="G107" s="442"/>
      <c r="H107" s="442"/>
      <c r="I107" s="165">
        <f>VLOOKUP( $B107, Aop!$A$2:$N$415, 4, 1)</f>
        <v>285</v>
      </c>
      <c r="J107" s="213"/>
      <c r="K107" s="214"/>
      <c r="M107" s="60"/>
      <c r="O107" s="281"/>
    </row>
    <row r="108" spans="2:15" x14ac:dyDescent="0.2">
      <c r="B108" s="17">
        <v>224</v>
      </c>
      <c r="C108" s="278">
        <f>VLOOKUP( $B108, Aop!$A$2:$N$415, 5, 1)</f>
        <v>585</v>
      </c>
      <c r="D108" s="443" t="str">
        <f>VLOOKUP( $B108, Aop!$A$2:$N$415, 6, 1)</f>
        <v xml:space="preserve">      6. Obezvrjeđenje zaliha materijala i robe</v>
      </c>
      <c r="E108" s="443"/>
      <c r="F108" s="443"/>
      <c r="G108" s="443"/>
      <c r="H108" s="443"/>
      <c r="I108" s="167">
        <f>VLOOKUP( $B108, Aop!$A$2:$N$415, 4, 1)</f>
        <v>286</v>
      </c>
      <c r="J108" s="211"/>
      <c r="K108" s="212"/>
      <c r="M108" s="60"/>
      <c r="O108" s="281"/>
    </row>
    <row r="109" spans="2:15" x14ac:dyDescent="0.2">
      <c r="B109" s="17">
        <v>225</v>
      </c>
      <c r="C109" s="279">
        <f>VLOOKUP( $B109, Aop!$A$2:$N$415, 5, 1)</f>
        <v>586</v>
      </c>
      <c r="D109" s="442" t="str">
        <f>VLOOKUP( $B109, Aop!$A$2:$N$415, 6, 1)</f>
        <v xml:space="preserve">      7. Obezvrjeđenje kratkoročnih finansijskih plasmana</v>
      </c>
      <c r="E109" s="442"/>
      <c r="F109" s="442"/>
      <c r="G109" s="442"/>
      <c r="H109" s="442"/>
      <c r="I109" s="165">
        <f>VLOOKUP( $B109, Aop!$A$2:$N$415, 4, 1)</f>
        <v>287</v>
      </c>
      <c r="J109" s="213"/>
      <c r="K109" s="214"/>
      <c r="M109" s="60"/>
      <c r="O109" s="281"/>
    </row>
    <row r="110" spans="2:15" x14ac:dyDescent="0.2">
      <c r="B110" s="17">
        <v>226</v>
      </c>
      <c r="C110" s="278">
        <f>VLOOKUP( $B110, Aop!$A$2:$N$415, 5, 1)</f>
        <v>588</v>
      </c>
      <c r="D110" s="443" t="str">
        <f>VLOOKUP( $B110, Aop!$A$2:$N$415, 6, 1)</f>
        <v xml:space="preserve">      8. Obezvrjeđenje potraživanja primjenom indirektne metode utvrđivanja otpisa potraživanja</v>
      </c>
      <c r="E110" s="443"/>
      <c r="F110" s="443"/>
      <c r="G110" s="443"/>
      <c r="H110" s="443"/>
      <c r="I110" s="167">
        <f>VLOOKUP( $B110, Aop!$A$2:$N$415, 4, 1)</f>
        <v>288</v>
      </c>
      <c r="J110" s="211"/>
      <c r="K110" s="212"/>
      <c r="M110" s="60"/>
      <c r="O110" s="281"/>
    </row>
    <row r="111" spans="2:15" x14ac:dyDescent="0.2">
      <c r="B111" s="17">
        <v>227</v>
      </c>
      <c r="C111" s="279">
        <f>VLOOKUP( $B111, Aop!$A$2:$N$415, 5, 1)</f>
        <v>589</v>
      </c>
      <c r="D111" s="442" t="str">
        <f>VLOOKUP( $B111, Aop!$A$2:$N$415, 6, 1)</f>
        <v xml:space="preserve">      9. Obezvrjeđenje ostale imovine</v>
      </c>
      <c r="E111" s="442"/>
      <c r="F111" s="442"/>
      <c r="G111" s="442"/>
      <c r="H111" s="442"/>
      <c r="I111" s="165">
        <f>VLOOKUP( $B111, Aop!$A$2:$N$415, 4, 1)</f>
        <v>289</v>
      </c>
      <c r="J111" s="213"/>
      <c r="K111" s="214"/>
      <c r="M111" s="60"/>
      <c r="O111" s="281"/>
    </row>
    <row r="112" spans="2:15" x14ac:dyDescent="0.2">
      <c r="B112" s="17">
        <v>228</v>
      </c>
      <c r="C112" s="275">
        <f>VLOOKUP( $B112, Aop!$A$2:$N$415, 5, 1)</f>
        <v>0</v>
      </c>
      <c r="D112" s="441" t="str">
        <f>VLOOKUP( $B112, Aop!$A$2:$N$415, 6, 1)</f>
        <v xml:space="preserve">  J. DOBITAK PO OSNOVU USKLAĐIVANJA VRIJEDNOSTI IMOVINE (270 - 280)</v>
      </c>
      <c r="E112" s="441"/>
      <c r="F112" s="441"/>
      <c r="G112" s="441"/>
      <c r="H112" s="441"/>
      <c r="I112" s="235">
        <f>VLOOKUP( $B112, Aop!$A$2:$N$415, 4, 1)</f>
        <v>290</v>
      </c>
      <c r="J112" s="33">
        <f>IF( SUBTOTAL( 9, J92:J101) - SUBTOTAL( 9, J102:J111) &lt;= 0, 0, ABS( SUBTOTAL( 9, J92:J101) - SUBTOTAL( 9, J102:J111)) )</f>
        <v>0</v>
      </c>
      <c r="K112" s="84">
        <f>IF( SUBTOTAL( 9, K92:K101) - SUBTOTAL( 9, K102:K111) &lt;= 0, 0, ABS( SUBTOTAL( 9, K92:K101) - SUBTOTAL( 9, K102:K111)) )</f>
        <v>0</v>
      </c>
      <c r="M112" s="60"/>
      <c r="O112" s="281"/>
    </row>
    <row r="113" spans="2:15" x14ac:dyDescent="0.2">
      <c r="B113" s="17">
        <v>229</v>
      </c>
      <c r="C113" s="276">
        <f>VLOOKUP( $B113, Aop!$A$2:$N$415, 5, 1)</f>
        <v>0</v>
      </c>
      <c r="D113" s="440" t="str">
        <f>VLOOKUP( $B113, Aop!$A$2:$N$415, 6, 1)</f>
        <v xml:space="preserve">  K. GUBITAK PO OSNOVU USKLAĐIVANJA VRIJEDNOSTI IMOVINE (280 - 270)</v>
      </c>
      <c r="E113" s="440"/>
      <c r="F113" s="440"/>
      <c r="G113" s="440"/>
      <c r="H113" s="440"/>
      <c r="I113" s="233">
        <f>VLOOKUP( $B113, Aop!$A$2:$N$415, 4, 1)</f>
        <v>291</v>
      </c>
      <c r="J113" s="35">
        <f>IF( SUBTOTAL( 9, J92:J101) - SUBTOTAL( 9, J102:J111) &gt;= 0, 0, ABS( SUBTOTAL( 9, J92:J101) - SUBTOTAL( 9, J102:J111)) )</f>
        <v>0</v>
      </c>
      <c r="K113" s="87">
        <f>IF( SUBTOTAL( 9, K92:K101) - SUBTOTAL( 9, K102:K111) &gt;= 0, 0, ABS( SUBTOTAL( 9, K92:K101) - SUBTOTAL( 9, K102:K111)) )</f>
        <v>0</v>
      </c>
      <c r="M113" s="60"/>
      <c r="O113" s="281"/>
    </row>
    <row r="114" spans="2:15" ht="25.5" x14ac:dyDescent="0.2">
      <c r="B114" s="17">
        <v>230</v>
      </c>
      <c r="C114" s="275" t="str">
        <f>VLOOKUP( $B114, Aop!$A$2:$N$415, 5, 1)</f>
        <v>690, 691</v>
      </c>
      <c r="D114" s="441" t="str">
        <f>VLOOKUP( $B114, Aop!$A$2:$N$415, 6, 1)</f>
        <v xml:space="preserve">  L. PRIHODI PO OSNOVU PROMJENE RAČUNOVODSTVENIH POLITIKA I ISPRAVKE GREŠAKA IZ RANIJIH GODINA</v>
      </c>
      <c r="E114" s="441"/>
      <c r="F114" s="441"/>
      <c r="G114" s="441"/>
      <c r="H114" s="441"/>
      <c r="I114" s="235">
        <f>VLOOKUP( $B114, Aop!$A$2:$N$415, 4, 1)</f>
        <v>292</v>
      </c>
      <c r="J114" s="120"/>
      <c r="K114" s="121"/>
      <c r="M114" s="60"/>
      <c r="O114" s="282" t="s">
        <v>1581</v>
      </c>
    </row>
    <row r="115" spans="2:15" ht="25.5" x14ac:dyDescent="0.2">
      <c r="B115" s="17">
        <v>231</v>
      </c>
      <c r="C115" s="276" t="str">
        <f>VLOOKUP( $B115, Aop!$A$2:$N$415, 5, 1)</f>
        <v>590, 591</v>
      </c>
      <c r="D115" s="440" t="str">
        <f>VLOOKUP( $B115, Aop!$A$2:$N$415, 6, 1)</f>
        <v xml:space="preserve">  LJ. RASHODI PO OSNOVU PROMJENE RAČUNOVODSTVENIH POLITIKA I ISPRAVKE GREŠAKA IZ RANIJIH GODINA</v>
      </c>
      <c r="E115" s="440"/>
      <c r="F115" s="440"/>
      <c r="G115" s="440"/>
      <c r="H115" s="440"/>
      <c r="I115" s="233">
        <f>VLOOKUP( $B115, Aop!$A$2:$N$415, 4, 1)</f>
        <v>293</v>
      </c>
      <c r="J115" s="312"/>
      <c r="K115" s="327"/>
      <c r="M115" s="60"/>
      <c r="O115" s="282" t="s">
        <v>1581</v>
      </c>
    </row>
    <row r="116" spans="2:15" x14ac:dyDescent="0.2">
      <c r="B116" s="17">
        <v>232</v>
      </c>
      <c r="C116" s="275">
        <f>VLOOKUP( $B116, Aop!$A$2:$N$415, 5, 1)</f>
        <v>0</v>
      </c>
      <c r="D116" s="441" t="str">
        <f>VLOOKUP( $B116, Aop!$A$2:$N$415, 6, 1)</f>
        <v>M. DOBITAK I GUBITAK PRIJE OPOREZIVANJA</v>
      </c>
      <c r="E116" s="441"/>
      <c r="F116" s="441"/>
      <c r="G116" s="441"/>
      <c r="H116" s="441"/>
      <c r="I116" s="235">
        <f>VLOOKUP( $B116, Aop!$A$2:$N$415, 4, 1)</f>
        <v>0</v>
      </c>
      <c r="J116" s="33"/>
      <c r="K116" s="84"/>
      <c r="M116" s="60"/>
      <c r="O116" s="281"/>
    </row>
    <row r="117" spans="2:15" x14ac:dyDescent="0.2">
      <c r="B117" s="17">
        <v>233</v>
      </c>
      <c r="C117" s="280">
        <f>VLOOKUP( $B117, Aop!$A$2:$N$415, 5, 1)</f>
        <v>0</v>
      </c>
      <c r="D117" s="442" t="str">
        <f>VLOOKUP( $B117, Aop!$A$2:$N$415, 6, 1)</f>
        <v xml:space="preserve">    1. Dobitak prije oporezivanja (244 + 268 + 290 + 292 - 293 - 245 - 269 - 291)</v>
      </c>
      <c r="E117" s="442"/>
      <c r="F117" s="442"/>
      <c r="G117" s="442"/>
      <c r="H117" s="442"/>
      <c r="I117" s="165">
        <f>VLOOKUP( $B117, Aop!$A$2:$N$415, 4, 1)</f>
        <v>294</v>
      </c>
      <c r="J117" s="297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535368</v>
      </c>
      <c r="K117" s="298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12752</v>
      </c>
      <c r="M117" s="60"/>
      <c r="O117" s="281"/>
    </row>
    <row r="118" spans="2:15" x14ac:dyDescent="0.2">
      <c r="B118" s="17">
        <v>234</v>
      </c>
      <c r="C118" s="278">
        <f>VLOOKUP( $B118, Aop!$A$2:$N$415, 5, 1)</f>
        <v>0</v>
      </c>
      <c r="D118" s="443" t="str">
        <f>VLOOKUP( $B118, Aop!$A$2:$N$415, 6, 1)</f>
        <v xml:space="preserve">    2. Gubitak prije oporezivanja (245 + 269 + 291 + 293 - 292 - 244 - 268 - 290)</v>
      </c>
      <c r="E118" s="443"/>
      <c r="F118" s="443"/>
      <c r="G118" s="443"/>
      <c r="H118" s="443"/>
      <c r="I118" s="167">
        <f>VLOOKUP( $B118, Aop!$A$2:$N$415, 4, 1)</f>
        <v>295</v>
      </c>
      <c r="J118" s="201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2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1"/>
    </row>
    <row r="119" spans="2:15" x14ac:dyDescent="0.2">
      <c r="B119" s="17">
        <v>235</v>
      </c>
      <c r="C119" s="277">
        <f>VLOOKUP( $B119, Aop!$A$2:$N$415, 5, 1)</f>
        <v>0</v>
      </c>
      <c r="D119" s="440" t="str">
        <f>VLOOKUP( $B119, Aop!$A$2:$N$415, 6, 1)</f>
        <v>N. TEKUĆI I ODLOŽENI POREZ NA DOBIT</v>
      </c>
      <c r="E119" s="440"/>
      <c r="F119" s="440"/>
      <c r="G119" s="440"/>
      <c r="H119" s="440"/>
      <c r="I119" s="233">
        <f>VLOOKUP( $B119, Aop!$A$2:$N$415, 4, 1)</f>
        <v>0</v>
      </c>
      <c r="J119" s="217"/>
      <c r="K119" s="218"/>
      <c r="M119" s="60"/>
      <c r="O119" s="281"/>
    </row>
    <row r="120" spans="2:15" x14ac:dyDescent="0.2">
      <c r="B120" s="17">
        <v>236</v>
      </c>
      <c r="C120" s="278">
        <f>VLOOKUP( $B120, Aop!$A$2:$N$415, 5, 1)</f>
        <v>721</v>
      </c>
      <c r="D120" s="443" t="str">
        <f>VLOOKUP( $B120, Aop!$A$2:$N$415, 6, 1)</f>
        <v xml:space="preserve">    1. Poreski rashodi perioda</v>
      </c>
      <c r="E120" s="443"/>
      <c r="F120" s="443"/>
      <c r="G120" s="443"/>
      <c r="H120" s="443"/>
      <c r="I120" s="167">
        <f>VLOOKUP( $B120, Aop!$A$2:$N$415, 4, 1)</f>
        <v>296</v>
      </c>
      <c r="J120" s="211">
        <v>53903</v>
      </c>
      <c r="K120" s="212">
        <v>5462</v>
      </c>
      <c r="M120" s="60"/>
      <c r="O120" s="281"/>
    </row>
    <row r="121" spans="2:15" x14ac:dyDescent="0.2">
      <c r="B121" s="17">
        <v>237</v>
      </c>
      <c r="C121" s="280">
        <f>VLOOKUP( $B121, Aop!$A$2:$N$415, 5, 1)</f>
        <v>722</v>
      </c>
      <c r="D121" s="442" t="str">
        <f>VLOOKUP( $B121, Aop!$A$2:$N$415, 6, 1)</f>
        <v xml:space="preserve">    2. Odloženi poreski rashodi perioda</v>
      </c>
      <c r="E121" s="442"/>
      <c r="F121" s="442"/>
      <c r="G121" s="442"/>
      <c r="H121" s="442"/>
      <c r="I121" s="165">
        <f>VLOOKUP( $B121, Aop!$A$2:$N$415, 4, 1)</f>
        <v>297</v>
      </c>
      <c r="J121" s="215"/>
      <c r="K121" s="216"/>
      <c r="M121" s="60"/>
      <c r="O121" s="281"/>
    </row>
    <row r="122" spans="2:15" x14ac:dyDescent="0.2">
      <c r="B122" s="17">
        <v>238</v>
      </c>
      <c r="C122" s="278">
        <f>VLOOKUP( $B122, Aop!$A$2:$N$415, 5, 1)</f>
        <v>723</v>
      </c>
      <c r="D122" s="443" t="str">
        <f>VLOOKUP( $B122, Aop!$A$2:$N$415, 6, 1)</f>
        <v xml:space="preserve">    3. Odloženi poreski prihodi perioda</v>
      </c>
      <c r="E122" s="443"/>
      <c r="F122" s="443"/>
      <c r="G122" s="443"/>
      <c r="H122" s="443"/>
      <c r="I122" s="167">
        <f>VLOOKUP( $B122, Aop!$A$2:$N$415, 4, 1)</f>
        <v>298</v>
      </c>
      <c r="J122" s="211"/>
      <c r="K122" s="212"/>
      <c r="M122" s="60"/>
      <c r="O122" s="281"/>
    </row>
    <row r="123" spans="2:15" x14ac:dyDescent="0.2">
      <c r="B123" s="17">
        <v>239</v>
      </c>
      <c r="C123" s="277">
        <f>VLOOKUP( $B123, Aop!$A$2:$N$415, 5, 1)</f>
        <v>0</v>
      </c>
      <c r="D123" s="440" t="str">
        <f>VLOOKUP( $B123, Aop!$A$2:$N$415, 6, 1)</f>
        <v>NJ. NETO DOBITAK I NETO GUBITAK PERIODA</v>
      </c>
      <c r="E123" s="440"/>
      <c r="F123" s="440"/>
      <c r="G123" s="440"/>
      <c r="H123" s="440"/>
      <c r="I123" s="233">
        <f>VLOOKUP( $B123, Aop!$A$2:$N$415, 4, 1)</f>
        <v>0</v>
      </c>
      <c r="J123" s="89"/>
      <c r="K123" s="90"/>
      <c r="M123" s="60"/>
      <c r="O123" s="281"/>
    </row>
    <row r="124" spans="2:15" x14ac:dyDescent="0.2">
      <c r="B124" s="17">
        <v>240</v>
      </c>
      <c r="C124" s="278">
        <f>VLOOKUP( $B124, Aop!$A$2:$N$415, 5, 1)</f>
        <v>0</v>
      </c>
      <c r="D124" s="443" t="str">
        <f>VLOOKUP( $B124, Aop!$A$2:$N$415, 6, 1)</f>
        <v xml:space="preserve">    1. Neto dobitak tekuće godine (294 - 295 - 296 - 297 + 298)</v>
      </c>
      <c r="E124" s="443"/>
      <c r="F124" s="443"/>
      <c r="G124" s="443"/>
      <c r="H124" s="443"/>
      <c r="I124" s="167">
        <f>VLOOKUP( $B124, Aop!$A$2:$N$415, 4, 1)</f>
        <v>299</v>
      </c>
      <c r="J124" s="201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481465</v>
      </c>
      <c r="K124" s="202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7290</v>
      </c>
      <c r="M124" s="60"/>
      <c r="O124" s="281"/>
    </row>
    <row r="125" spans="2:15" x14ac:dyDescent="0.2">
      <c r="B125" s="17">
        <v>241</v>
      </c>
      <c r="C125" s="280">
        <f>VLOOKUP( $B125, Aop!$A$2:$N$415, 5, 1)</f>
        <v>0</v>
      </c>
      <c r="D125" s="442" t="str">
        <f>VLOOKUP( $B125, Aop!$A$2:$N$415, 6, 1)</f>
        <v xml:space="preserve">    2. Neto gubitak tekuće godine (295 - 294 + 296 + 297 - 298)</v>
      </c>
      <c r="E125" s="442"/>
      <c r="F125" s="442"/>
      <c r="G125" s="442"/>
      <c r="H125" s="442"/>
      <c r="I125" s="165">
        <f>VLOOKUP( $B125, Aop!$A$2:$N$415, 4, 1)</f>
        <v>300</v>
      </c>
      <c r="J125" s="297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298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1"/>
    </row>
    <row r="126" spans="2:15" x14ac:dyDescent="0.2">
      <c r="B126" s="17">
        <v>242</v>
      </c>
      <c r="C126" s="275">
        <f>VLOOKUP( $B126, Aop!$A$2:$N$415, 5, 1)</f>
        <v>0</v>
      </c>
      <c r="D126" s="441" t="str">
        <f>VLOOKUP( $B126, Aop!$A$2:$N$415, 6, 1)</f>
        <v>UKUPNI PRIHODI (201 + 231 + 246 + 270 + 292)</v>
      </c>
      <c r="E126" s="441"/>
      <c r="F126" s="441"/>
      <c r="G126" s="441"/>
      <c r="H126" s="441"/>
      <c r="I126" s="235">
        <f>VLOOKUP( $B126, Aop!$A$2:$N$415, 4, 1)</f>
        <v>301</v>
      </c>
      <c r="J126" s="33">
        <f>SUBTOTAL( 9, J20:J30, J32, J34, J51:J57, J67:J77, J92:J101, J114) - SUBTOTAL( 9, J31, J33)</f>
        <v>18265724</v>
      </c>
      <c r="K126" s="84">
        <f>SUBTOTAL( 9, K20:K30, K32, K34, K51:K57, K67:K77, K92:K101, K114) - SUBTOTAL( 9, K31, K33)</f>
        <v>12980121</v>
      </c>
      <c r="M126" s="60"/>
      <c r="O126" s="281"/>
    </row>
    <row r="127" spans="2:15" x14ac:dyDescent="0.2">
      <c r="B127" s="17">
        <v>243</v>
      </c>
      <c r="C127" s="277">
        <f>VLOOKUP( $B127, Aop!$A$2:$N$415, 5, 1)</f>
        <v>0</v>
      </c>
      <c r="D127" s="399" t="str">
        <f>VLOOKUP( $B127, Aop!$A$2:$N$415, 6, 1)</f>
        <v>UKUPNI RASHODI (216 + 238 + 257 + 280 + 293)</v>
      </c>
      <c r="E127" s="400"/>
      <c r="F127" s="400"/>
      <c r="G127" s="400"/>
      <c r="H127" s="401"/>
      <c r="I127" s="233">
        <f>VLOOKUP( $B127, Aop!$A$2:$N$415, 4, 1)</f>
        <v>302</v>
      </c>
      <c r="J127" s="89">
        <f>SUBTOTAL( 9, J35:J47, J58:J63, J78:J88, J102:J111, J115)</f>
        <v>17730356</v>
      </c>
      <c r="K127" s="90">
        <f>SUBTOTAL( 9, K35:K47, K58:K63, K78:K88, K102:K111, K115)</f>
        <v>12967369</v>
      </c>
      <c r="M127" s="60"/>
      <c r="O127" s="281"/>
    </row>
    <row r="128" spans="2:15" x14ac:dyDescent="0.2">
      <c r="B128" s="17">
        <v>244</v>
      </c>
      <c r="C128" s="275">
        <f>VLOOKUP( $B128, Aop!$A$2:$N$415, 5, 1)</f>
        <v>724</v>
      </c>
      <c r="D128" s="441" t="str">
        <f>VLOOKUP( $B128, Aop!$A$2:$N$415, 6, 1)</f>
        <v xml:space="preserve">  O. MEĐUDIVIDENDE I DRUGI VIDOVI RASPODJELE DOBITKA U TOKU PERIODA</v>
      </c>
      <c r="E128" s="441"/>
      <c r="F128" s="441"/>
      <c r="G128" s="441"/>
      <c r="H128" s="441"/>
      <c r="I128" s="235">
        <f>VLOOKUP( $B128, Aop!$A$2:$N$415, 4, 1)</f>
        <v>303</v>
      </c>
      <c r="J128" s="328"/>
      <c r="K128" s="329"/>
      <c r="M128" s="60"/>
      <c r="O128" s="281"/>
    </row>
    <row r="129" spans="2:15" x14ac:dyDescent="0.2">
      <c r="B129" s="17">
        <v>245</v>
      </c>
      <c r="C129" s="280">
        <f>VLOOKUP( $B129, Aop!$A$2:$N$415, 5, 1)</f>
        <v>0</v>
      </c>
      <c r="D129" s="442" t="str">
        <f>VLOOKUP( $B129, Aop!$A$2:$N$415, 6, 1)</f>
        <v>Dio neto dobitka/gubitka koji pripada većinskim vlasnicima</v>
      </c>
      <c r="E129" s="442"/>
      <c r="F129" s="442"/>
      <c r="G129" s="442"/>
      <c r="H129" s="442"/>
      <c r="I129" s="165">
        <f>VLOOKUP( $B129, Aop!$A$2:$N$415, 4, 1)</f>
        <v>304</v>
      </c>
      <c r="J129" s="330"/>
      <c r="K129" s="331"/>
      <c r="M129" s="60"/>
      <c r="O129" s="281"/>
    </row>
    <row r="130" spans="2:15" x14ac:dyDescent="0.2">
      <c r="B130" s="17">
        <v>246</v>
      </c>
      <c r="C130" s="278">
        <f>VLOOKUP( $B130, Aop!$A$2:$N$415, 5, 1)</f>
        <v>0</v>
      </c>
      <c r="D130" s="443" t="str">
        <f>VLOOKUP( $B130, Aop!$A$2:$N$415, 6, 1)</f>
        <v>Dio neto dobitka/gubitka koji pripada manjinskim vlasnicima</v>
      </c>
      <c r="E130" s="443"/>
      <c r="F130" s="443"/>
      <c r="G130" s="443"/>
      <c r="H130" s="443"/>
      <c r="I130" s="167">
        <f>VLOOKUP( $B130, Aop!$A$2:$N$415, 4, 1)</f>
        <v>305</v>
      </c>
      <c r="J130" s="332"/>
      <c r="K130" s="333"/>
      <c r="M130" s="60"/>
      <c r="O130" s="281"/>
    </row>
    <row r="131" spans="2:15" ht="12.75" customHeight="1" x14ac:dyDescent="0.2">
      <c r="B131" s="17">
        <v>247</v>
      </c>
      <c r="C131" s="280">
        <f>VLOOKUP( $B131, Aop!$A$2:$N$415, 5, 1)</f>
        <v>0</v>
      </c>
      <c r="D131" s="442" t="str">
        <f>VLOOKUP( $B131, Aop!$A$2:$N$415, 6, 1)</f>
        <v>Obična zarada po akciji</v>
      </c>
      <c r="E131" s="442"/>
      <c r="F131" s="442"/>
      <c r="G131" s="442"/>
      <c r="H131" s="442"/>
      <c r="I131" s="165">
        <f>VLOOKUP( $B131, Aop!$A$2:$N$415, 4, 1)</f>
        <v>306</v>
      </c>
      <c r="J131" s="330"/>
      <c r="K131" s="331"/>
      <c r="M131" s="60"/>
      <c r="O131" s="281"/>
    </row>
    <row r="132" spans="2:15" ht="12.75" customHeight="1" x14ac:dyDescent="0.2">
      <c r="B132" s="17">
        <v>248</v>
      </c>
      <c r="C132" s="278">
        <f>VLOOKUP( $B132, Aop!$A$2:$N$415, 5, 1)</f>
        <v>0</v>
      </c>
      <c r="D132" s="443" t="str">
        <f>VLOOKUP( $B132, Aop!$A$2:$N$415, 6, 1)</f>
        <v>Razrijeđena zarada po akciji</v>
      </c>
      <c r="E132" s="443"/>
      <c r="F132" s="443"/>
      <c r="G132" s="443"/>
      <c r="H132" s="443"/>
      <c r="I132" s="167">
        <f>VLOOKUP( $B132, Aop!$A$2:$N$415, 4, 1)</f>
        <v>307</v>
      </c>
      <c r="J132" s="332"/>
      <c r="K132" s="333"/>
      <c r="M132" s="60"/>
      <c r="O132" s="281"/>
    </row>
    <row r="133" spans="2:15" ht="12.75" customHeight="1" x14ac:dyDescent="0.2">
      <c r="B133" s="17">
        <v>249</v>
      </c>
      <c r="C133" s="280">
        <f>VLOOKUP( $B133, Aop!$A$2:$N$415, 5, 1)</f>
        <v>0</v>
      </c>
      <c r="D133" s="442" t="str">
        <f>VLOOKUP( $B133, Aop!$A$2:$N$415, 6, 1)</f>
        <v>Prosječan broj zaposlenih po osnovu časova rada</v>
      </c>
      <c r="E133" s="442"/>
      <c r="F133" s="442"/>
      <c r="G133" s="442"/>
      <c r="H133" s="442"/>
      <c r="I133" s="165">
        <f>VLOOKUP( $B133, Aop!$A$2:$N$415, 4, 1)</f>
        <v>308</v>
      </c>
      <c r="J133" s="330">
        <v>77</v>
      </c>
      <c r="K133" s="331">
        <v>75</v>
      </c>
      <c r="M133" s="60"/>
      <c r="O133" s="281"/>
    </row>
    <row r="134" spans="2:15" ht="12.75" customHeight="1" x14ac:dyDescent="0.2">
      <c r="B134" s="17">
        <v>250</v>
      </c>
      <c r="C134" s="295">
        <f>VLOOKUP( $B134, Aop!$A$2:$N$415, 5, 1)</f>
        <v>0</v>
      </c>
      <c r="D134" s="439" t="str">
        <f>VLOOKUP( $B134, Aop!$A$2:$N$415, 6, 1)</f>
        <v>Prosječan broj zaposlenih po osnovu stanja na kraju mjeseca</v>
      </c>
      <c r="E134" s="439"/>
      <c r="F134" s="439"/>
      <c r="G134" s="439"/>
      <c r="H134" s="439"/>
      <c r="I134" s="296">
        <f>VLOOKUP( $B134, Aop!$A$2:$N$415, 4, 1)</f>
        <v>309</v>
      </c>
      <c r="J134" s="334">
        <v>77</v>
      </c>
      <c r="K134" s="335">
        <v>75</v>
      </c>
      <c r="M134" s="60"/>
      <c r="O134" s="281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64" t="str">
        <f>Podnozje_U</f>
        <v>U:</v>
      </c>
      <c r="D136" s="261" t="str">
        <f>Podatak_U</f>
        <v>Banja Luka</v>
      </c>
      <c r="E136"/>
      <c r="G136"/>
      <c r="H136" s="152" t="str">
        <f>Podnozje_Lice_sa_licencom</f>
        <v>Lice sa licencom:</v>
      </c>
      <c r="I136" s="262" t="str">
        <f>Podatak_Lice_sa_licencom</f>
        <v>Nada Diljkan, SRT-0354/22</v>
      </c>
      <c r="J136" s="263"/>
      <c r="K136" s="263"/>
    </row>
    <row r="137" spans="2:15" ht="12.75" customHeight="1" x14ac:dyDescent="0.2">
      <c r="B137" s="17"/>
      <c r="C137" s="30"/>
      <c r="D137" s="172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64" t="str">
        <f>Podnozje_Dana</f>
        <v>Datum:</v>
      </c>
      <c r="D138" s="262" t="str">
        <f>Podatak_Dana</f>
        <v>28.02.2022.</v>
      </c>
      <c r="E138"/>
      <c r="F138" s="51"/>
      <c r="G138"/>
      <c r="H138" s="152" t="str">
        <f>Podnozje_Direktor</f>
        <v>Lice ovlašćeno za zastupanje:</v>
      </c>
      <c r="I138" s="262" t="str">
        <f>Podatak_Direktor</f>
        <v>Mario Derajić</v>
      </c>
      <c r="J138" s="263"/>
      <c r="K138" s="263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5:E5"/>
    <mergeCell ref="D6:E6"/>
    <mergeCell ref="D10:E10"/>
    <mergeCell ref="D11:E11"/>
    <mergeCell ref="C7:E8"/>
    <mergeCell ref="C9:F9"/>
    <mergeCell ref="D42:H42"/>
    <mergeCell ref="D43:H43"/>
    <mergeCell ref="J16:K16"/>
    <mergeCell ref="C12:K12"/>
    <mergeCell ref="C13:K13"/>
    <mergeCell ref="C14:K14"/>
    <mergeCell ref="C16:C17"/>
    <mergeCell ref="D30:H30"/>
    <mergeCell ref="D31:H31"/>
    <mergeCell ref="D24:H24"/>
    <mergeCell ref="D23:H23"/>
    <mergeCell ref="J5:K5"/>
    <mergeCell ref="J6:K6"/>
    <mergeCell ref="J7:K7"/>
    <mergeCell ref="J8:K8"/>
    <mergeCell ref="J9:K9"/>
    <mergeCell ref="J10:K10"/>
    <mergeCell ref="I16:I17"/>
    <mergeCell ref="D45:H45"/>
    <mergeCell ref="D34:H34"/>
    <mergeCell ref="D35:H35"/>
    <mergeCell ref="D36:H36"/>
    <mergeCell ref="D37:H37"/>
    <mergeCell ref="D38:H38"/>
    <mergeCell ref="D49:H49"/>
    <mergeCell ref="D39:H39"/>
    <mergeCell ref="D40:H40"/>
    <mergeCell ref="D41:H41"/>
    <mergeCell ref="D16:H17"/>
    <mergeCell ref="D18:H18"/>
    <mergeCell ref="D19:H19"/>
    <mergeCell ref="D33:H33"/>
    <mergeCell ref="D22:H22"/>
    <mergeCell ref="D44:H44"/>
    <mergeCell ref="D20:H20"/>
    <mergeCell ref="D21:H21"/>
    <mergeCell ref="D26:H26"/>
    <mergeCell ref="D27:H27"/>
    <mergeCell ref="D32:H32"/>
    <mergeCell ref="D28:H28"/>
    <mergeCell ref="D29:H29"/>
    <mergeCell ref="D25:H25"/>
    <mergeCell ref="D89:H89"/>
    <mergeCell ref="D90:H90"/>
    <mergeCell ref="D91:H91"/>
    <mergeCell ref="D76:H76"/>
    <mergeCell ref="D77:H77"/>
    <mergeCell ref="D87:H87"/>
    <mergeCell ref="D101:H101"/>
    <mergeCell ref="D80:H80"/>
    <mergeCell ref="D81:H81"/>
    <mergeCell ref="D82:H82"/>
    <mergeCell ref="D83:H83"/>
    <mergeCell ref="D88:H88"/>
    <mergeCell ref="D92:H92"/>
    <mergeCell ref="D93:H93"/>
    <mergeCell ref="D86:H86"/>
    <mergeCell ref="D84:H84"/>
    <mergeCell ref="D85:H85"/>
    <mergeCell ref="D79:H79"/>
    <mergeCell ref="D94:H94"/>
    <mergeCell ref="D95:H95"/>
    <mergeCell ref="D96:H96"/>
    <mergeCell ref="D97:H97"/>
    <mergeCell ref="D98:H98"/>
    <mergeCell ref="D99:H99"/>
    <mergeCell ref="D55:H55"/>
    <mergeCell ref="D56:H56"/>
    <mergeCell ref="D57:H57"/>
    <mergeCell ref="D71:H71"/>
    <mergeCell ref="D72:H72"/>
    <mergeCell ref="D74:H74"/>
    <mergeCell ref="D75:H75"/>
    <mergeCell ref="D64:H64"/>
    <mergeCell ref="D68:H68"/>
    <mergeCell ref="D73:H73"/>
    <mergeCell ref="D104:H104"/>
    <mergeCell ref="D118:H118"/>
    <mergeCell ref="D117:H117"/>
    <mergeCell ref="D106:H106"/>
    <mergeCell ref="D107:H107"/>
    <mergeCell ref="D102:H102"/>
    <mergeCell ref="D108:H108"/>
    <mergeCell ref="D110:H110"/>
    <mergeCell ref="D111:H111"/>
    <mergeCell ref="D112:H112"/>
    <mergeCell ref="D52:H52"/>
    <mergeCell ref="D62:H62"/>
    <mergeCell ref="D63:H63"/>
    <mergeCell ref="D54:H54"/>
    <mergeCell ref="D46:H46"/>
    <mergeCell ref="D47:H47"/>
    <mergeCell ref="D48:H48"/>
    <mergeCell ref="D109:H109"/>
    <mergeCell ref="D103:H103"/>
    <mergeCell ref="D78:H78"/>
    <mergeCell ref="D50:H50"/>
    <mergeCell ref="D65:H65"/>
    <mergeCell ref="D66:H66"/>
    <mergeCell ref="D67:H67"/>
    <mergeCell ref="D51:H51"/>
    <mergeCell ref="D53:H53"/>
    <mergeCell ref="D58:H58"/>
    <mergeCell ref="D59:H59"/>
    <mergeCell ref="D60:H60"/>
    <mergeCell ref="D61:H61"/>
    <mergeCell ref="D69:H69"/>
    <mergeCell ref="D70:H70"/>
    <mergeCell ref="D105:H105"/>
    <mergeCell ref="D100:H100"/>
    <mergeCell ref="D134:H134"/>
    <mergeCell ref="D119:H119"/>
    <mergeCell ref="D128:H128"/>
    <mergeCell ref="D129:H129"/>
    <mergeCell ref="D130:H130"/>
    <mergeCell ref="D131:H131"/>
    <mergeCell ref="D124:H124"/>
    <mergeCell ref="D113:H113"/>
    <mergeCell ref="D114:H114"/>
    <mergeCell ref="D115:H115"/>
    <mergeCell ref="D116:H116"/>
    <mergeCell ref="D133:H133"/>
    <mergeCell ref="D120:H120"/>
    <mergeCell ref="D127:H127"/>
    <mergeCell ref="D121:H121"/>
    <mergeCell ref="D122:H122"/>
    <mergeCell ref="D123:H123"/>
    <mergeCell ref="D125:H125"/>
    <mergeCell ref="D126:H126"/>
    <mergeCell ref="D132:H132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33" sqref="D33:H3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7"/>
      <c r="D4" s="187"/>
      <c r="E4" s="187"/>
      <c r="F4" s="187"/>
      <c r="G4" s="187"/>
      <c r="H4" s="187"/>
      <c r="I4" s="187"/>
      <c r="J4" s="187"/>
      <c r="K4" s="187"/>
    </row>
    <row r="5" spans="2:11" ht="12.75" customHeight="1" x14ac:dyDescent="0.2">
      <c r="B5" s="17"/>
      <c r="C5" s="16" t="str">
        <f>Zaglavlje_MB</f>
        <v>Matični broj:</v>
      </c>
      <c r="D5" s="448" t="str">
        <f>Podatak_MB</f>
        <v>01940155</v>
      </c>
      <c r="E5" s="448"/>
      <c r="I5" s="17" t="str">
        <f>Zaglavlje_Ziro_racun</f>
        <v>Poslovni računi:</v>
      </c>
      <c r="J5" s="455" t="str">
        <f>Podatak_Ziro_racun_1</f>
        <v>555-007-00215205-80</v>
      </c>
      <c r="K5" s="455"/>
    </row>
    <row r="6" spans="2:11" ht="12.75" customHeight="1" x14ac:dyDescent="0.2">
      <c r="B6" s="17"/>
      <c r="C6" s="16" t="str">
        <f>Zaglavlje_Sifra_djelatnosti</f>
        <v>Šifra djelatnosti:</v>
      </c>
      <c r="D6" s="448" t="str">
        <f>Podatak_Sifra_djelatnosti</f>
        <v>10.20</v>
      </c>
      <c r="E6" s="448"/>
      <c r="F6" s="9"/>
      <c r="J6" s="455" t="str">
        <f>Podatak_Ziro_racun_2</f>
        <v>551-001-00000138-03</v>
      </c>
      <c r="K6" s="455"/>
    </row>
    <row r="7" spans="2:11" ht="12.75" customHeight="1" x14ac:dyDescent="0.2">
      <c r="B7" s="17"/>
      <c r="C7" s="449" t="str">
        <f>Zaglavlje_Naziv_preduzeca</f>
        <v>Naziv privrednog društva, zadruge, drugog pravnog lica ili preduzetnika:</v>
      </c>
      <c r="D7" s="449"/>
      <c r="E7" s="449"/>
      <c r="F7" s="19"/>
      <c r="J7" s="455" t="str">
        <f>Podatak_Ziro_racun_3</f>
        <v>154-560-20018542-14</v>
      </c>
      <c r="K7" s="455"/>
    </row>
    <row r="8" spans="2:11" ht="12.75" customHeight="1" x14ac:dyDescent="0.2">
      <c r="B8" s="17"/>
      <c r="C8" s="449"/>
      <c r="D8" s="449"/>
      <c r="E8" s="449"/>
      <c r="F8" s="19"/>
      <c r="J8" s="455" t="str">
        <f>Podatak_Ziro_racun_4</f>
        <v>567-162-11000878-15</v>
      </c>
      <c r="K8" s="455"/>
    </row>
    <row r="9" spans="2:11" ht="12.75" customHeight="1" x14ac:dyDescent="0.2">
      <c r="B9" s="17"/>
      <c r="C9" s="450" t="str">
        <f>Podatak_Naziv_preduzeca</f>
        <v xml:space="preserve">Fratello Trade a.d. </v>
      </c>
      <c r="D9" s="450"/>
      <c r="E9" s="450"/>
      <c r="F9" s="450"/>
      <c r="J9" s="455" t="str">
        <f>Podatak_Ziro_racun_5</f>
        <v>194-146-03103041-89</v>
      </c>
      <c r="K9" s="455"/>
    </row>
    <row r="10" spans="2:11" ht="12.75" customHeight="1" x14ac:dyDescent="0.2">
      <c r="B10" s="17"/>
      <c r="C10" s="16" t="str">
        <f>Zaglavlje_Sjediste</f>
        <v>Sjedište:</v>
      </c>
      <c r="D10" s="448" t="str">
        <f>Podatak_Sjediste</f>
        <v>Banja Luka</v>
      </c>
      <c r="E10" s="448"/>
      <c r="F10" s="16"/>
      <c r="J10" s="455" t="str">
        <f>Podatak_Ziro_racun_6</f>
        <v>199-056-00543633-54</v>
      </c>
      <c r="K10" s="455"/>
    </row>
    <row r="11" spans="2:11" ht="12.75" customHeight="1" x14ac:dyDescent="0.2">
      <c r="B11" s="17"/>
      <c r="C11" s="16" t="str">
        <f>Zaglavlje_JIB</f>
        <v>JIB:</v>
      </c>
      <c r="D11" s="448" t="str">
        <f>Podatak_JIB</f>
        <v>4400929510006</v>
      </c>
      <c r="E11" s="448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38" t="str">
        <f>IF( Id_Konsolidovani, Nazivi_bilansa_Konsolidovani_naziv &amp; LOWER( Nazivi_bilansa_BUb), Nazivi_bilansa_BUb)</f>
        <v>Izvještaj</v>
      </c>
      <c r="D12" s="438"/>
      <c r="E12" s="438"/>
      <c r="F12" s="438"/>
      <c r="G12" s="438"/>
      <c r="H12" s="438"/>
      <c r="I12" s="438"/>
      <c r="J12" s="438"/>
      <c r="K12" s="438"/>
    </row>
    <row r="13" spans="2:11" ht="14.25" x14ac:dyDescent="0.2">
      <c r="B13" s="17"/>
      <c r="C13" s="459" t="str">
        <f>Nazivi_bilansa_BUb1</f>
        <v>o ostalim dobicima i gubicima perioda</v>
      </c>
      <c r="D13" s="459"/>
      <c r="E13" s="459"/>
      <c r="F13" s="459"/>
      <c r="G13" s="459"/>
      <c r="H13" s="459"/>
      <c r="I13" s="459"/>
      <c r="J13" s="459"/>
      <c r="K13" s="459"/>
    </row>
    <row r="14" spans="2:11" ht="12.75" customHeight="1" x14ac:dyDescent="0.2">
      <c r="B14" s="17"/>
      <c r="C14" s="452" t="str">
        <f>Datumi_Datum_BU</f>
        <v>za period od 01.01. do 31.12.2021. godine</v>
      </c>
      <c r="D14" s="452"/>
      <c r="E14" s="452"/>
      <c r="F14" s="452"/>
      <c r="G14" s="452"/>
      <c r="H14" s="452"/>
      <c r="I14" s="452"/>
      <c r="J14" s="452"/>
      <c r="K14" s="45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3" t="str">
        <f>Tabele_zaglavlje_Grupa_racuna</f>
        <v>Grupa računa, račun</v>
      </c>
      <c r="D16" s="444" t="str">
        <f>Tabele_zaglavlje_Pozicija</f>
        <v>POZICIJA</v>
      </c>
      <c r="E16" s="444"/>
      <c r="F16" s="444"/>
      <c r="G16" s="444"/>
      <c r="H16" s="444"/>
      <c r="I16" s="456" t="str">
        <f>Tabele_zaglavlje_Oznaka_aop</f>
        <v>Oznaka za AOP</v>
      </c>
      <c r="J16" s="444" t="str">
        <f>Tabele_zaglavlje_Iznos</f>
        <v>Iznos</v>
      </c>
      <c r="K16" s="451"/>
    </row>
    <row r="17" spans="2:15" ht="25.5" customHeight="1" x14ac:dyDescent="0.2">
      <c r="B17" s="17"/>
      <c r="C17" s="454"/>
      <c r="D17" s="445"/>
      <c r="E17" s="445"/>
      <c r="F17" s="445"/>
      <c r="G17" s="445"/>
      <c r="H17" s="445"/>
      <c r="I17" s="457"/>
      <c r="J17" s="58" t="str">
        <f>Tabele_zaglavlje_Tekuca_godina</f>
        <v>Tekuća godina</v>
      </c>
      <c r="K17" s="59" t="str">
        <f>Tabele_zaglavlje_Prethodna_godina</f>
        <v>Prethodna godina</v>
      </c>
      <c r="O17" s="183" t="s">
        <v>1780</v>
      </c>
    </row>
    <row r="18" spans="2:15" ht="12.75" customHeight="1" x14ac:dyDescent="0.2">
      <c r="B18" s="14" t="s">
        <v>1364</v>
      </c>
      <c r="C18" s="93">
        <v>1</v>
      </c>
      <c r="D18" s="446">
        <v>2</v>
      </c>
      <c r="E18" s="446"/>
      <c r="F18" s="446"/>
      <c r="G18" s="446"/>
      <c r="H18" s="446"/>
      <c r="I18" s="94">
        <v>3</v>
      </c>
      <c r="J18" s="94">
        <v>4</v>
      </c>
      <c r="K18" s="95">
        <v>5</v>
      </c>
    </row>
    <row r="19" spans="2:15" ht="12.75" customHeight="1" x14ac:dyDescent="0.2">
      <c r="B19" s="17">
        <v>251</v>
      </c>
      <c r="C19" s="99">
        <f>VLOOKUP( $B19, Aop!$A$2:$N$415, 5, 1)</f>
        <v>0</v>
      </c>
      <c r="D19" s="460" t="str">
        <f>VLOOKUP( $B19, Aop!$A$2:$N$415, 6, 1)</f>
        <v>A. NETO DOBITAK ILI NETO GUBITAK PERIODA (299 ili 300)</v>
      </c>
      <c r="E19" s="460"/>
      <c r="F19" s="460"/>
      <c r="G19" s="460"/>
      <c r="H19" s="460"/>
      <c r="I19" s="100">
        <f>VLOOKUP( $B19, Aop!$A$2:$N$415, 4, 1)</f>
        <v>400</v>
      </c>
      <c r="J19" s="101">
        <f>'02a'!J124 - '02a'!J125</f>
        <v>481465</v>
      </c>
      <c r="K19" s="102">
        <f>'02a'!K124 - '02a'!K125</f>
        <v>7290</v>
      </c>
      <c r="O19" s="29"/>
    </row>
    <row r="20" spans="2:15" ht="12.75" customHeight="1" x14ac:dyDescent="0.2">
      <c r="B20" s="17">
        <v>252</v>
      </c>
      <c r="C20" s="88">
        <f>VLOOKUP( $B20, Aop!$A$2:$N$415, 5, 1)</f>
        <v>0</v>
      </c>
      <c r="D20" s="458" t="str">
        <f>VLOOKUP( $B20, Aop!$A$2:$N$415, 6, 1)</f>
        <v xml:space="preserve">  I - DOBICI UTVRĐENI DIREKTNO U KAPITALU (402 do 407)</v>
      </c>
      <c r="E20" s="458"/>
      <c r="F20" s="458"/>
      <c r="G20" s="458"/>
      <c r="H20" s="458"/>
      <c r="I20" s="86">
        <f>VLOOKUP( $B20, Aop!$A$2:$N$415, 4, 1)</f>
        <v>401</v>
      </c>
      <c r="J20" s="103">
        <f>SUBTOTAL( 9, J21:J26)</f>
        <v>0</v>
      </c>
      <c r="K20" s="104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Aop!$A$2:$N$415, 5, 1)</f>
        <v>0</v>
      </c>
      <c r="D21" s="443" t="str">
        <f>VLOOKUP( $B21, Aop!$A$2:$N$415, 6, 1)</f>
        <v xml:space="preserve">    1. Dobici po osnovu smanjenja revalorizacionih rezervi na stalnim sredstvima, osim HOV raspoloživih za prodaju</v>
      </c>
      <c r="E21" s="443"/>
      <c r="F21" s="443"/>
      <c r="G21" s="443"/>
      <c r="H21" s="443"/>
      <c r="I21" s="83">
        <f>VLOOKUP( $B21, Aop!$A$2:$N$415, 4, 1)</f>
        <v>402</v>
      </c>
      <c r="J21" s="219"/>
      <c r="K21" s="220"/>
      <c r="O21" s="182" t="s">
        <v>1581</v>
      </c>
    </row>
    <row r="22" spans="2:15" x14ac:dyDescent="0.2">
      <c r="B22" s="17">
        <v>254</v>
      </c>
      <c r="C22" s="88">
        <f>VLOOKUP( $B22, Aop!$A$2:$N$415, 5, 1)</f>
        <v>0</v>
      </c>
      <c r="D22" s="461" t="str">
        <f>VLOOKUP( $B22, Aop!$A$2:$N$415, 6, 1)</f>
        <v xml:space="preserve">    2. Dobici po osnovu promjene fer vrijednosti HOV raspoloživih za prodaju</v>
      </c>
      <c r="E22" s="461"/>
      <c r="F22" s="461"/>
      <c r="G22" s="461"/>
      <c r="H22" s="461"/>
      <c r="I22" s="86">
        <f>VLOOKUP( $B22, Aop!$A$2:$N$415, 4, 1)</f>
        <v>403</v>
      </c>
      <c r="J22" s="221"/>
      <c r="K22" s="222"/>
      <c r="O22"/>
    </row>
    <row r="23" spans="2:15" x14ac:dyDescent="0.2">
      <c r="B23" s="17">
        <v>255</v>
      </c>
      <c r="C23" s="82">
        <f>VLOOKUP( $B23, Aop!$A$2:$N$415, 5, 1)</f>
        <v>0</v>
      </c>
      <c r="D23" s="443" t="str">
        <f>VLOOKUP( $B23, Aop!$A$2:$N$415, 6, 1)</f>
        <v xml:space="preserve">    3. Dobici po osnovu prevođenja finansijskih izvještaja inostranog poslovanja</v>
      </c>
      <c r="E23" s="443"/>
      <c r="F23" s="443"/>
      <c r="G23" s="443"/>
      <c r="H23" s="443"/>
      <c r="I23" s="83">
        <f>VLOOKUP( $B23, Aop!$A$2:$N$415, 4, 1)</f>
        <v>404</v>
      </c>
      <c r="J23" s="219"/>
      <c r="K23" s="220"/>
      <c r="O23"/>
    </row>
    <row r="24" spans="2:15" ht="12.75" customHeight="1" x14ac:dyDescent="0.2">
      <c r="B24" s="17">
        <v>256</v>
      </c>
      <c r="C24" s="88">
        <f>VLOOKUP( $B24, Aop!$A$2:$N$415, 5, 1)</f>
        <v>0</v>
      </c>
      <c r="D24" s="461" t="str">
        <f>VLOOKUP( $B24, Aop!$A$2:$N$415, 6, 1)</f>
        <v xml:space="preserve">    4. Aktuarski dobici od planova definisanih primanja</v>
      </c>
      <c r="E24" s="461"/>
      <c r="F24" s="461"/>
      <c r="G24" s="461"/>
      <c r="H24" s="461"/>
      <c r="I24" s="86">
        <f>VLOOKUP( $B24, Aop!$A$2:$N$415, 4, 1)</f>
        <v>405</v>
      </c>
      <c r="J24" s="221"/>
      <c r="K24" s="222"/>
      <c r="O24"/>
    </row>
    <row r="25" spans="2:15" ht="12.75" customHeight="1" x14ac:dyDescent="0.2">
      <c r="B25" s="17">
        <v>257</v>
      </c>
      <c r="C25" s="82">
        <f>VLOOKUP( $B25, Aop!$A$2:$N$415, 5, 1)</f>
        <v>0</v>
      </c>
      <c r="D25" s="443" t="str">
        <f>VLOOKUP( $B25, Aop!$A$2:$N$415, 6, 1)</f>
        <v xml:space="preserve">    5. Efektivni dio dobitaka po osnovu zaštite od rizika gotovinskih tokova</v>
      </c>
      <c r="E25" s="443"/>
      <c r="F25" s="443"/>
      <c r="G25" s="443"/>
      <c r="H25" s="443"/>
      <c r="I25" s="83">
        <f>VLOOKUP( $B25, Aop!$A$2:$N$415, 4, 1)</f>
        <v>406</v>
      </c>
      <c r="J25" s="219"/>
      <c r="K25" s="220"/>
      <c r="O25"/>
    </row>
    <row r="26" spans="2:15" ht="12.75" customHeight="1" x14ac:dyDescent="0.2">
      <c r="B26" s="17">
        <v>258</v>
      </c>
      <c r="C26" s="88">
        <f>VLOOKUP( $B26, Aop!$A$2:$N$415, 5, 1)</f>
        <v>0</v>
      </c>
      <c r="D26" s="461" t="str">
        <f>VLOOKUP( $B26, Aop!$A$2:$N$415, 6, 1)</f>
        <v xml:space="preserve">    6. Ostali dobici utvrđeni direktno u kapitalu</v>
      </c>
      <c r="E26" s="461"/>
      <c r="F26" s="461"/>
      <c r="G26" s="461"/>
      <c r="H26" s="461"/>
      <c r="I26" s="86">
        <f>VLOOKUP( $B26, Aop!$A$2:$N$415, 4, 1)</f>
        <v>407</v>
      </c>
      <c r="J26" s="221"/>
      <c r="K26" s="222"/>
      <c r="O26"/>
    </row>
    <row r="27" spans="2:15" ht="12.75" customHeight="1" x14ac:dyDescent="0.2">
      <c r="B27" s="17">
        <v>259</v>
      </c>
      <c r="C27" s="82">
        <f>VLOOKUP( $B27, Aop!$A$2:$N$415, 5, 1)</f>
        <v>0</v>
      </c>
      <c r="D27" s="441" t="str">
        <f>VLOOKUP( $B27, Aop!$A$2:$N$415, 6, 1)</f>
        <v xml:space="preserve">  II - GUBICI UTVRĐENI DIREKTNO U KAPITALU (409 do 413)</v>
      </c>
      <c r="E27" s="441"/>
      <c r="F27" s="441"/>
      <c r="G27" s="441"/>
      <c r="H27" s="441"/>
      <c r="I27" s="83">
        <f>VLOOKUP( $B27, Aop!$A$2:$N$415, 4, 1)</f>
        <v>408</v>
      </c>
      <c r="J27" s="105">
        <f>SUBTOTAL( 9, J28:J32)</f>
        <v>0</v>
      </c>
      <c r="K27" s="106">
        <f>SUBTOTAL( 9, K28:K32)</f>
        <v>0</v>
      </c>
      <c r="O27"/>
    </row>
    <row r="28" spans="2:15" x14ac:dyDescent="0.2">
      <c r="B28" s="17">
        <v>260</v>
      </c>
      <c r="C28" s="88">
        <f>VLOOKUP( $B28, Aop!$A$2:$N$415, 5, 1)</f>
        <v>0</v>
      </c>
      <c r="D28" s="461" t="str">
        <f>VLOOKUP( $B28, Aop!$A$2:$N$415, 6, 1)</f>
        <v xml:space="preserve">    1. Gubici po osnovu promjene fer vrijednosti HOV raspoloživih za prodaju</v>
      </c>
      <c r="E28" s="461"/>
      <c r="F28" s="461"/>
      <c r="G28" s="461"/>
      <c r="H28" s="461"/>
      <c r="I28" s="86">
        <f>VLOOKUP( $B28, Aop!$A$2:$N$415, 4, 1)</f>
        <v>409</v>
      </c>
      <c r="J28" s="221"/>
      <c r="K28" s="222"/>
      <c r="O28"/>
    </row>
    <row r="29" spans="2:15" x14ac:dyDescent="0.2">
      <c r="B29" s="17">
        <v>261</v>
      </c>
      <c r="C29" s="82">
        <f>VLOOKUP( $B29, Aop!$A$2:$N$415, 5, 1)</f>
        <v>0</v>
      </c>
      <c r="D29" s="443" t="str">
        <f>VLOOKUP( $B29, Aop!$A$2:$N$415, 6, 1)</f>
        <v xml:space="preserve">    2. Gubici po osnovu prevođenja finansijskih izvještaja inostranog poslovanja</v>
      </c>
      <c r="E29" s="443"/>
      <c r="F29" s="443"/>
      <c r="G29" s="443"/>
      <c r="H29" s="443"/>
      <c r="I29" s="83">
        <f>VLOOKUP( $B29, Aop!$A$2:$N$415, 4, 1)</f>
        <v>410</v>
      </c>
      <c r="J29" s="219"/>
      <c r="K29" s="220"/>
      <c r="O29"/>
    </row>
    <row r="30" spans="2:15" ht="12.75" customHeight="1" x14ac:dyDescent="0.2">
      <c r="B30" s="17">
        <v>262</v>
      </c>
      <c r="C30" s="88">
        <f>VLOOKUP( $B30, Aop!$A$2:$N$415, 5, 1)</f>
        <v>0</v>
      </c>
      <c r="D30" s="461" t="str">
        <f>VLOOKUP( $B30, Aop!$A$2:$N$415, 6, 1)</f>
        <v xml:space="preserve">    3. Aktuarski gubici od planova definisanih primanja</v>
      </c>
      <c r="E30" s="461"/>
      <c r="F30" s="461"/>
      <c r="G30" s="461"/>
      <c r="H30" s="461"/>
      <c r="I30" s="86">
        <f>VLOOKUP( $B30, Aop!$A$2:$N$415, 4, 1)</f>
        <v>411</v>
      </c>
      <c r="J30" s="221"/>
      <c r="K30" s="222"/>
      <c r="O30"/>
    </row>
    <row r="31" spans="2:15" ht="12.75" customHeight="1" x14ac:dyDescent="0.2">
      <c r="B31" s="17">
        <v>263</v>
      </c>
      <c r="C31" s="82">
        <f>VLOOKUP( $B31, Aop!$A$2:$N$415, 5, 1)</f>
        <v>0</v>
      </c>
      <c r="D31" s="443" t="str">
        <f>VLOOKUP( $B31, Aop!$A$2:$N$415, 6, 1)</f>
        <v xml:space="preserve">    4. Efektivni dio gubitaka po osnovu zaštite od rizika gotovinskih tokova</v>
      </c>
      <c r="E31" s="443"/>
      <c r="F31" s="443"/>
      <c r="G31" s="443"/>
      <c r="H31" s="443"/>
      <c r="I31" s="83">
        <f>VLOOKUP( $B31, Aop!$A$2:$N$415, 4, 1)</f>
        <v>412</v>
      </c>
      <c r="J31" s="219"/>
      <c r="K31" s="220"/>
      <c r="O31"/>
    </row>
    <row r="32" spans="2:15" ht="12.75" customHeight="1" x14ac:dyDescent="0.2">
      <c r="B32" s="17">
        <v>264</v>
      </c>
      <c r="C32" s="88">
        <f>VLOOKUP( $B32, Aop!$A$2:$N$415, 5, 1)</f>
        <v>0</v>
      </c>
      <c r="D32" s="461" t="str">
        <f>VLOOKUP( $B32, Aop!$A$2:$N$415, 6, 1)</f>
        <v xml:space="preserve">    5. Ostali gubici utvrđeni direktno u kapitalu</v>
      </c>
      <c r="E32" s="461"/>
      <c r="F32" s="461"/>
      <c r="G32" s="461"/>
      <c r="H32" s="461"/>
      <c r="I32" s="86">
        <f>VLOOKUP( $B32, Aop!$A$2:$N$415, 4, 1)</f>
        <v>413</v>
      </c>
      <c r="J32" s="221"/>
      <c r="K32" s="222"/>
      <c r="O32"/>
    </row>
    <row r="33" spans="2:15" ht="12.75" customHeight="1" x14ac:dyDescent="0.2">
      <c r="B33" s="17">
        <v>265</v>
      </c>
      <c r="C33" s="82">
        <f>VLOOKUP( $B33, Aop!$A$2:$N$415, 5, 1)</f>
        <v>0</v>
      </c>
      <c r="D33" s="441" t="str">
        <f>VLOOKUP( $B33, Aop!$A$2:$N$415, 6, 1)</f>
        <v>B. OSTALI DOBICI ILI GUBICI U PERIODU (401 - 408) ili (408 - 401)</v>
      </c>
      <c r="E33" s="441"/>
      <c r="F33" s="441"/>
      <c r="G33" s="441"/>
      <c r="H33" s="441"/>
      <c r="I33" s="83">
        <f>VLOOKUP( $B33, Aop!$A$2:$N$415, 4, 1)</f>
        <v>414</v>
      </c>
      <c r="J33" s="105">
        <f>SUBTOTAL( 9, J21:J26) - SUBTOTAL( 9, J27:J32)</f>
        <v>0</v>
      </c>
      <c r="K33" s="106">
        <f>SUBTOTAL( 9, K21:K26) - SUBTOTAL( 9, K27:K32)</f>
        <v>0</v>
      </c>
      <c r="O33"/>
    </row>
    <row r="34" spans="2:15" ht="12.75" customHeight="1" x14ac:dyDescent="0.2">
      <c r="B34" s="17">
        <v>266</v>
      </c>
      <c r="C34" s="88">
        <f>VLOOKUP( $B34, Aop!$A$2:$N$415, 5, 1)</f>
        <v>0</v>
      </c>
      <c r="D34" s="458" t="str">
        <f>VLOOKUP( $B34, Aop!$A$2:$N$415, 6, 1)</f>
        <v>V. POREZ NA DOBITAK KOJI SE ODNOSI NA OSTALE DOBITKE I GUBITKE</v>
      </c>
      <c r="E34" s="458"/>
      <c r="F34" s="458"/>
      <c r="G34" s="458"/>
      <c r="H34" s="458"/>
      <c r="I34" s="86">
        <f>VLOOKUP( $B34, Aop!$A$2:$N$415, 4, 1)</f>
        <v>415</v>
      </c>
      <c r="J34" s="223"/>
      <c r="K34" s="224"/>
      <c r="O34"/>
    </row>
    <row r="35" spans="2:15" x14ac:dyDescent="0.2">
      <c r="B35" s="17">
        <v>267</v>
      </c>
      <c r="C35" s="82">
        <f>VLOOKUP( $B35, Aop!$A$2:$N$415, 5, 1)</f>
        <v>0</v>
      </c>
      <c r="D35" s="441" t="str">
        <f>VLOOKUP( $B35, Aop!$A$2:$N$415, 6, 1)</f>
        <v>G. NETO REZULTAT PO OSNOVU OSTALIH DOBITAKA I GUBITAKA U PERIODU (414 ± 415)</v>
      </c>
      <c r="E35" s="441"/>
      <c r="F35" s="441"/>
      <c r="G35" s="441"/>
      <c r="H35" s="441"/>
      <c r="I35" s="83">
        <f>VLOOKUP( $B35, Aop!$A$2:$N$415, 4, 1)</f>
        <v>416</v>
      </c>
      <c r="J35" s="105">
        <f>SUBTOTAL( 9, J21:J26) - SUBTOTAL( 9, J27:J32, J34)</f>
        <v>0</v>
      </c>
      <c r="K35" s="106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88">
        <f>VLOOKUP( $B36, Aop!$A$2:$N$415, 5, 1)</f>
        <v>0</v>
      </c>
      <c r="D36" s="458" t="str">
        <f>VLOOKUP( $B36, Aop!$A$2:$N$415, 6, 1)</f>
        <v>D. UKUPAN NETO REZULTAT U OBRAČUNSKOM PERIODU</v>
      </c>
      <c r="E36" s="458"/>
      <c r="F36" s="458"/>
      <c r="G36" s="458"/>
      <c r="H36" s="458"/>
      <c r="I36" s="86">
        <f>VLOOKUP( $B36, Aop!$A$2:$N$415, 4, 1)</f>
        <v>0</v>
      </c>
      <c r="J36" s="103"/>
      <c r="K36" s="104"/>
      <c r="O36" s="29"/>
    </row>
    <row r="37" spans="2:15" ht="12.75" customHeight="1" x14ac:dyDescent="0.2">
      <c r="B37" s="17">
        <v>269</v>
      </c>
      <c r="C37" s="82">
        <f>VLOOKUP( $B37, Aop!$A$2:$N$415, 5, 1)</f>
        <v>0</v>
      </c>
      <c r="D37" s="441" t="str">
        <f>VLOOKUP( $B37, Aop!$A$2:$N$415, 6, 1)</f>
        <v xml:space="preserve">  I - UKUPAN NETO DOBITAK U OBRAČUNSKOM PERIODU (400 ± 416)</v>
      </c>
      <c r="E37" s="441"/>
      <c r="F37" s="441"/>
      <c r="G37" s="441"/>
      <c r="H37" s="441"/>
      <c r="I37" s="83">
        <f>VLOOKUP( $B37, Aop!$A$2:$N$415, 4, 1)</f>
        <v>417</v>
      </c>
      <c r="J37" s="105">
        <f>IF( SUBTOTAL( 9, J19, J20:J26) - SUBTOTAL( 9, J27:J32, J34) &lt;= 0, 0, ABS( SUBTOTAL( 9, J19, J20:J26) - SUBTOTAL( 9, J27:J32, J34) ))</f>
        <v>481465</v>
      </c>
      <c r="K37" s="106">
        <f>IF( SUBTOTAL( 9, K19, K20:K26) - SUBTOTAL( 9, K27:K32, K34) &lt;= 0, 0, ABS( SUBTOTAL( 9, K19, K20:K26) - SUBTOTAL( 9, K27:K32, K34) ))</f>
        <v>7290</v>
      </c>
      <c r="O37" s="29"/>
    </row>
    <row r="38" spans="2:15" ht="12.75" customHeight="1" x14ac:dyDescent="0.2">
      <c r="B38" s="17">
        <v>270</v>
      </c>
      <c r="C38" s="91">
        <f>VLOOKUP( $B38, Aop!$A$2:$N$415, 5, 1)</f>
        <v>0</v>
      </c>
      <c r="D38" s="462" t="str">
        <f>VLOOKUP( $B38, Aop!$A$2:$N$415, 6, 1)</f>
        <v xml:space="preserve">  II - UKUPAN NETO GUBITAK U OBRAČUNSKOM PERIODU (400 ± 416)</v>
      </c>
      <c r="E38" s="462"/>
      <c r="F38" s="462"/>
      <c r="G38" s="462"/>
      <c r="H38" s="462"/>
      <c r="I38" s="92">
        <f>VLOOKUP( $B38, Aop!$A$2:$N$415, 4, 1)</f>
        <v>418</v>
      </c>
      <c r="J38" s="107">
        <f>IF( SUBTOTAL( 9, J19, J20:J26) - SUBTOTAL( 9, J27:J32, J34) &gt;= 0, 0, ABS( SUBTOTAL( 9, J19, J20:J26) - SUBTOTAL( 9, J27:J32, J34) ))</f>
        <v>0</v>
      </c>
      <c r="K38" s="108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64" t="str">
        <f>Podnozje_U</f>
        <v>U:</v>
      </c>
      <c r="D40" s="261" t="str">
        <f>Podatak_U</f>
        <v>Banja Luka</v>
      </c>
      <c r="E40"/>
      <c r="G40"/>
      <c r="H40" s="152" t="str">
        <f>Podnozje_Lice_sa_licencom</f>
        <v>Lice sa licencom:</v>
      </c>
      <c r="I40" s="262" t="str">
        <f>Podatak_Lice_sa_licencom</f>
        <v>Nada Diljkan, SRT-0354/22</v>
      </c>
      <c r="J40" s="263"/>
      <c r="K40" s="263"/>
    </row>
    <row r="41" spans="2:15" ht="12.75" customHeight="1" x14ac:dyDescent="0.2">
      <c r="C41" s="30"/>
      <c r="D41" s="172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64" t="str">
        <f>Podnozje_Dana</f>
        <v>Datum:</v>
      </c>
      <c r="D42" s="262" t="str">
        <f>Podatak_Dana</f>
        <v>28.02.2022.</v>
      </c>
      <c r="E42"/>
      <c r="F42" s="51"/>
      <c r="G42"/>
      <c r="H42" s="152" t="str">
        <f>Podnozje_Direktor</f>
        <v>Lice ovlašćeno za zastupanje:</v>
      </c>
      <c r="I42" s="262" t="str">
        <f>Podatak_Direktor</f>
        <v>Mario Derajić</v>
      </c>
      <c r="J42" s="263"/>
      <c r="K42" s="263"/>
    </row>
    <row r="43" spans="2:15" ht="12.75" customHeight="1" x14ac:dyDescent="0.2">
      <c r="C43" s="61"/>
      <c r="G43" s="52"/>
      <c r="H43" s="50"/>
      <c r="I43" s="265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8:H38"/>
    <mergeCell ref="D30:H30"/>
    <mergeCell ref="D31:H31"/>
    <mergeCell ref="D32:H32"/>
    <mergeCell ref="D33:H33"/>
    <mergeCell ref="D35:H35"/>
    <mergeCell ref="D36:H36"/>
    <mergeCell ref="D37:H37"/>
    <mergeCell ref="D34:H34"/>
    <mergeCell ref="D28:H28"/>
    <mergeCell ref="D29:H29"/>
    <mergeCell ref="D22:H22"/>
    <mergeCell ref="D23:H23"/>
    <mergeCell ref="D24:H24"/>
    <mergeCell ref="D25:H25"/>
    <mergeCell ref="D27:H27"/>
    <mergeCell ref="D26:H26"/>
    <mergeCell ref="D21:H21"/>
    <mergeCell ref="C12:K12"/>
    <mergeCell ref="C13:K13"/>
    <mergeCell ref="C14:K14"/>
    <mergeCell ref="C16:C17"/>
    <mergeCell ref="D19:H19"/>
    <mergeCell ref="D18:H18"/>
    <mergeCell ref="C7:E8"/>
    <mergeCell ref="D20:H20"/>
    <mergeCell ref="J16:K16"/>
    <mergeCell ref="D5:E5"/>
    <mergeCell ref="J5:K5"/>
    <mergeCell ref="D6:E6"/>
    <mergeCell ref="J6:K6"/>
    <mergeCell ref="C9:F9"/>
    <mergeCell ref="J7:K7"/>
    <mergeCell ref="J8:K8"/>
    <mergeCell ref="J10:K10"/>
    <mergeCell ref="D11:E11"/>
    <mergeCell ref="D10:E10"/>
    <mergeCell ref="J9:K9"/>
    <mergeCell ref="D16:H17"/>
    <mergeCell ref="I16:I17"/>
  </mergeCells>
  <phoneticPr fontId="23" type="noConversion"/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J69" sqref="J6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48" t="str">
        <f>Podatak_MB</f>
        <v>01940155</v>
      </c>
      <c r="E5" s="448"/>
      <c r="I5" s="17" t="str">
        <f>Zaglavlje_Ziro_racun</f>
        <v>Poslovni računi:</v>
      </c>
      <c r="J5" s="455" t="str">
        <f>Podatak_Ziro_racun_1</f>
        <v>555-007-00215205-80</v>
      </c>
      <c r="K5" s="455"/>
    </row>
    <row r="6" spans="3:13" x14ac:dyDescent="0.2">
      <c r="C6" s="16" t="str">
        <f>Zaglavlje_Sifra_djelatnosti</f>
        <v>Šifra djelatnosti:</v>
      </c>
      <c r="D6" s="448" t="str">
        <f>Podatak_Sifra_djelatnosti</f>
        <v>10.20</v>
      </c>
      <c r="E6" s="448"/>
      <c r="F6" s="9"/>
      <c r="J6" s="455" t="str">
        <f>Podatak_Ziro_racun_2</f>
        <v>551-001-00000138-03</v>
      </c>
      <c r="K6" s="455"/>
    </row>
    <row r="7" spans="3:13" x14ac:dyDescent="0.2">
      <c r="C7" s="449" t="str">
        <f>Zaglavlje_Naziv_preduzeca</f>
        <v>Naziv privrednog društva, zadruge, drugog pravnog lica ili preduzetnika:</v>
      </c>
      <c r="D7" s="449"/>
      <c r="E7" s="449"/>
      <c r="F7" s="19"/>
      <c r="J7" s="455" t="str">
        <f>Podatak_Ziro_racun_3</f>
        <v>154-560-20018542-14</v>
      </c>
      <c r="K7" s="455"/>
    </row>
    <row r="8" spans="3:13" x14ac:dyDescent="0.2">
      <c r="C8" s="449"/>
      <c r="D8" s="449"/>
      <c r="E8" s="449"/>
      <c r="F8" s="19"/>
      <c r="J8" s="455" t="str">
        <f>Podatak_Ziro_racun_4</f>
        <v>567-162-11000878-15</v>
      </c>
      <c r="K8" s="455"/>
    </row>
    <row r="9" spans="3:13" x14ac:dyDescent="0.2">
      <c r="C9" s="450" t="str">
        <f>Podatak_Naziv_preduzeca</f>
        <v xml:space="preserve">Fratello Trade a.d. </v>
      </c>
      <c r="D9" s="450"/>
      <c r="E9" s="450"/>
      <c r="F9" s="450"/>
      <c r="J9" s="455" t="str">
        <f>Podatak_Ziro_racun_5</f>
        <v>194-146-03103041-89</v>
      </c>
      <c r="K9" s="455"/>
    </row>
    <row r="10" spans="3:13" x14ac:dyDescent="0.2">
      <c r="C10" s="16" t="str">
        <f>Zaglavlje_Sjediste</f>
        <v>Sjedište:</v>
      </c>
      <c r="D10" s="448" t="str">
        <f>Podatak_Sjediste</f>
        <v>Banja Luka</v>
      </c>
      <c r="E10" s="448"/>
      <c r="F10" s="16"/>
      <c r="J10" s="455" t="str">
        <f>Podatak_Ziro_racun_6</f>
        <v>199-056-00543633-54</v>
      </c>
      <c r="K10" s="455"/>
    </row>
    <row r="11" spans="3:13" x14ac:dyDescent="0.2">
      <c r="C11" s="16" t="str">
        <f>Zaglavlje_JIB</f>
        <v>JIB:</v>
      </c>
      <c r="D11" s="448" t="str">
        <f>Podatak_JIB</f>
        <v>4400929510006</v>
      </c>
      <c r="E11" s="448"/>
      <c r="F11" s="20"/>
      <c r="G11" s="20"/>
      <c r="H11" s="20"/>
      <c r="I11" s="20"/>
      <c r="J11"/>
      <c r="K11"/>
    </row>
    <row r="12" spans="3:13" ht="15.75" x14ac:dyDescent="0.2">
      <c r="C12" s="464" t="str">
        <f>IF( Id_Konsolidovani, Nazivi_bilansa_Konsolidovani_naziv &amp; LOWER( Nazivi_bilansa_BTG), Nazivi_bilansa_BTG)</f>
        <v>Bilans tokova gotovine</v>
      </c>
      <c r="D12" s="464"/>
      <c r="E12" s="464"/>
      <c r="F12" s="464"/>
      <c r="G12" s="464"/>
      <c r="H12" s="464"/>
      <c r="I12" s="464"/>
      <c r="J12" s="464"/>
      <c r="K12" s="464"/>
    </row>
    <row r="13" spans="3:13" x14ac:dyDescent="0.2">
      <c r="C13" s="465" t="str">
        <f>Nazivi_bilansa_BTG1</f>
        <v>(Izvještaj o tokovima gotovine)</v>
      </c>
      <c r="D13" s="465"/>
      <c r="E13" s="465"/>
      <c r="F13" s="465"/>
      <c r="G13" s="465"/>
      <c r="H13" s="465"/>
      <c r="I13" s="465"/>
      <c r="J13" s="465"/>
      <c r="K13" s="465"/>
    </row>
    <row r="14" spans="3:13" x14ac:dyDescent="0.2">
      <c r="C14" s="465" t="str">
        <f>Datumi_Datum_BTG</f>
        <v>za period od 01.01. do 31.12.2021.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3" t="str">
        <f>Tabele_zaglavlje_Redni_broj</f>
        <v>Redni broj</v>
      </c>
      <c r="D16" s="444" t="str">
        <f>Tabele_zaglavlje_Pozicija</f>
        <v>POZICIJA</v>
      </c>
      <c r="E16" s="444"/>
      <c r="F16" s="444"/>
      <c r="G16" s="444"/>
      <c r="H16" s="444"/>
      <c r="I16" s="456" t="str">
        <f>Tabele_zaglavlje_Oznaka_aop</f>
        <v>Oznaka za AOP</v>
      </c>
      <c r="J16" s="444" t="str">
        <f>Tabele_zaglavlje_Iznos</f>
        <v>Iznos</v>
      </c>
      <c r="K16" s="451"/>
      <c r="M16" s="57"/>
    </row>
    <row r="17" spans="2:15" ht="25.5" x14ac:dyDescent="0.2">
      <c r="C17" s="454"/>
      <c r="D17" s="445"/>
      <c r="E17" s="445"/>
      <c r="F17" s="445"/>
      <c r="G17" s="445"/>
      <c r="H17" s="445"/>
      <c r="I17" s="45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3" t="s">
        <v>1780</v>
      </c>
    </row>
    <row r="18" spans="2:15" x14ac:dyDescent="0.2">
      <c r="B18" s="60" t="s">
        <v>1364</v>
      </c>
      <c r="C18" s="93">
        <v>1</v>
      </c>
      <c r="D18" s="446">
        <v>2</v>
      </c>
      <c r="E18" s="446"/>
      <c r="F18" s="446"/>
      <c r="G18" s="446"/>
      <c r="H18" s="446"/>
      <c r="I18" s="94">
        <v>3</v>
      </c>
      <c r="J18" s="94">
        <v>4</v>
      </c>
      <c r="K18" s="95">
        <v>5</v>
      </c>
    </row>
    <row r="19" spans="2:15" x14ac:dyDescent="0.2">
      <c r="B19" s="66">
        <v>271</v>
      </c>
      <c r="C19" s="96" t="str">
        <f>VLOOKUP( $B19, Aop!$A$2:$N$415, 5, 1)</f>
        <v>1.</v>
      </c>
      <c r="D19" s="447" t="str">
        <f>VLOOKUP( $B19, Aop!$A$2:$N$415, 6, 1)</f>
        <v>A. TOKOVI GOTOVINE IZ POSLOVNIH AKTIVNOSTI</v>
      </c>
      <c r="E19" s="447"/>
      <c r="F19" s="447"/>
      <c r="G19" s="447"/>
      <c r="H19" s="447"/>
      <c r="I19" s="109">
        <f>VLOOKUP( $B19, Aop!$A$2:$N$415, 4, 1)</f>
        <v>0</v>
      </c>
      <c r="J19" s="110"/>
      <c r="K19" s="111"/>
      <c r="O19" s="29"/>
    </row>
    <row r="20" spans="2:15" x14ac:dyDescent="0.2">
      <c r="B20" s="66">
        <v>272</v>
      </c>
      <c r="C20" s="82" t="str">
        <f>VLOOKUP( $B20, Aop!$A$2:$N$415, 5, 1)</f>
        <v>2.</v>
      </c>
      <c r="D20" s="441" t="str">
        <f>VLOOKUP( $B20, Aop!$A$2:$N$415, 6, 1)</f>
        <v xml:space="preserve">  I - PRILIVI GOTOVINE IZ POSLOVNIH AKTIVNOSTI (502 do 504)</v>
      </c>
      <c r="E20" s="441"/>
      <c r="F20" s="441"/>
      <c r="G20" s="441"/>
      <c r="H20" s="441"/>
      <c r="I20" s="83">
        <f>VLOOKUP( $B20, Aop!$A$2:$N$415, 4, 1)</f>
        <v>501</v>
      </c>
      <c r="J20" s="33">
        <f>SUBTOTAL( 9, J21:J23)</f>
        <v>19401842</v>
      </c>
      <c r="K20" s="84">
        <f>SUBTOTAL( 9, K21:K23)</f>
        <v>15061021</v>
      </c>
      <c r="O20" s="29"/>
    </row>
    <row r="21" spans="2:15" x14ac:dyDescent="0.2">
      <c r="B21" s="66">
        <v>273</v>
      </c>
      <c r="C21" s="85" t="str">
        <f>VLOOKUP( $B21, Aop!$A$2:$N$415, 5, 1)</f>
        <v>3.</v>
      </c>
      <c r="D21" s="442" t="str">
        <f>VLOOKUP( $B21, Aop!$A$2:$N$415, 6, 1)</f>
        <v xml:space="preserve">    1. Prilivi od kupaca i primljeni avansi</v>
      </c>
      <c r="E21" s="442"/>
      <c r="F21" s="442"/>
      <c r="G21" s="442"/>
      <c r="H21" s="442"/>
      <c r="I21" s="112">
        <f>VLOOKUP( $B21, Aop!$A$2:$N$415, 4, 1)</f>
        <v>502</v>
      </c>
      <c r="J21" s="213">
        <v>19343820</v>
      </c>
      <c r="K21" s="214">
        <v>14976065</v>
      </c>
      <c r="O21" s="29"/>
    </row>
    <row r="22" spans="2:15" x14ac:dyDescent="0.2">
      <c r="B22" s="66">
        <v>274</v>
      </c>
      <c r="C22" s="82" t="str">
        <f>VLOOKUP( $B22, Aop!$A$2:$N$415, 5, 1)</f>
        <v>4.</v>
      </c>
      <c r="D22" s="443" t="str">
        <f>VLOOKUP( $B22, Aop!$A$2:$N$415, 6, 1)</f>
        <v xml:space="preserve">    2. Prilivi od premija, subvencija, dotacija i sl.</v>
      </c>
      <c r="E22" s="443"/>
      <c r="F22" s="443"/>
      <c r="G22" s="443"/>
      <c r="H22" s="443"/>
      <c r="I22" s="83">
        <f>VLOOKUP( $B22, Aop!$A$2:$N$415, 4, 1)</f>
        <v>503</v>
      </c>
      <c r="J22" s="211">
        <v>24268</v>
      </c>
      <c r="K22" s="212">
        <v>63114</v>
      </c>
      <c r="O22" s="29"/>
    </row>
    <row r="23" spans="2:15" x14ac:dyDescent="0.2">
      <c r="B23" s="66">
        <v>275</v>
      </c>
      <c r="C23" s="85" t="str">
        <f>VLOOKUP( $B23, Aop!$A$2:$N$415, 5, 1)</f>
        <v>5.</v>
      </c>
      <c r="D23" s="442" t="str">
        <f>VLOOKUP( $B23, Aop!$A$2:$N$415, 6, 1)</f>
        <v xml:space="preserve">    3. Ostali prilivi iz poslovnih aktivnosti</v>
      </c>
      <c r="E23" s="442"/>
      <c r="F23" s="442"/>
      <c r="G23" s="442"/>
      <c r="H23" s="442"/>
      <c r="I23" s="112">
        <f>VLOOKUP( $B23, Aop!$A$2:$N$415, 4, 1)</f>
        <v>504</v>
      </c>
      <c r="J23" s="215">
        <v>33754</v>
      </c>
      <c r="K23" s="216">
        <v>21842</v>
      </c>
      <c r="O23" s="29"/>
    </row>
    <row r="24" spans="2:15" x14ac:dyDescent="0.2">
      <c r="B24" s="66">
        <v>276</v>
      </c>
      <c r="C24" s="82" t="str">
        <f>VLOOKUP( $B24, Aop!$A$2:$N$415, 5, 1)</f>
        <v>6.</v>
      </c>
      <c r="D24" s="441" t="str">
        <f>VLOOKUP( $B24, Aop!$A$2:$N$415, 6, 1)</f>
        <v xml:space="preserve">  II - ODLIVI GOTOVINE IZ POSLOVNIH AKTIVNOSTI (506 do 510)</v>
      </c>
      <c r="E24" s="441"/>
      <c r="F24" s="441"/>
      <c r="G24" s="441"/>
      <c r="H24" s="441"/>
      <c r="I24" s="83">
        <f>VLOOKUP( $B24, Aop!$A$2:$N$415, 4, 1)</f>
        <v>505</v>
      </c>
      <c r="J24" s="33">
        <f>SUBTOTAL( 9, J25:J29)</f>
        <v>18194606</v>
      </c>
      <c r="K24" s="84">
        <f>SUBTOTAL( 9, K25:K29)</f>
        <v>14912633</v>
      </c>
      <c r="O24" s="29"/>
    </row>
    <row r="25" spans="2:15" x14ac:dyDescent="0.2">
      <c r="B25" s="66">
        <v>277</v>
      </c>
      <c r="C25" s="85" t="str">
        <f>VLOOKUP( $B25, Aop!$A$2:$N$415, 5, 1)</f>
        <v>7.</v>
      </c>
      <c r="D25" s="442" t="str">
        <f>VLOOKUP( $B25, Aop!$A$2:$N$415, 6, 1)</f>
        <v xml:space="preserve">    1. Odlivi po osnovu isplata dobavljačima i dati avansi</v>
      </c>
      <c r="E25" s="442"/>
      <c r="F25" s="442"/>
      <c r="G25" s="442"/>
      <c r="H25" s="442"/>
      <c r="I25" s="112">
        <f>VLOOKUP( $B25, Aop!$A$2:$N$415, 4, 1)</f>
        <v>506</v>
      </c>
      <c r="J25" s="213">
        <v>14493112</v>
      </c>
      <c r="K25" s="214">
        <v>12044949</v>
      </c>
      <c r="O25" s="29"/>
    </row>
    <row r="26" spans="2:15" x14ac:dyDescent="0.2">
      <c r="B26" s="66">
        <v>278</v>
      </c>
      <c r="C26" s="82" t="str">
        <f>VLOOKUP( $B26, Aop!$A$2:$N$415, 5, 1)</f>
        <v>8.</v>
      </c>
      <c r="D26" s="443" t="str">
        <f>VLOOKUP( $B26, Aop!$A$2:$N$415, 6, 1)</f>
        <v xml:space="preserve">    2. Odlivi po osnovu isplata zarada, naknada zarada i ostalih ličnih rashoda</v>
      </c>
      <c r="E26" s="443"/>
      <c r="F26" s="443"/>
      <c r="G26" s="443"/>
      <c r="H26" s="443"/>
      <c r="I26" s="83">
        <f>VLOOKUP( $B26, Aop!$A$2:$N$415, 4, 1)</f>
        <v>507</v>
      </c>
      <c r="J26" s="211">
        <v>1215931</v>
      </c>
      <c r="K26" s="212">
        <v>1037444</v>
      </c>
      <c r="O26" s="29"/>
    </row>
    <row r="27" spans="2:15" x14ac:dyDescent="0.2">
      <c r="B27" s="66">
        <v>279</v>
      </c>
      <c r="C27" s="85" t="str">
        <f>VLOOKUP( $B27, Aop!$A$2:$N$415, 5, 1)</f>
        <v>9.</v>
      </c>
      <c r="D27" s="442" t="str">
        <f>VLOOKUP( $B27, Aop!$A$2:$N$415, 6, 1)</f>
        <v xml:space="preserve">    3. Odlivi po osnovu plaćenih kamata</v>
      </c>
      <c r="E27" s="442"/>
      <c r="F27" s="442"/>
      <c r="G27" s="442"/>
      <c r="H27" s="442"/>
      <c r="I27" s="112">
        <f>VLOOKUP( $B27, Aop!$A$2:$N$415, 4, 1)</f>
        <v>508</v>
      </c>
      <c r="J27" s="213">
        <v>94643</v>
      </c>
      <c r="K27" s="214">
        <v>113571</v>
      </c>
      <c r="O27" s="29"/>
    </row>
    <row r="28" spans="2:15" x14ac:dyDescent="0.2">
      <c r="B28" s="66">
        <v>280</v>
      </c>
      <c r="C28" s="82" t="str">
        <f>VLOOKUP( $B28, Aop!$A$2:$N$415, 5, 1)</f>
        <v>10.</v>
      </c>
      <c r="D28" s="443" t="str">
        <f>VLOOKUP( $B28, Aop!$A$2:$N$415, 6, 1)</f>
        <v xml:space="preserve">    4. Odlivi po osnovu poreza na dobit</v>
      </c>
      <c r="E28" s="443"/>
      <c r="F28" s="443"/>
      <c r="G28" s="443"/>
      <c r="H28" s="443"/>
      <c r="I28" s="83">
        <f>VLOOKUP( $B28, Aop!$A$2:$N$415, 4, 1)</f>
        <v>509</v>
      </c>
      <c r="J28" s="211">
        <v>4862</v>
      </c>
      <c r="K28" s="212">
        <v>19882</v>
      </c>
      <c r="O28" s="29"/>
    </row>
    <row r="29" spans="2:15" x14ac:dyDescent="0.2">
      <c r="B29" s="66">
        <v>281</v>
      </c>
      <c r="C29" s="85" t="str">
        <f>VLOOKUP( $B29, Aop!$A$2:$N$415, 5, 1)</f>
        <v>11.</v>
      </c>
      <c r="D29" s="442" t="str">
        <f>VLOOKUP( $B29, Aop!$A$2:$N$415, 6, 1)</f>
        <v xml:space="preserve">    5. Ostali odlivi iz poslovnih aktivnosti</v>
      </c>
      <c r="E29" s="442"/>
      <c r="F29" s="442"/>
      <c r="G29" s="442"/>
      <c r="H29" s="442"/>
      <c r="I29" s="112">
        <f>VLOOKUP( $B29, Aop!$A$2:$N$415, 4, 1)</f>
        <v>510</v>
      </c>
      <c r="J29" s="213">
        <v>2386058</v>
      </c>
      <c r="K29" s="214">
        <v>1696787</v>
      </c>
      <c r="O29" s="29"/>
    </row>
    <row r="30" spans="2:15" x14ac:dyDescent="0.2">
      <c r="B30" s="66">
        <v>282</v>
      </c>
      <c r="C30" s="82" t="str">
        <f>VLOOKUP( $B30, Aop!$A$2:$N$415, 5, 1)</f>
        <v>12.</v>
      </c>
      <c r="D30" s="441" t="str">
        <f>VLOOKUP( $B30, Aop!$A$2:$N$415, 6, 1)</f>
        <v xml:space="preserve">  III - NETO PRILIV GOTOVINE IZ POSLOVNIH AKTIVNOSTI (501 - 505)</v>
      </c>
      <c r="E30" s="441"/>
      <c r="F30" s="441"/>
      <c r="G30" s="441"/>
      <c r="H30" s="441"/>
      <c r="I30" s="83">
        <f>VLOOKUP( $B30, Aop!$A$2:$N$415, 4, 1)</f>
        <v>511</v>
      </c>
      <c r="J30" s="33">
        <f>IF( SUBTOTAL( 9, J20:J23) - SUBTOTAL( 9, J24:J29) &lt;= 0, 0, ABS( SUBTOTAL( 9, J20:J23) - SUBTOTAL( 9, J24:J29)) )</f>
        <v>1207236</v>
      </c>
      <c r="K30" s="84">
        <f>IF( SUBTOTAL( 9, K20:K23) - SUBTOTAL( 9, K24:K29) &lt;= 0, 0, ABS( SUBTOTAL( 9, K20:K23) - SUBTOTAL( 9, K24:K29)) )</f>
        <v>148388</v>
      </c>
      <c r="O30" s="29"/>
    </row>
    <row r="31" spans="2:15" x14ac:dyDescent="0.2">
      <c r="B31" s="66">
        <v>283</v>
      </c>
      <c r="C31" s="85" t="str">
        <f>VLOOKUP( $B31, Aop!$A$2:$N$415, 5, 1)</f>
        <v>13.</v>
      </c>
      <c r="D31" s="440" t="str">
        <f>VLOOKUP( $B31, Aop!$A$2:$N$415, 6, 1)</f>
        <v xml:space="preserve">  IV - NETO ODLIV GOTOVINE IZ POSLOVNIH AKTIVNOSTI (505 - 501)</v>
      </c>
      <c r="E31" s="440"/>
      <c r="F31" s="440"/>
      <c r="G31" s="440"/>
      <c r="H31" s="440"/>
      <c r="I31" s="112">
        <f>VLOOKUP( $B31, Aop!$A$2:$N$415, 4, 1)</f>
        <v>512</v>
      </c>
      <c r="J31" s="89">
        <f>IF( SUBTOTAL( 9, J20:J23) - SUBTOTAL( 9, J24:J29) &gt;= 0, 0, ABS( SUBTOTAL( 9, J20:J23) - SUBTOTAL( 9, J24:J29)) )</f>
        <v>0</v>
      </c>
      <c r="K31" s="90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Aop!$A$2:$N$415, 5, 1)</f>
        <v>14.</v>
      </c>
      <c r="D32" s="441" t="str">
        <f>VLOOKUP( $B32, Aop!$A$2:$N$415, 6, 1)</f>
        <v>B. TOKOVI GOTOVINE IZ AKTIVNOSTI INVESTIRANJA</v>
      </c>
      <c r="E32" s="441"/>
      <c r="F32" s="441"/>
      <c r="G32" s="441"/>
      <c r="H32" s="441"/>
      <c r="I32" s="83">
        <f>VLOOKUP( $B32, Aop!$A$2:$N$415, 4, 1)</f>
        <v>0</v>
      </c>
      <c r="J32" s="201"/>
      <c r="K32" s="202"/>
      <c r="O32" s="29"/>
    </row>
    <row r="33" spans="2:15" x14ac:dyDescent="0.2">
      <c r="B33" s="66">
        <v>285</v>
      </c>
      <c r="C33" s="85" t="str">
        <f>VLOOKUP( $B33, Aop!$A$2:$N$415, 5, 1)</f>
        <v>15.</v>
      </c>
      <c r="D33" s="440" t="str">
        <f>VLOOKUP( $B33, Aop!$A$2:$N$415, 6, 1)</f>
        <v xml:space="preserve">  I - PRILIVI GOTOVINE IZ AKTIVNOSTI INVESTIRANJA (514 do 519)</v>
      </c>
      <c r="E33" s="440"/>
      <c r="F33" s="440"/>
      <c r="G33" s="440"/>
      <c r="H33" s="440"/>
      <c r="I33" s="112">
        <f>VLOOKUP( $B33, Aop!$A$2:$N$415, 4, 1)</f>
        <v>513</v>
      </c>
      <c r="J33" s="89">
        <f>SUBTOTAL( 9, J34:J39)</f>
        <v>62034</v>
      </c>
      <c r="K33" s="90">
        <f>SUBTOTAL( 9, K34:K39)</f>
        <v>14465</v>
      </c>
      <c r="O33" s="29"/>
    </row>
    <row r="34" spans="2:15" x14ac:dyDescent="0.2">
      <c r="B34" s="66">
        <v>286</v>
      </c>
      <c r="C34" s="82" t="str">
        <f>VLOOKUP( $B34, Aop!$A$2:$N$415, 5, 1)</f>
        <v>16.</v>
      </c>
      <c r="D34" s="443" t="str">
        <f>VLOOKUP( $B34, Aop!$A$2:$N$415, 6, 1)</f>
        <v xml:space="preserve">    1. Prilivi po osnovu kratkoročnih finansijskih plasmana</v>
      </c>
      <c r="E34" s="443"/>
      <c r="F34" s="443"/>
      <c r="G34" s="443"/>
      <c r="H34" s="443"/>
      <c r="I34" s="83">
        <f>VLOOKUP( $B34, Aop!$A$2:$N$415, 4, 1)</f>
        <v>514</v>
      </c>
      <c r="J34" s="211"/>
      <c r="K34" s="212"/>
      <c r="O34" s="29"/>
    </row>
    <row r="35" spans="2:15" x14ac:dyDescent="0.2">
      <c r="B35" s="66">
        <v>287</v>
      </c>
      <c r="C35" s="85" t="str">
        <f>VLOOKUP( $B35, Aop!$A$2:$N$415, 5, 1)</f>
        <v>17.</v>
      </c>
      <c r="D35" s="442" t="str">
        <f>VLOOKUP( $B35, Aop!$A$2:$N$415, 6, 1)</f>
        <v xml:space="preserve">    2. Prilivi po osnovu prodaje akcija i udjela</v>
      </c>
      <c r="E35" s="442"/>
      <c r="F35" s="442"/>
      <c r="G35" s="442"/>
      <c r="H35" s="442"/>
      <c r="I35" s="112">
        <f>VLOOKUP( $B35, Aop!$A$2:$N$415, 4, 1)</f>
        <v>515</v>
      </c>
      <c r="J35" s="215"/>
      <c r="K35" s="216"/>
      <c r="O35" s="29"/>
    </row>
    <row r="36" spans="2:15" ht="25.5" x14ac:dyDescent="0.2">
      <c r="B36" s="66">
        <v>288</v>
      </c>
      <c r="C36" s="82" t="str">
        <f>VLOOKUP( $B36, Aop!$A$2:$N$415, 5, 1)</f>
        <v>18.</v>
      </c>
      <c r="D36" s="443" t="str">
        <f>VLOOKUP( $B36, Aop!$A$2:$N$415, 6, 1)</f>
        <v xml:space="preserve">    3. Prilivi po osnovu prodaje nematerijalnih sredstava, nekretnina, postrojenja, opreme, investicionih nekretnina i bioloških sredstava</v>
      </c>
      <c r="E36" s="443"/>
      <c r="F36" s="443"/>
      <c r="G36" s="443"/>
      <c r="H36" s="443"/>
      <c r="I36" s="83">
        <f>VLOOKUP( $B36, Aop!$A$2:$N$415, 4, 1)</f>
        <v>516</v>
      </c>
      <c r="J36" s="211">
        <v>3755</v>
      </c>
      <c r="K36" s="212">
        <v>14465</v>
      </c>
      <c r="O36" s="182" t="s">
        <v>1581</v>
      </c>
    </row>
    <row r="37" spans="2:15" x14ac:dyDescent="0.2">
      <c r="B37" s="66">
        <v>289</v>
      </c>
      <c r="C37" s="85" t="str">
        <f>VLOOKUP( $B37, Aop!$A$2:$N$415, 5, 1)</f>
        <v>19.</v>
      </c>
      <c r="D37" s="442" t="str">
        <f>VLOOKUP( $B37, Aop!$A$2:$N$415, 6, 1)</f>
        <v xml:space="preserve">    4. Prilivi po osnovu kamata</v>
      </c>
      <c r="E37" s="442"/>
      <c r="F37" s="442"/>
      <c r="G37" s="442"/>
      <c r="H37" s="442"/>
      <c r="I37" s="112">
        <f>VLOOKUP( $B37, Aop!$A$2:$N$415, 4, 1)</f>
        <v>517</v>
      </c>
      <c r="J37" s="215"/>
      <c r="K37" s="216"/>
      <c r="O37" s="29"/>
    </row>
    <row r="38" spans="2:15" x14ac:dyDescent="0.2">
      <c r="B38" s="66">
        <v>290</v>
      </c>
      <c r="C38" s="82" t="str">
        <f>VLOOKUP( $B38, Aop!$A$2:$N$415, 5, 1)</f>
        <v>20.</v>
      </c>
      <c r="D38" s="443" t="str">
        <f>VLOOKUP( $B38, Aop!$A$2:$N$415, 6, 1)</f>
        <v xml:space="preserve">    5. Prilivi od dividendi i učešća u dobitku</v>
      </c>
      <c r="E38" s="443"/>
      <c r="F38" s="443"/>
      <c r="G38" s="443"/>
      <c r="H38" s="443"/>
      <c r="I38" s="83">
        <f>VLOOKUP( $B38, Aop!$A$2:$N$415, 4, 1)</f>
        <v>518</v>
      </c>
      <c r="J38" s="211">
        <v>58279</v>
      </c>
      <c r="K38" s="212"/>
      <c r="O38" s="29"/>
    </row>
    <row r="39" spans="2:15" x14ac:dyDescent="0.2">
      <c r="B39" s="66">
        <v>291</v>
      </c>
      <c r="C39" s="85" t="str">
        <f>VLOOKUP( $B39, Aop!$A$2:$N$415, 5, 1)</f>
        <v>21.</v>
      </c>
      <c r="D39" s="442" t="str">
        <f>VLOOKUP( $B39, Aop!$A$2:$N$415, 6, 1)</f>
        <v xml:space="preserve">    6. Prilivi po osnovu ostalih dugoročnih finansijskih plasmana</v>
      </c>
      <c r="E39" s="442"/>
      <c r="F39" s="442"/>
      <c r="G39" s="442"/>
      <c r="H39" s="442"/>
      <c r="I39" s="112">
        <f>VLOOKUP( $B39, Aop!$A$2:$N$415, 4, 1)</f>
        <v>519</v>
      </c>
      <c r="J39" s="215"/>
      <c r="K39" s="216"/>
      <c r="O39" s="29"/>
    </row>
    <row r="40" spans="2:15" x14ac:dyDescent="0.2">
      <c r="B40" s="66">
        <v>292</v>
      </c>
      <c r="C40" s="82" t="str">
        <f>VLOOKUP( $B40, Aop!$A$2:$N$415, 5, 1)</f>
        <v>22.</v>
      </c>
      <c r="D40" s="441" t="str">
        <f>VLOOKUP( $B40, Aop!$A$2:$N$415, 6, 1)</f>
        <v xml:space="preserve">  II - ODLIVI GOTOVINE IZ AKTIVNOSTI INVESTIRANJA (521 do 524)</v>
      </c>
      <c r="E40" s="441"/>
      <c r="F40" s="441"/>
      <c r="G40" s="441"/>
      <c r="H40" s="441"/>
      <c r="I40" s="83">
        <f>VLOOKUP( $B40, Aop!$A$2:$N$415, 4, 1)</f>
        <v>520</v>
      </c>
      <c r="J40" s="33">
        <f>SUBTOTAL( 9, J41:J44)</f>
        <v>335629</v>
      </c>
      <c r="K40" s="84">
        <f>SUBTOTAL( 9, K41:K44)</f>
        <v>93322</v>
      </c>
      <c r="O40" s="29"/>
    </row>
    <row r="41" spans="2:15" x14ac:dyDescent="0.2">
      <c r="B41" s="66">
        <v>293</v>
      </c>
      <c r="C41" s="85" t="str">
        <f>VLOOKUP( $B41, Aop!$A$2:$N$415, 5, 1)</f>
        <v>23.</v>
      </c>
      <c r="D41" s="442" t="str">
        <f>VLOOKUP( $B41, Aop!$A$2:$N$415, 6, 1)</f>
        <v xml:space="preserve">    1. Odlivi po osnovu kratkoročnih finansijskih plasmana</v>
      </c>
      <c r="E41" s="442"/>
      <c r="F41" s="442"/>
      <c r="G41" s="442"/>
      <c r="H41" s="442"/>
      <c r="I41" s="112">
        <f>VLOOKUP( $B41, Aop!$A$2:$N$415, 4, 1)</f>
        <v>521</v>
      </c>
      <c r="J41" s="215"/>
      <c r="K41" s="216"/>
      <c r="O41" s="29"/>
    </row>
    <row r="42" spans="2:15" x14ac:dyDescent="0.2">
      <c r="B42" s="66">
        <v>294</v>
      </c>
      <c r="C42" s="82" t="str">
        <f>VLOOKUP( $B42, Aop!$A$2:$N$415, 5, 1)</f>
        <v>24.</v>
      </c>
      <c r="D42" s="443" t="str">
        <f>VLOOKUP( $B42, Aop!$A$2:$N$415, 6, 1)</f>
        <v xml:space="preserve">    2. Odlivi po osnovu kupovine akcija i udjela</v>
      </c>
      <c r="E42" s="443"/>
      <c r="F42" s="443"/>
      <c r="G42" s="443"/>
      <c r="H42" s="443"/>
      <c r="I42" s="83">
        <f>VLOOKUP( $B42, Aop!$A$2:$N$415, 4, 1)</f>
        <v>522</v>
      </c>
      <c r="J42" s="211"/>
      <c r="K42" s="212"/>
      <c r="O42" s="29"/>
    </row>
    <row r="43" spans="2:15" ht="25.5" x14ac:dyDescent="0.2">
      <c r="B43" s="66">
        <v>295</v>
      </c>
      <c r="C43" s="85" t="str">
        <f>VLOOKUP( $B43, Aop!$A$2:$N$415, 5, 1)</f>
        <v>25.</v>
      </c>
      <c r="D43" s="442" t="str">
        <f>VLOOKUP( $B43, Aop!$A$2:$N$415, 6, 1)</f>
        <v xml:space="preserve">    3. Odlivi po osnovu kupovine nematerijalnih sredstava, nekretnina, postrojenja, opreme, investicionih nekretnina i bioloških sredstava</v>
      </c>
      <c r="E43" s="442"/>
      <c r="F43" s="442"/>
      <c r="G43" s="442"/>
      <c r="H43" s="442"/>
      <c r="I43" s="112">
        <f>VLOOKUP( $B43, Aop!$A$2:$N$415, 4, 1)</f>
        <v>523</v>
      </c>
      <c r="J43" s="215">
        <v>335629</v>
      </c>
      <c r="K43" s="216">
        <v>93322</v>
      </c>
      <c r="O43" s="182" t="s">
        <v>1581</v>
      </c>
    </row>
    <row r="44" spans="2:15" x14ac:dyDescent="0.2">
      <c r="B44" s="66">
        <v>296</v>
      </c>
      <c r="C44" s="82" t="str">
        <f>VLOOKUP( $B44, Aop!$A$2:$N$415, 5, 1)</f>
        <v>26.</v>
      </c>
      <c r="D44" s="443" t="str">
        <f>VLOOKUP( $B44, Aop!$A$2:$N$415, 6, 1)</f>
        <v xml:space="preserve">    4. Odlivi po osnovu ostalih dugoročnih finansijskih plasmana</v>
      </c>
      <c r="E44" s="443"/>
      <c r="F44" s="443"/>
      <c r="G44" s="443"/>
      <c r="H44" s="443"/>
      <c r="I44" s="83">
        <f>VLOOKUP( $B44, Aop!$A$2:$N$415, 4, 1)</f>
        <v>524</v>
      </c>
      <c r="J44" s="211"/>
      <c r="K44" s="212"/>
      <c r="O44" s="29"/>
    </row>
    <row r="45" spans="2:15" x14ac:dyDescent="0.2">
      <c r="B45" s="66">
        <v>297</v>
      </c>
      <c r="C45" s="85" t="str">
        <f>VLOOKUP( $B45, Aop!$A$2:$N$415, 5, 1)</f>
        <v>27.</v>
      </c>
      <c r="D45" s="440" t="str">
        <f>VLOOKUP( $B45, Aop!$A$2:$N$415, 6, 1)</f>
        <v xml:space="preserve">  III - NETO PRILIV GOTOVINE IZ AKTIVNOSTI INVESTIRANJA (513 - 520)</v>
      </c>
      <c r="E45" s="440"/>
      <c r="F45" s="440"/>
      <c r="G45" s="440"/>
      <c r="H45" s="440"/>
      <c r="I45" s="112">
        <f>VLOOKUP( $B45, Aop!$A$2:$N$415, 4, 1)</f>
        <v>525</v>
      </c>
      <c r="J45" s="89">
        <f>IF( SUBTOTAL( 9, J33:J39) - SUBTOTAL( 9, J40:J44) &lt;= 0, 0, ABS( SUBTOTAL( 9, J33:J39) - SUBTOTAL( 9, J40:J44)) )</f>
        <v>0</v>
      </c>
      <c r="K45" s="90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Aop!$A$2:$N$415, 5, 1)</f>
        <v>28.</v>
      </c>
      <c r="D46" s="441" t="str">
        <f>VLOOKUP( $B46, Aop!$A$2:$N$415, 6, 1)</f>
        <v xml:space="preserve">  IV - NETO ODLIV GOTOVINE IZ AKTIVNOSTI INVESTIRANJA (520 - 513)</v>
      </c>
      <c r="E46" s="441"/>
      <c r="F46" s="441"/>
      <c r="G46" s="441"/>
      <c r="H46" s="441"/>
      <c r="I46" s="83">
        <f>VLOOKUP( $B46, Aop!$A$2:$N$415, 4, 1)</f>
        <v>526</v>
      </c>
      <c r="J46" s="33">
        <f>IF( SUBTOTAL( 9, J33:J39) - SUBTOTAL( 9, J40:J44) &gt;= 0, 0, ABS( SUBTOTAL( 9, J33:J39) - SUBTOTAL( 9, J40:J44)) )</f>
        <v>273595</v>
      </c>
      <c r="K46" s="84">
        <f>IF( SUBTOTAL( 9, K33:K39) - SUBTOTAL( 9, K40:K44) &gt;= 0, 0, ABS( SUBTOTAL( 9, K33:K39) - SUBTOTAL( 9, K40:K44)) )</f>
        <v>78857</v>
      </c>
      <c r="O46" s="29"/>
    </row>
    <row r="47" spans="2:15" x14ac:dyDescent="0.2">
      <c r="B47" s="66">
        <v>299</v>
      </c>
      <c r="C47" s="85" t="str">
        <f>VLOOKUP( $B47, Aop!$A$2:$N$415, 5, 1)</f>
        <v>29.</v>
      </c>
      <c r="D47" s="440" t="str">
        <f>VLOOKUP( $B47, Aop!$A$2:$N$415, 6, 1)</f>
        <v>V. TOKOVI GOTOVINE IZ AKTIVNOSTI FINANSIRANJA</v>
      </c>
      <c r="E47" s="440"/>
      <c r="F47" s="440"/>
      <c r="G47" s="440"/>
      <c r="H47" s="440"/>
      <c r="I47" s="112">
        <f>VLOOKUP( $B47, Aop!$A$2:$N$415, 4, 1)</f>
        <v>0</v>
      </c>
      <c r="J47" s="89"/>
      <c r="K47" s="90"/>
      <c r="O47" s="29"/>
    </row>
    <row r="48" spans="2:15" x14ac:dyDescent="0.2">
      <c r="B48" s="66">
        <v>300</v>
      </c>
      <c r="C48" s="82" t="str">
        <f>VLOOKUP( $B48, Aop!$A$2:$N$415, 5, 1)</f>
        <v>30.</v>
      </c>
      <c r="D48" s="441" t="str">
        <f>VLOOKUP( $B48, Aop!$A$2:$N$415, 6, 1)</f>
        <v xml:space="preserve">  I - PRILIV GOTOVINE IZ AKTIVNOSTI FINANSIRANJA (528 do 531)</v>
      </c>
      <c r="E48" s="441"/>
      <c r="F48" s="441"/>
      <c r="G48" s="441"/>
      <c r="H48" s="441"/>
      <c r="I48" s="83">
        <f>VLOOKUP( $B48, Aop!$A$2:$N$415, 4, 1)</f>
        <v>527</v>
      </c>
      <c r="J48" s="33">
        <f>SUBTOTAL( 9, J49:J52)</f>
        <v>14395363</v>
      </c>
      <c r="K48" s="84">
        <f>SUBTOTAL( 9, K49:K52)</f>
        <v>13544086</v>
      </c>
      <c r="O48" s="29"/>
    </row>
    <row r="49" spans="2:15" x14ac:dyDescent="0.2">
      <c r="B49" s="66">
        <v>301</v>
      </c>
      <c r="C49" s="85" t="str">
        <f>VLOOKUP( $B49, Aop!$A$2:$N$415, 5, 1)</f>
        <v>31.</v>
      </c>
      <c r="D49" s="442" t="str">
        <f>VLOOKUP( $B49, Aop!$A$2:$N$415, 6, 1)</f>
        <v xml:space="preserve">    1. Prilivi po osnovu povećanja osnovnog kapitala</v>
      </c>
      <c r="E49" s="442"/>
      <c r="F49" s="442"/>
      <c r="G49" s="442"/>
      <c r="H49" s="442"/>
      <c r="I49" s="112">
        <f>VLOOKUP( $B49, Aop!$A$2:$N$415, 4, 1)</f>
        <v>528</v>
      </c>
      <c r="J49" s="215"/>
      <c r="K49" s="216"/>
      <c r="O49" s="29"/>
    </row>
    <row r="50" spans="2:15" x14ac:dyDescent="0.2">
      <c r="B50" s="66">
        <v>302</v>
      </c>
      <c r="C50" s="82" t="str">
        <f>VLOOKUP( $B50, Aop!$A$2:$N$415, 5, 1)</f>
        <v>32.</v>
      </c>
      <c r="D50" s="443" t="str">
        <f>VLOOKUP( $B50, Aop!$A$2:$N$415, 6, 1)</f>
        <v xml:space="preserve">    2. Prilivi po osnovu dugoročnih kredita</v>
      </c>
      <c r="E50" s="443"/>
      <c r="F50" s="443"/>
      <c r="G50" s="443"/>
      <c r="H50" s="443"/>
      <c r="I50" s="83">
        <f>VLOOKUP( $B50, Aop!$A$2:$N$415, 4, 1)</f>
        <v>529</v>
      </c>
      <c r="J50" s="211">
        <v>700000</v>
      </c>
      <c r="K50" s="212">
        <v>400000</v>
      </c>
      <c r="O50" s="29"/>
    </row>
    <row r="51" spans="2:15" x14ac:dyDescent="0.2">
      <c r="B51" s="66">
        <v>303</v>
      </c>
      <c r="C51" s="85" t="str">
        <f>VLOOKUP( $B51, Aop!$A$2:$N$415, 5, 1)</f>
        <v>33.</v>
      </c>
      <c r="D51" s="442" t="str">
        <f>VLOOKUP( $B51, Aop!$A$2:$N$415, 6, 1)</f>
        <v xml:space="preserve">    3. Prilivi po osnovu kratkoročnih kredita</v>
      </c>
      <c r="E51" s="442"/>
      <c r="F51" s="442"/>
      <c r="G51" s="442"/>
      <c r="H51" s="442"/>
      <c r="I51" s="112">
        <f>VLOOKUP( $B51, Aop!$A$2:$N$415, 4, 1)</f>
        <v>530</v>
      </c>
      <c r="J51" s="215">
        <v>13584363</v>
      </c>
      <c r="K51" s="216">
        <v>13008086</v>
      </c>
      <c r="O51" s="29"/>
    </row>
    <row r="52" spans="2:15" x14ac:dyDescent="0.2">
      <c r="B52" s="66">
        <v>304</v>
      </c>
      <c r="C52" s="82" t="str">
        <f>VLOOKUP( $B52, Aop!$A$2:$N$415, 5, 1)</f>
        <v>34.</v>
      </c>
      <c r="D52" s="443" t="str">
        <f>VLOOKUP( $B52, Aop!$A$2:$N$415, 6, 1)</f>
        <v xml:space="preserve">    4. Prilivi po osnovu ostalih dugoročnih i kratkoročnih obaveza</v>
      </c>
      <c r="E52" s="443"/>
      <c r="F52" s="443"/>
      <c r="G52" s="443"/>
      <c r="H52" s="443"/>
      <c r="I52" s="83">
        <f>VLOOKUP( $B52, Aop!$A$2:$N$415, 4, 1)</f>
        <v>531</v>
      </c>
      <c r="J52" s="211">
        <v>111000</v>
      </c>
      <c r="K52" s="212">
        <v>136000</v>
      </c>
      <c r="O52" s="29"/>
    </row>
    <row r="53" spans="2:15" x14ac:dyDescent="0.2">
      <c r="B53" s="66">
        <v>305</v>
      </c>
      <c r="C53" s="85" t="str">
        <f>VLOOKUP( $B53, Aop!$A$2:$N$415, 5, 1)</f>
        <v>35.</v>
      </c>
      <c r="D53" s="440" t="str">
        <f>VLOOKUP( $B53, Aop!$A$2:$N$415, 6, 1)</f>
        <v xml:space="preserve">  II - ODLIVI GOTOVINE IZ AKTIVNOSTI FINANSIRANJA (533 do 538)</v>
      </c>
      <c r="E53" s="440"/>
      <c r="F53" s="440"/>
      <c r="G53" s="440"/>
      <c r="H53" s="440"/>
      <c r="I53" s="112">
        <f>VLOOKUP( $B53, Aop!$A$2:$N$415, 4, 1)</f>
        <v>532</v>
      </c>
      <c r="J53" s="35">
        <f>SUBTOTAL( 9, J54:J59)</f>
        <v>15118393</v>
      </c>
      <c r="K53" s="87">
        <f>SUBTOTAL( 9, K54:K59)</f>
        <v>13605636</v>
      </c>
      <c r="O53" s="29"/>
    </row>
    <row r="54" spans="2:15" x14ac:dyDescent="0.2">
      <c r="B54" s="66">
        <v>306</v>
      </c>
      <c r="C54" s="82" t="str">
        <f>VLOOKUP( $B54, Aop!$A$2:$N$415, 5, 1)</f>
        <v>36.</v>
      </c>
      <c r="D54" s="443" t="str">
        <f>VLOOKUP( $B54, Aop!$A$2:$N$415, 6, 1)</f>
        <v xml:space="preserve">    1. Odlivi po osnovu otkupa sopstvenih akcija i udjela</v>
      </c>
      <c r="E54" s="443"/>
      <c r="F54" s="443"/>
      <c r="G54" s="443"/>
      <c r="H54" s="443"/>
      <c r="I54" s="83">
        <f>VLOOKUP( $B54, Aop!$A$2:$N$415, 4, 1)</f>
        <v>533</v>
      </c>
      <c r="J54" s="211"/>
      <c r="K54" s="212"/>
      <c r="O54" s="29"/>
    </row>
    <row r="55" spans="2:15" x14ac:dyDescent="0.2">
      <c r="B55" s="66">
        <v>307</v>
      </c>
      <c r="C55" s="85" t="str">
        <f>VLOOKUP( $B55, Aop!$A$2:$N$415, 5, 1)</f>
        <v>37.</v>
      </c>
      <c r="D55" s="442" t="str">
        <f>VLOOKUP( $B55, Aop!$A$2:$N$415, 6, 1)</f>
        <v xml:space="preserve">    2. Odlivi po osnovu dugoročnih kredita</v>
      </c>
      <c r="E55" s="442"/>
      <c r="F55" s="442"/>
      <c r="G55" s="442"/>
      <c r="H55" s="442"/>
      <c r="I55" s="112">
        <f>VLOOKUP( $B55, Aop!$A$2:$N$415, 4, 1)</f>
        <v>534</v>
      </c>
      <c r="J55" s="215">
        <v>659509</v>
      </c>
      <c r="K55" s="216">
        <v>436567</v>
      </c>
      <c r="O55" s="29"/>
    </row>
    <row r="56" spans="2:15" x14ac:dyDescent="0.2">
      <c r="B56" s="66">
        <v>308</v>
      </c>
      <c r="C56" s="82" t="str">
        <f>VLOOKUP( $B56, Aop!$A$2:$N$415, 5, 1)</f>
        <v>38.</v>
      </c>
      <c r="D56" s="443" t="str">
        <f>VLOOKUP( $B56, Aop!$A$2:$N$415, 6, 1)</f>
        <v xml:space="preserve">    3. Odlivi po osnovu kratkoročnih kredita</v>
      </c>
      <c r="E56" s="443"/>
      <c r="F56" s="443"/>
      <c r="G56" s="443"/>
      <c r="H56" s="443"/>
      <c r="I56" s="83">
        <f>VLOOKUP( $B56, Aop!$A$2:$N$415, 4, 1)</f>
        <v>535</v>
      </c>
      <c r="J56" s="211">
        <v>14113669</v>
      </c>
      <c r="K56" s="212">
        <v>12847637</v>
      </c>
      <c r="O56" s="29"/>
    </row>
    <row r="57" spans="2:15" x14ac:dyDescent="0.2">
      <c r="B57" s="66">
        <v>309</v>
      </c>
      <c r="C57" s="85" t="str">
        <f>VLOOKUP( $B57, Aop!$A$2:$N$415, 5, 1)</f>
        <v>39.</v>
      </c>
      <c r="D57" s="442" t="str">
        <f>VLOOKUP( $B57, Aop!$A$2:$N$415, 6, 1)</f>
        <v xml:space="preserve">    4. Odlivi po osnovu finansijskog lizinga</v>
      </c>
      <c r="E57" s="442"/>
      <c r="F57" s="442"/>
      <c r="G57" s="442"/>
      <c r="H57" s="442"/>
      <c r="I57" s="112">
        <f>VLOOKUP( $B57, Aop!$A$2:$N$415, 4, 1)</f>
        <v>536</v>
      </c>
      <c r="J57" s="213">
        <v>158693</v>
      </c>
      <c r="K57" s="214">
        <v>140255</v>
      </c>
      <c r="O57" s="29"/>
    </row>
    <row r="58" spans="2:15" x14ac:dyDescent="0.2">
      <c r="B58" s="66">
        <v>310</v>
      </c>
      <c r="C58" s="82" t="str">
        <f>VLOOKUP( $B58, Aop!$A$2:$N$415, 5, 1)</f>
        <v>40.</v>
      </c>
      <c r="D58" s="443" t="str">
        <f>VLOOKUP( $B58, Aop!$A$2:$N$415, 6, 1)</f>
        <v xml:space="preserve">    5. Odlivi po osnovu isplaćenih dividendi</v>
      </c>
      <c r="E58" s="443"/>
      <c r="F58" s="443"/>
      <c r="G58" s="443"/>
      <c r="H58" s="443"/>
      <c r="I58" s="83">
        <f>VLOOKUP( $B58, Aop!$A$2:$N$415, 4, 1)</f>
        <v>537</v>
      </c>
      <c r="J58" s="211">
        <v>38522</v>
      </c>
      <c r="K58" s="212">
        <v>47677</v>
      </c>
      <c r="O58" s="29"/>
    </row>
    <row r="59" spans="2:15" x14ac:dyDescent="0.2">
      <c r="B59" s="66">
        <v>311</v>
      </c>
      <c r="C59" s="85" t="str">
        <f>VLOOKUP( $B59, Aop!$A$2:$N$415, 5, 1)</f>
        <v>41.</v>
      </c>
      <c r="D59" s="442" t="str">
        <f>VLOOKUP( $B59, Aop!$A$2:$N$415, 6, 1)</f>
        <v xml:space="preserve">    6. Odlivi po osnovu ostalih dugoročnih i kratkoročnih obaveza</v>
      </c>
      <c r="E59" s="442"/>
      <c r="F59" s="442"/>
      <c r="G59" s="442"/>
      <c r="H59" s="442"/>
      <c r="I59" s="112">
        <f>VLOOKUP( $B59, Aop!$A$2:$N$415, 4, 1)</f>
        <v>538</v>
      </c>
      <c r="J59" s="215">
        <v>148000</v>
      </c>
      <c r="K59" s="216">
        <v>133500</v>
      </c>
      <c r="O59" s="29"/>
    </row>
    <row r="60" spans="2:15" x14ac:dyDescent="0.2">
      <c r="B60" s="66">
        <v>312</v>
      </c>
      <c r="C60" s="82" t="str">
        <f>VLOOKUP( $B60, Aop!$A$2:$N$415, 5, 1)</f>
        <v>42.</v>
      </c>
      <c r="D60" s="441" t="str">
        <f>VLOOKUP( $B60, Aop!$A$2:$N$415, 6, 1)</f>
        <v xml:space="preserve">  III - NETO PRILIV GOTOVINE IZ AKTIVNOST FINANSIRANJA (527 - 532)</v>
      </c>
      <c r="E60" s="441"/>
      <c r="F60" s="441"/>
      <c r="G60" s="441"/>
      <c r="H60" s="441"/>
      <c r="I60" s="83">
        <f>VLOOKUP( $B60, Aop!$A$2:$N$415, 4, 1)</f>
        <v>539</v>
      </c>
      <c r="J60" s="33">
        <f>IF( SUBTOTAL( 9, J48:J52) - SUBTOTAL( 9, J53:J59) &lt;= 0, 0, ABS( SUBTOTAL( 9, J48:J52) - SUBTOTAL( 9, J53:J59)) )</f>
        <v>0</v>
      </c>
      <c r="K60" s="84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5" t="str">
        <f>VLOOKUP( $B61, Aop!$A$2:$N$415, 5, 1)</f>
        <v>43.</v>
      </c>
      <c r="D61" s="440" t="str">
        <f>VLOOKUP( $B61, Aop!$A$2:$N$415, 6, 1)</f>
        <v xml:space="preserve">  IV - NETO ODLIV GOTOVINE IZ AKTIVNOSTI FINANSIRANJA (532 - 527)</v>
      </c>
      <c r="E61" s="440"/>
      <c r="F61" s="440"/>
      <c r="G61" s="440"/>
      <c r="H61" s="440"/>
      <c r="I61" s="112">
        <f>VLOOKUP( $B61, Aop!$A$2:$N$415, 4, 1)</f>
        <v>540</v>
      </c>
      <c r="J61" s="89">
        <f>IF( SUBTOTAL( 9, J48:J52) - SUBTOTAL( 9, J53:J59) &gt;= 0, 0, ABS( SUBTOTAL( 9, J48:J52) - SUBTOTAL( 9, J53:J59)) )</f>
        <v>723030</v>
      </c>
      <c r="K61" s="90">
        <f>IF( SUBTOTAL( 9, K48:K52) - SUBTOTAL( 9, K53:K59) &gt;= 0, 0, ABS( SUBTOTAL( 9, K48:K52) - SUBTOTAL( 9, K53:K59)) )</f>
        <v>61550</v>
      </c>
      <c r="O61" s="29"/>
    </row>
    <row r="62" spans="2:15" x14ac:dyDescent="0.2">
      <c r="B62" s="66">
        <v>314</v>
      </c>
      <c r="C62" s="82" t="str">
        <f>VLOOKUP( $B62, Aop!$A$2:$N$415, 5, 1)</f>
        <v>44.</v>
      </c>
      <c r="D62" s="441" t="str">
        <f>VLOOKUP( $B62, Aop!$A$2:$N$415, 6, 1)</f>
        <v>G. UKUPNI PRILIVI GOTOVINE (501 + 513 + 527)</v>
      </c>
      <c r="E62" s="441"/>
      <c r="F62" s="441"/>
      <c r="G62" s="441"/>
      <c r="H62" s="441"/>
      <c r="I62" s="83">
        <f>VLOOKUP( $B62, Aop!$A$2:$N$415, 4, 1)</f>
        <v>541</v>
      </c>
      <c r="J62" s="33">
        <f>SUBTOTAL( 9, J20:J23, J33:J39, J48:J52)</f>
        <v>33859239</v>
      </c>
      <c r="K62" s="84">
        <f>SUBTOTAL( 9, K20:K23, K33:K39, K48:K52)</f>
        <v>28619572</v>
      </c>
      <c r="O62" s="29"/>
    </row>
    <row r="63" spans="2:15" x14ac:dyDescent="0.2">
      <c r="B63" s="66">
        <v>315</v>
      </c>
      <c r="C63" s="85" t="str">
        <f>VLOOKUP( $B63, Aop!$A$2:$N$415, 5, 1)</f>
        <v>45.</v>
      </c>
      <c r="D63" s="440" t="str">
        <f>VLOOKUP( $B63, Aop!$A$2:$N$415, 6, 1)</f>
        <v>D. UKUPNI ODLIVI GOTOVINE (505 + 520 + 532)</v>
      </c>
      <c r="E63" s="440"/>
      <c r="F63" s="440"/>
      <c r="G63" s="440"/>
      <c r="H63" s="440"/>
      <c r="I63" s="112">
        <f>VLOOKUP( $B63, Aop!$A$2:$N$415, 4, 1)</f>
        <v>542</v>
      </c>
      <c r="J63" s="89">
        <f>SUBTOTAL( 9, J24:J29, J40:J44, J53:J59)</f>
        <v>33648628</v>
      </c>
      <c r="K63" s="90">
        <f>SUBTOTAL( 9, K24:K29, K40:K44, K53:K59)</f>
        <v>28611591</v>
      </c>
      <c r="O63" s="29"/>
    </row>
    <row r="64" spans="2:15" x14ac:dyDescent="0.2">
      <c r="B64" s="66">
        <v>316</v>
      </c>
      <c r="C64" s="82" t="str">
        <f>VLOOKUP( $B64, Aop!$A$2:$N$415, 5, 1)</f>
        <v>46.</v>
      </c>
      <c r="D64" s="441" t="str">
        <f>VLOOKUP( $B64, Aop!$A$2:$N$415, 6, 1)</f>
        <v>Đ. NETO PRILIV GOTOVINE (541 - 542)</v>
      </c>
      <c r="E64" s="441"/>
      <c r="F64" s="441"/>
      <c r="G64" s="441"/>
      <c r="H64" s="441"/>
      <c r="I64" s="83">
        <f>VLOOKUP( $B64, Aop!$A$2:$N$415, 4, 1)</f>
        <v>543</v>
      </c>
      <c r="J64" s="33">
        <f>IF( SUBTOTAL( 9, J20:J23, J33:J39, J48:J52) - SUBTOTAL( 9, J24:J29, J40:J44, J53:J59) &lt;= 0, 0, ABS( SUBTOTAL( 9, J20:J23, J33:J39, J48:J52) - SUBTOTAL( 9, J24:J29, J40:J44, J53:J59)))</f>
        <v>210611</v>
      </c>
      <c r="K64" s="84">
        <f>IF( SUBTOTAL( 9, K20:K23, K33:K39, K48:K52) - SUBTOTAL( 9, K24:K29, K40:K44, K53:K59) &lt;= 0, 0, ABS( SUBTOTAL( 9, K20:K23, K33:K39, K48:K52) - SUBTOTAL( 9, K24:K29, K40:K44, K53:K59)))</f>
        <v>7981</v>
      </c>
      <c r="O64" s="29"/>
    </row>
    <row r="65" spans="2:15" x14ac:dyDescent="0.2">
      <c r="B65" s="66">
        <v>317</v>
      </c>
      <c r="C65" s="85" t="str">
        <f>VLOOKUP( $B65, Aop!$A$2:$N$415, 5, 1)</f>
        <v>47.</v>
      </c>
      <c r="D65" s="440" t="str">
        <f>VLOOKUP( $B65, Aop!$A$2:$N$415, 6, 1)</f>
        <v>E. NETO ODLIV GOTOVINE (542 - 541)</v>
      </c>
      <c r="E65" s="440"/>
      <c r="F65" s="440"/>
      <c r="G65" s="440"/>
      <c r="H65" s="440"/>
      <c r="I65" s="112">
        <f>VLOOKUP( $B65, Aop!$A$2:$N$415, 4, 1)</f>
        <v>544</v>
      </c>
      <c r="J65" s="89">
        <f>IF( SUBTOTAL( 9, J20:J23, J33:J39, J48:J52) - SUBTOTAL( 9, J24:J29, J40:J44, J53:J59) &gt;= 0, 0, ABS( SUBTOTAL( 9, J20:J23, J33:J39, J48:J52) - SUBTOTAL( 9, J24:J29, J40:J44, J53:J59)) )</f>
        <v>0</v>
      </c>
      <c r="K65" s="90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Aop!$A$2:$N$415, 5, 1)</f>
        <v>48.</v>
      </c>
      <c r="D66" s="441" t="str">
        <f>VLOOKUP( $B66, Aop!$A$2:$N$415, 6, 1)</f>
        <v>Ž. GOTOVINA NA POČETKU OBRAČUNSKOG PERIODA</v>
      </c>
      <c r="E66" s="441"/>
      <c r="F66" s="441"/>
      <c r="G66" s="441"/>
      <c r="H66" s="441"/>
      <c r="I66" s="83">
        <f>VLOOKUP( $B66, Aop!$A$2:$N$415, 4, 1)</f>
        <v>545</v>
      </c>
      <c r="J66" s="120">
        <v>26133</v>
      </c>
      <c r="K66" s="121">
        <v>26318</v>
      </c>
      <c r="O66" s="29"/>
    </row>
    <row r="67" spans="2:15" x14ac:dyDescent="0.2">
      <c r="B67" s="66">
        <v>319</v>
      </c>
      <c r="C67" s="85" t="str">
        <f>VLOOKUP( $B67, Aop!$A$2:$N$415, 5, 1)</f>
        <v>49.</v>
      </c>
      <c r="D67" s="440" t="str">
        <f>VLOOKUP( $B67, Aop!$A$2:$N$415, 6, 1)</f>
        <v>Z. POZITIVNE KURSNE RAZLIKE PO OSNOVU PRERAČUNA GOTOVINE</v>
      </c>
      <c r="E67" s="440"/>
      <c r="F67" s="440"/>
      <c r="G67" s="440"/>
      <c r="H67" s="440"/>
      <c r="I67" s="112">
        <f>VLOOKUP( $B67, Aop!$A$2:$N$415, 4, 1)</f>
        <v>546</v>
      </c>
      <c r="J67" s="217"/>
      <c r="K67" s="218">
        <v>4076</v>
      </c>
      <c r="O67" s="29"/>
    </row>
    <row r="68" spans="2:15" x14ac:dyDescent="0.2">
      <c r="B68" s="66">
        <v>320</v>
      </c>
      <c r="C68" s="82" t="str">
        <f>VLOOKUP( $B68, Aop!$A$2:$N$415, 5, 1)</f>
        <v>50.</v>
      </c>
      <c r="D68" s="441" t="str">
        <f>VLOOKUP( $B68, Aop!$A$2:$N$415, 6, 1)</f>
        <v>I. NEGATIVNE KURSNE RAZLIKE PO OSNOVU PRERAČUNA GOTOVINE</v>
      </c>
      <c r="E68" s="441"/>
      <c r="F68" s="441"/>
      <c r="G68" s="441"/>
      <c r="H68" s="441"/>
      <c r="I68" s="83">
        <f>VLOOKUP( $B68, Aop!$A$2:$N$415, 4, 1)</f>
        <v>547</v>
      </c>
      <c r="J68" s="120">
        <v>8192</v>
      </c>
      <c r="K68" s="121">
        <v>12242</v>
      </c>
      <c r="O68" s="29"/>
    </row>
    <row r="69" spans="2:15" x14ac:dyDescent="0.2">
      <c r="B69" s="66">
        <v>321</v>
      </c>
      <c r="C69" s="113" t="str">
        <f>VLOOKUP( $B69, Aop!$A$2:$N$415, 5, 1)</f>
        <v>51.</v>
      </c>
      <c r="D69" s="463" t="str">
        <f>VLOOKUP( $B69, Aop!$A$2:$N$415, 6, 1)</f>
        <v>J. GOTOVINA NA KRAJU OBRAČUNSKOG PERIODA (545 + 543 - 544 + 546 - 547)</v>
      </c>
      <c r="E69" s="463"/>
      <c r="F69" s="463"/>
      <c r="G69" s="463"/>
      <c r="H69" s="463"/>
      <c r="I69" s="114">
        <f>VLOOKUP( $B69, Aop!$A$2:$N$415, 4, 1)</f>
        <v>548</v>
      </c>
      <c r="J69" s="308">
        <f>SUBTOTAL( 9, J20:J23, J33:J39, J48:J52, J66, J67) - SUBTOTAL( 9, J24:J29, J40:J44, J53:J59, J68)</f>
        <v>228552</v>
      </c>
      <c r="K69" s="309">
        <f>SUBTOTAL( 9, K20:K23, K33:K39, K48:K52, K66, K67) - SUBTOTAL( 9, K24:K29, K40:K44, K53:K59, K68)</f>
        <v>26133</v>
      </c>
      <c r="O69" s="29"/>
    </row>
    <row r="70" spans="2:15" x14ac:dyDescent="0.2"/>
    <row r="71" spans="2:15" x14ac:dyDescent="0.2">
      <c r="C71" s="264" t="str">
        <f>Podnozje_U</f>
        <v>U:</v>
      </c>
      <c r="D71" s="261" t="str">
        <f>Podatak_U</f>
        <v>Banja Luka</v>
      </c>
      <c r="E71" s="52"/>
      <c r="G71"/>
      <c r="H71" s="152" t="str">
        <f>Podnozje_Lice_sa_licencom</f>
        <v>Lice sa licencom:</v>
      </c>
      <c r="I71" s="262" t="str">
        <f>Podatak_Lice_sa_licencom</f>
        <v>Nada Diljkan, SRT-0354/22</v>
      </c>
      <c r="J71" s="263"/>
      <c r="K71" s="263"/>
    </row>
    <row r="72" spans="2:15" x14ac:dyDescent="0.2">
      <c r="C72" s="30"/>
      <c r="D72" s="172"/>
      <c r="E72" s="53"/>
      <c r="F72" s="50" t="str">
        <f>Podnozje_MP</f>
        <v>(M.P.)</v>
      </c>
      <c r="G72"/>
      <c r="H72"/>
      <c r="I72"/>
    </row>
    <row r="73" spans="2:15" x14ac:dyDescent="0.2">
      <c r="C73" s="264" t="str">
        <f>Podnozje_Dana</f>
        <v>Datum:</v>
      </c>
      <c r="D73" s="262" t="str">
        <f>Podatak_Dana</f>
        <v>28.02.2022.</v>
      </c>
      <c r="E73" s="53"/>
      <c r="F73" s="51"/>
      <c r="G73"/>
      <c r="H73" s="152" t="str">
        <f>Podnozje_Direktor</f>
        <v>Lice ovlašćeno za zastupanje:</v>
      </c>
      <c r="I73" s="262" t="str">
        <f>Podatak_Direktor</f>
        <v>Mario Derajić</v>
      </c>
      <c r="J73" s="263"/>
      <c r="K73" s="263"/>
    </row>
    <row r="74" spans="2:15" x14ac:dyDescent="0.2">
      <c r="G74" s="52"/>
      <c r="H74" s="50"/>
      <c r="I74" s="265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8:H68"/>
    <mergeCell ref="D65:H65"/>
    <mergeCell ref="D54:H54"/>
    <mergeCell ref="D55:H55"/>
    <mergeCell ref="D58:H58"/>
    <mergeCell ref="D52:H52"/>
    <mergeCell ref="D66:H66"/>
    <mergeCell ref="D56:H56"/>
    <mergeCell ref="D57:H57"/>
    <mergeCell ref="D51:H51"/>
    <mergeCell ref="D69:H69"/>
    <mergeCell ref="C12:K12"/>
    <mergeCell ref="C13:K13"/>
    <mergeCell ref="C14:K14"/>
    <mergeCell ref="D60:H60"/>
    <mergeCell ref="D61:H61"/>
    <mergeCell ref="D62:H62"/>
    <mergeCell ref="D50:H50"/>
    <mergeCell ref="D46:H46"/>
    <mergeCell ref="D47:H47"/>
    <mergeCell ref="D59:H59"/>
    <mergeCell ref="D53:H53"/>
    <mergeCell ref="D63:H63"/>
    <mergeCell ref="D64:H64"/>
    <mergeCell ref="D24:H24"/>
    <mergeCell ref="D67:H67"/>
    <mergeCell ref="D23:H23"/>
    <mergeCell ref="D49:H49"/>
    <mergeCell ref="D38:H38"/>
    <mergeCell ref="D39:H39"/>
    <mergeCell ref="D40:H40"/>
    <mergeCell ref="D41:H41"/>
    <mergeCell ref="D42:H42"/>
    <mergeCell ref="D43:H43"/>
    <mergeCell ref="D44:H44"/>
    <mergeCell ref="D45:H45"/>
    <mergeCell ref="D48:H48"/>
    <mergeCell ref="D37:H37"/>
    <mergeCell ref="D25:H25"/>
    <mergeCell ref="D26:H26"/>
    <mergeCell ref="D36:H36"/>
    <mergeCell ref="D28:H28"/>
    <mergeCell ref="D29:H29"/>
    <mergeCell ref="D30:H30"/>
    <mergeCell ref="D33:H33"/>
    <mergeCell ref="D27:H27"/>
    <mergeCell ref="D32:H32"/>
    <mergeCell ref="D31:H31"/>
    <mergeCell ref="D34:H34"/>
    <mergeCell ref="D35:H35"/>
    <mergeCell ref="J10:K10"/>
    <mergeCell ref="J9:K9"/>
    <mergeCell ref="I16:I17"/>
    <mergeCell ref="D16:H17"/>
    <mergeCell ref="D10:E10"/>
    <mergeCell ref="J16:K16"/>
    <mergeCell ref="D11:E11"/>
    <mergeCell ref="C9:F9"/>
    <mergeCell ref="D21:H21"/>
    <mergeCell ref="D19:H19"/>
    <mergeCell ref="C16:C17"/>
    <mergeCell ref="D20:H20"/>
    <mergeCell ref="D22:H22"/>
    <mergeCell ref="D18:H18"/>
    <mergeCell ref="J5:K5"/>
    <mergeCell ref="J6:K6"/>
    <mergeCell ref="J7:K7"/>
    <mergeCell ref="J8:K8"/>
    <mergeCell ref="D5:E5"/>
    <mergeCell ref="D6:E6"/>
    <mergeCell ref="C7:E8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56" sqref="D56:H5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48" t="str">
        <f>Podatak_MB</f>
        <v>01940155</v>
      </c>
      <c r="E5" s="448"/>
      <c r="I5" s="17" t="str">
        <f>Zaglavlje_Ziro_racun</f>
        <v>Poslovni računi:</v>
      </c>
      <c r="J5" s="455" t="str">
        <f>Podatak_Ziro_racun_1</f>
        <v>555-007-00215205-80</v>
      </c>
      <c r="K5" s="455"/>
    </row>
    <row r="6" spans="3:13" x14ac:dyDescent="0.2">
      <c r="C6" s="16" t="str">
        <f>Zaglavlje_Sifra_djelatnosti</f>
        <v>Šifra djelatnosti:</v>
      </c>
      <c r="D6" s="448" t="str">
        <f>Podatak_Sifra_djelatnosti</f>
        <v>10.20</v>
      </c>
      <c r="E6" s="448"/>
      <c r="F6" s="9"/>
      <c r="J6" s="455" t="str">
        <f>Podatak_Ziro_racun_2</f>
        <v>551-001-00000138-03</v>
      </c>
      <c r="K6" s="455"/>
    </row>
    <row r="7" spans="3:13" x14ac:dyDescent="0.2">
      <c r="C7" s="449" t="str">
        <f>Zaglavlje_Naziv_preduzeca</f>
        <v>Naziv privrednog društva, zadruge, drugog pravnog lica ili preduzetnika:</v>
      </c>
      <c r="D7" s="449"/>
      <c r="E7" s="449"/>
      <c r="F7" s="19"/>
      <c r="J7" s="455" t="str">
        <f>Podatak_Ziro_racun_3</f>
        <v>154-560-20018542-14</v>
      </c>
      <c r="K7" s="455"/>
    </row>
    <row r="8" spans="3:13" x14ac:dyDescent="0.2">
      <c r="C8" s="449"/>
      <c r="D8" s="449"/>
      <c r="E8" s="449"/>
      <c r="F8" s="19"/>
      <c r="J8" s="455" t="str">
        <f>Podatak_Ziro_racun_4</f>
        <v>567-162-11000878-15</v>
      </c>
      <c r="K8" s="455"/>
    </row>
    <row r="9" spans="3:13" x14ac:dyDescent="0.2">
      <c r="C9" s="450" t="str">
        <f>Podatak_Naziv_preduzeca</f>
        <v xml:space="preserve">Fratello Trade a.d. </v>
      </c>
      <c r="D9" s="450"/>
      <c r="E9" s="450"/>
      <c r="F9" s="450"/>
      <c r="J9" s="455" t="str">
        <f>Podatak_Ziro_racun_5</f>
        <v>194-146-03103041-89</v>
      </c>
      <c r="K9" s="455"/>
    </row>
    <row r="10" spans="3:13" x14ac:dyDescent="0.2">
      <c r="C10" s="16" t="str">
        <f>Zaglavlje_Sjediste</f>
        <v>Sjedište:</v>
      </c>
      <c r="D10" s="448" t="str">
        <f>Podatak_Sjediste</f>
        <v>Banja Luka</v>
      </c>
      <c r="E10" s="448"/>
      <c r="F10" s="16"/>
      <c r="J10" s="455" t="str">
        <f>Podatak_Ziro_racun_6</f>
        <v>199-056-00543633-54</v>
      </c>
      <c r="K10" s="455"/>
    </row>
    <row r="11" spans="3:13" x14ac:dyDescent="0.2">
      <c r="C11" s="16" t="str">
        <f>Zaglavlje_JIB</f>
        <v>JIB:</v>
      </c>
      <c r="D11" s="448" t="str">
        <f>Podatak_JIB</f>
        <v>4400929510006</v>
      </c>
      <c r="E11" s="448"/>
      <c r="F11" s="20"/>
      <c r="G11" s="20"/>
      <c r="H11" s="20"/>
      <c r="I11" s="20"/>
      <c r="J11"/>
      <c r="K11"/>
    </row>
    <row r="12" spans="3:13" ht="15.75" x14ac:dyDescent="0.2">
      <c r="C12" s="464" t="str">
        <f>IF( Id_Konsolidovani, Nazivi_bilansa_Konsolidovani_naziv &amp; LOWER( Nazivi_bilansa_Aneks), Nazivi_bilansa_Aneks)</f>
        <v>Aneks</v>
      </c>
      <c r="D12" s="464"/>
      <c r="E12" s="464"/>
      <c r="F12" s="464"/>
      <c r="G12" s="464"/>
      <c r="H12" s="464"/>
      <c r="I12" s="464"/>
      <c r="J12" s="464"/>
      <c r="K12" s="464"/>
    </row>
    <row r="13" spans="3:13" x14ac:dyDescent="0.2">
      <c r="C13" s="465" t="str">
        <f>Nazivi_bilansa_Aneks1</f>
        <v>(Dodatni računovodstveni izvještaj)</v>
      </c>
      <c r="D13" s="465"/>
      <c r="E13" s="465"/>
      <c r="F13" s="465"/>
      <c r="G13" s="465"/>
      <c r="H13" s="465"/>
      <c r="I13" s="465"/>
      <c r="J13" s="465"/>
      <c r="K13" s="465"/>
    </row>
    <row r="14" spans="3:13" x14ac:dyDescent="0.2">
      <c r="C14" s="465" t="str">
        <f>Datumi_Datum_Aneks</f>
        <v>za period od 01.01. do 31.12.2021.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3" t="str">
        <f>Tabele_zaglavlje_Grupa_racuna</f>
        <v>Grupa računa, račun</v>
      </c>
      <c r="D16" s="444" t="str">
        <f>Tabele_zaglavlje_Pozicija</f>
        <v>POZICIJA</v>
      </c>
      <c r="E16" s="444"/>
      <c r="F16" s="444"/>
      <c r="G16" s="444"/>
      <c r="H16" s="444"/>
      <c r="I16" s="456" t="str">
        <f>Tabele_zaglavlje_Oznaka_aop</f>
        <v>Oznaka za AOP</v>
      </c>
      <c r="J16" s="444" t="str">
        <f>Tabele_zaglavlje_Iznos</f>
        <v>Iznos</v>
      </c>
      <c r="K16" s="451"/>
      <c r="M16" s="57"/>
    </row>
    <row r="17" spans="2:15" ht="25.5" x14ac:dyDescent="0.2">
      <c r="C17" s="454"/>
      <c r="D17" s="445"/>
      <c r="E17" s="445"/>
      <c r="F17" s="445"/>
      <c r="G17" s="445"/>
      <c r="H17" s="445"/>
      <c r="I17" s="45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3" t="s">
        <v>1780</v>
      </c>
    </row>
    <row r="18" spans="2:15" x14ac:dyDescent="0.2">
      <c r="B18" s="60" t="s">
        <v>1364</v>
      </c>
      <c r="C18" s="93">
        <v>1</v>
      </c>
      <c r="D18" s="446">
        <v>2</v>
      </c>
      <c r="E18" s="446"/>
      <c r="F18" s="446"/>
      <c r="G18" s="446"/>
      <c r="H18" s="446"/>
      <c r="I18" s="94">
        <v>3</v>
      </c>
      <c r="J18" s="115">
        <v>4</v>
      </c>
      <c r="K18" s="116">
        <v>5</v>
      </c>
    </row>
    <row r="19" spans="2:15" x14ac:dyDescent="0.2">
      <c r="B19" s="66">
        <v>322</v>
      </c>
      <c r="C19" s="301" t="str">
        <f>VLOOKUP( $B19, Aop!$A$2:$N$415, 5, 1)</f>
        <v>010</v>
      </c>
      <c r="D19" s="469" t="str">
        <f>VLOOKUP( $B19, Aop!$A$2:$N$415, 6, 1)</f>
        <v>Ulaganja u istraživanje i razvoj (dugovni promet bez početnog stanja)</v>
      </c>
      <c r="E19" s="469"/>
      <c r="F19" s="469"/>
      <c r="G19" s="469"/>
      <c r="H19" s="469"/>
      <c r="I19" s="302">
        <f>VLOOKUP( $B19, Aop!$A$2:$N$415, 4, 1)</f>
        <v>601</v>
      </c>
      <c r="J19" s="336"/>
      <c r="K19" s="337"/>
      <c r="O19" s="29"/>
    </row>
    <row r="20" spans="2:15" ht="25.5" x14ac:dyDescent="0.2">
      <c r="B20" s="66">
        <v>323</v>
      </c>
      <c r="C20" s="166" t="str">
        <f>VLOOKUP( $B20, Aop!$A$2:$N$415, 5, 1)</f>
        <v>201, dio 200</v>
      </c>
      <c r="D20" s="443" t="str">
        <f>VLOOKUP( $B20, Aop!$A$2:$N$415, 6, 1)</f>
        <v>Kupci iz Republike Srpske i kupci - povezana pravna lica iz RS (dugovni promet bez početnog stanja)</v>
      </c>
      <c r="E20" s="443"/>
      <c r="F20" s="443"/>
      <c r="G20" s="443"/>
      <c r="H20" s="443"/>
      <c r="I20" s="167">
        <f>VLOOKUP( $B20, Aop!$A$2:$N$415, 4, 1)</f>
        <v>602</v>
      </c>
      <c r="J20" s="211">
        <v>6004363</v>
      </c>
      <c r="K20" s="212">
        <v>4873060</v>
      </c>
      <c r="O20" s="182" t="s">
        <v>1581</v>
      </c>
    </row>
    <row r="21" spans="2:15" ht="25.5" customHeight="1" x14ac:dyDescent="0.2">
      <c r="B21" s="66">
        <v>324</v>
      </c>
      <c r="C21" s="164" t="str">
        <f>VLOOKUP( $B21, Aop!$A$2:$N$415, 5, 1)</f>
        <v>202, dio 200</v>
      </c>
      <c r="D21" s="393" t="str">
        <f>VLOOKUP( $B21, Aop!$A$2:$N$415, 6, 1)</f>
        <v>Kupci iz Federacije BiH i kupci - povezana pravna lica iz FBiH (dugovni promet bez početnog stanja)</v>
      </c>
      <c r="E21" s="394"/>
      <c r="F21" s="394"/>
      <c r="G21" s="394"/>
      <c r="H21" s="395"/>
      <c r="I21" s="303">
        <f>VLOOKUP( $B21, Aop!$A$2:$N$415, 4, 1)</f>
        <v>603</v>
      </c>
      <c r="J21" s="213">
        <v>4120956</v>
      </c>
      <c r="K21" s="214">
        <v>3488310</v>
      </c>
      <c r="O21" s="182" t="s">
        <v>1581</v>
      </c>
    </row>
    <row r="22" spans="2:15" ht="25.5" customHeight="1" x14ac:dyDescent="0.2">
      <c r="B22" s="66">
        <v>325</v>
      </c>
      <c r="C22" s="166" t="str">
        <f>VLOOKUP( $B22, Aop!$A$2:$N$415, 5, 1)</f>
        <v>203, dio 200</v>
      </c>
      <c r="D22" s="390" t="str">
        <f>VLOOKUP( $B22, Aop!$A$2:$N$415, 6, 1)</f>
        <v>Kupci iz Brčko Distrikta BiH i kupci - povezana pravna lica iz BD (dugovni promet bez početnog stanja)</v>
      </c>
      <c r="E22" s="391"/>
      <c r="F22" s="391"/>
      <c r="G22" s="391"/>
      <c r="H22" s="392"/>
      <c r="I22" s="167">
        <f>VLOOKUP( $B22, Aop!$A$2:$N$415, 4, 1)</f>
        <v>604</v>
      </c>
      <c r="J22" s="211">
        <v>88451</v>
      </c>
      <c r="K22" s="212">
        <v>51090</v>
      </c>
      <c r="O22" s="182" t="s">
        <v>1581</v>
      </c>
    </row>
    <row r="23" spans="2:15" ht="25.5" x14ac:dyDescent="0.2">
      <c r="B23" s="66">
        <v>326</v>
      </c>
      <c r="C23" s="164" t="str">
        <f>VLOOKUP( $B23, Aop!$A$2:$N$415, 5, 1)</f>
        <v>432, dio 431</v>
      </c>
      <c r="D23" s="393" t="str">
        <f>VLOOKUP( $B23, Aop!$A$2:$N$415, 6, 1)</f>
        <v>Dobavljači iz Republike Srpske i dobavljači - povezana pravna lica iz RS (potražni promet bez početnog stanja)</v>
      </c>
      <c r="E23" s="394"/>
      <c r="F23" s="394"/>
      <c r="G23" s="394"/>
      <c r="H23" s="395"/>
      <c r="I23" s="303">
        <f>VLOOKUP( $B23, Aop!$A$2:$N$415, 4, 1)</f>
        <v>605</v>
      </c>
      <c r="J23" s="213">
        <v>1408746</v>
      </c>
      <c r="K23" s="214">
        <v>1075408</v>
      </c>
      <c r="O23" s="182" t="s">
        <v>1581</v>
      </c>
    </row>
    <row r="24" spans="2:15" ht="25.5" x14ac:dyDescent="0.2">
      <c r="B24" s="66">
        <v>327</v>
      </c>
      <c r="C24" s="166" t="str">
        <f>VLOOKUP( $B24, Aop!$A$2:$N$415, 5, 1)</f>
        <v>433, dio 431</v>
      </c>
      <c r="D24" s="390" t="str">
        <f>VLOOKUP( $B24, Aop!$A$2:$N$415, 6, 1)</f>
        <v>Dobavljači iz Federacije BiH i dobavljači - povezana pravna lica iz FBiH (potražni promet bez početnog stanja)</v>
      </c>
      <c r="E24" s="391"/>
      <c r="F24" s="391"/>
      <c r="G24" s="391"/>
      <c r="H24" s="392"/>
      <c r="I24" s="167">
        <f>VLOOKUP( $B24, Aop!$A$2:$N$415, 4, 1)</f>
        <v>606</v>
      </c>
      <c r="J24" s="211">
        <v>386417</v>
      </c>
      <c r="K24" s="212">
        <v>320068</v>
      </c>
      <c r="O24" s="182" t="s">
        <v>1581</v>
      </c>
    </row>
    <row r="25" spans="2:15" ht="25.5" x14ac:dyDescent="0.2">
      <c r="B25" s="66">
        <v>328</v>
      </c>
      <c r="C25" s="164" t="str">
        <f>VLOOKUP( $B25, Aop!$A$2:$N$415, 5, 1)</f>
        <v>434, dio 431</v>
      </c>
      <c r="D25" s="393" t="str">
        <f>VLOOKUP( $B25, Aop!$A$2:$N$415, 6, 1)</f>
        <v>Dobavljači iz Brčko Distrikta BiH i dobavljači - povezana pravna lica iz DB (potražni promet bez početnog stanja)</v>
      </c>
      <c r="E25" s="394"/>
      <c r="F25" s="394"/>
      <c r="G25" s="394"/>
      <c r="H25" s="395"/>
      <c r="I25" s="303">
        <f>VLOOKUP( $B25, Aop!$A$2:$N$415, 4, 1)</f>
        <v>607</v>
      </c>
      <c r="J25" s="213">
        <v>22979</v>
      </c>
      <c r="K25" s="214">
        <v>24011</v>
      </c>
      <c r="O25" s="182" t="s">
        <v>1581</v>
      </c>
    </row>
    <row r="26" spans="2:15" ht="25.5" customHeight="1" x14ac:dyDescent="0.2">
      <c r="B26" s="66">
        <v>329</v>
      </c>
      <c r="C26" s="166" t="str">
        <f>VLOOKUP( $B26, Aop!$A$2:$N$415, 5, 1)</f>
        <v>601, dio 600</v>
      </c>
      <c r="D26" s="390" t="str">
        <f>VLOOKUP( $B26, Aop!$A$2:$N$415, 6, 1)</f>
        <v>Prihodi od prodaje robe u Republici Srpskoj i prihodi od prodaje robe povezanim pravnim licima u RS</v>
      </c>
      <c r="E26" s="391"/>
      <c r="F26" s="391"/>
      <c r="G26" s="391"/>
      <c r="H26" s="392"/>
      <c r="I26" s="167">
        <f>VLOOKUP( $B26, Aop!$A$2:$N$415, 4, 1)</f>
        <v>608</v>
      </c>
      <c r="J26" s="211">
        <v>6681840</v>
      </c>
      <c r="K26" s="212">
        <v>5453528</v>
      </c>
      <c r="O26" s="182" t="s">
        <v>1581</v>
      </c>
    </row>
    <row r="27" spans="2:15" ht="25.5" customHeight="1" x14ac:dyDescent="0.2">
      <c r="B27" s="66">
        <v>330</v>
      </c>
      <c r="C27" s="164" t="str">
        <f>VLOOKUP( $B27, Aop!$A$2:$N$415, 5, 1)</f>
        <v>602, dio 600</v>
      </c>
      <c r="D27" s="393" t="str">
        <f>VLOOKUP( $B27, Aop!$A$2:$N$415, 6, 1)</f>
        <v>Prihodi od prodaje robe u Federaciji BiH i prihodi od prodaje robe povezanim pravnim licima u FBiH</v>
      </c>
      <c r="E27" s="394"/>
      <c r="F27" s="394"/>
      <c r="G27" s="394"/>
      <c r="H27" s="395"/>
      <c r="I27" s="303">
        <f>VLOOKUP( $B27, Aop!$A$2:$N$415, 4, 1)</f>
        <v>609</v>
      </c>
      <c r="J27" s="213">
        <v>3493827</v>
      </c>
      <c r="K27" s="214">
        <v>2953445</v>
      </c>
      <c r="O27" s="182" t="s">
        <v>1581</v>
      </c>
    </row>
    <row r="28" spans="2:15" ht="25.5" customHeight="1" x14ac:dyDescent="0.2">
      <c r="B28" s="66">
        <v>331</v>
      </c>
      <c r="C28" s="166" t="str">
        <f>VLOOKUP( $B28, Aop!$A$2:$N$415, 5, 1)</f>
        <v>603, dio 600</v>
      </c>
      <c r="D28" s="390" t="str">
        <f>VLOOKUP( $B28, Aop!$A$2:$N$415, 6, 1)</f>
        <v>Prihodi od prodaje robe u Brčko Distriktu BiH i prihodi od prodaje robe povezanim pravnim licima u BD</v>
      </c>
      <c r="E28" s="391"/>
      <c r="F28" s="391"/>
      <c r="G28" s="391"/>
      <c r="H28" s="392"/>
      <c r="I28" s="167">
        <f>VLOOKUP( $B28, Aop!$A$2:$N$415, 4, 1)</f>
        <v>610</v>
      </c>
      <c r="J28" s="211">
        <v>72267</v>
      </c>
      <c r="K28" s="212">
        <v>42053</v>
      </c>
      <c r="O28" s="182" t="s">
        <v>1581</v>
      </c>
    </row>
    <row r="29" spans="2:15" ht="12.75" customHeight="1" x14ac:dyDescent="0.2">
      <c r="B29" s="66">
        <v>332</v>
      </c>
      <c r="C29" s="164" t="str">
        <f>VLOOKUP( $B29, Aop!$A$2:$N$415, 5, 1)</f>
        <v>dio 61</v>
      </c>
      <c r="D29" s="393" t="str">
        <f>VLOOKUP( $B29, Aop!$A$2:$N$415, 6, 1)</f>
        <v>Prihodi od prodaje proizvoda</v>
      </c>
      <c r="E29" s="394"/>
      <c r="F29" s="394"/>
      <c r="G29" s="394"/>
      <c r="H29" s="395"/>
      <c r="I29" s="303">
        <f>VLOOKUP( $B29, Aop!$A$2:$N$415, 4, 1)</f>
        <v>611</v>
      </c>
      <c r="J29" s="213">
        <v>7778042</v>
      </c>
      <c r="K29" s="214">
        <v>4218003</v>
      </c>
      <c r="O29"/>
    </row>
    <row r="30" spans="2:15" ht="12.75" customHeight="1" x14ac:dyDescent="0.2">
      <c r="B30" s="66">
        <v>333</v>
      </c>
      <c r="C30" s="166" t="str">
        <f>VLOOKUP( $B30, Aop!$A$2:$N$415, 5, 1)</f>
        <v>dio 61</v>
      </c>
      <c r="D30" s="390" t="str">
        <f>VLOOKUP( $B30, Aop!$A$2:$N$415, 6, 1)</f>
        <v>Prihodi od prodaje usluga</v>
      </c>
      <c r="E30" s="391"/>
      <c r="F30" s="391"/>
      <c r="G30" s="391"/>
      <c r="H30" s="392"/>
      <c r="I30" s="167">
        <f>VLOOKUP( $B30, Aop!$A$2:$N$415, 4, 1)</f>
        <v>612</v>
      </c>
      <c r="J30" s="211">
        <v>85639</v>
      </c>
      <c r="K30" s="212">
        <v>105024</v>
      </c>
      <c r="O30"/>
    </row>
    <row r="31" spans="2:15" ht="25.5" customHeight="1" x14ac:dyDescent="0.2">
      <c r="B31" s="66">
        <v>334</v>
      </c>
      <c r="C31" s="164" t="str">
        <f>VLOOKUP( $B31, Aop!$A$2:$N$415, 5, 1)</f>
        <v>611, dio 610</v>
      </c>
      <c r="D31" s="393" t="str">
        <f>VLOOKUP( $B31, Aop!$A$2:$N$415, 6, 1)</f>
        <v>Prihodi od prodaje učinaka u Republici Srpskoj i prihodi od prodaje učinaka povezanim pravnim licima u RS</v>
      </c>
      <c r="E31" s="394"/>
      <c r="F31" s="394"/>
      <c r="G31" s="394"/>
      <c r="H31" s="395"/>
      <c r="I31" s="303">
        <f>VLOOKUP( $B31, Aop!$A$2:$N$415, 4, 1)</f>
        <v>613</v>
      </c>
      <c r="J31" s="213">
        <v>244347</v>
      </c>
      <c r="K31" s="214">
        <v>192905</v>
      </c>
      <c r="O31" s="182" t="s">
        <v>1581</v>
      </c>
    </row>
    <row r="32" spans="2:15" ht="25.5" customHeight="1" x14ac:dyDescent="0.2">
      <c r="B32" s="66">
        <v>335</v>
      </c>
      <c r="C32" s="166" t="str">
        <f>VLOOKUP( $B32, Aop!$A$2:$N$415, 5, 1)</f>
        <v>612, dio 610</v>
      </c>
      <c r="D32" s="390" t="str">
        <f>VLOOKUP( $B32, Aop!$A$2:$N$415, 6, 1)</f>
        <v>Prihodi od prodaje učinaka u Federaciji BiH i prihodi od prodaje učinaka povezanim pravnim licima u FBiH</v>
      </c>
      <c r="E32" s="391"/>
      <c r="F32" s="391"/>
      <c r="G32" s="391"/>
      <c r="H32" s="392"/>
      <c r="I32" s="167">
        <f>VLOOKUP( $B32, Aop!$A$2:$N$415, 4, 1)</f>
        <v>614</v>
      </c>
      <c r="J32" s="211">
        <v>26939</v>
      </c>
      <c r="K32" s="212">
        <v>23464</v>
      </c>
      <c r="O32" s="182" t="s">
        <v>1581</v>
      </c>
    </row>
    <row r="33" spans="2:15" ht="25.5" customHeight="1" x14ac:dyDescent="0.2">
      <c r="B33" s="66">
        <v>336</v>
      </c>
      <c r="C33" s="164" t="str">
        <f>VLOOKUP( $B33, Aop!$A$2:$N$415, 5, 1)</f>
        <v>613, dio 610</v>
      </c>
      <c r="D33" s="393" t="str">
        <f>VLOOKUP( $B33, Aop!$A$2:$N$415, 6, 1)</f>
        <v>Prihodi od prodaje učinaka u Brčko Distriktu BiH i prihodi od prodaje učinaka povezanim pravnim licima u BD</v>
      </c>
      <c r="E33" s="394"/>
      <c r="F33" s="394"/>
      <c r="G33" s="394"/>
      <c r="H33" s="395"/>
      <c r="I33" s="303">
        <f>VLOOKUP( $B33, Aop!$A$2:$N$415, 4, 1)</f>
        <v>615</v>
      </c>
      <c r="J33" s="213">
        <v>3331</v>
      </c>
      <c r="K33" s="214">
        <v>1613</v>
      </c>
      <c r="O33" s="182" t="s">
        <v>1581</v>
      </c>
    </row>
    <row r="34" spans="2:15" ht="12.75" customHeight="1" x14ac:dyDescent="0.2">
      <c r="B34" s="66">
        <v>337</v>
      </c>
      <c r="C34" s="166" t="str">
        <f>VLOOKUP( $B34, Aop!$A$2:$N$415, 5, 1)</f>
        <v>dio 611</v>
      </c>
      <c r="D34" s="390" t="str">
        <f>VLOOKUP( $B34, Aop!$A$2:$N$415, 6, 1)</f>
        <v>Prihodi od prodaje usluga u Republici Srpskoj</v>
      </c>
      <c r="E34" s="391"/>
      <c r="F34" s="391"/>
      <c r="G34" s="391"/>
      <c r="H34" s="392"/>
      <c r="I34" s="167">
        <f>VLOOKUP( $B34, Aop!$A$2:$N$415, 4, 1)</f>
        <v>616</v>
      </c>
      <c r="J34" s="211">
        <v>52169</v>
      </c>
      <c r="K34" s="212">
        <v>51313</v>
      </c>
      <c r="O34" s="29"/>
    </row>
    <row r="35" spans="2:15" ht="12.75" customHeight="1" x14ac:dyDescent="0.2">
      <c r="B35" s="66">
        <v>338</v>
      </c>
      <c r="C35" s="164" t="str">
        <f>VLOOKUP( $B35, Aop!$A$2:$N$415, 5, 1)</f>
        <v>dio 612</v>
      </c>
      <c r="D35" s="393" t="str">
        <f>VLOOKUP( $B35, Aop!$A$2:$N$415, 6, 1)</f>
        <v>Prihodi od prodaje usluga u Federaciji BiH</v>
      </c>
      <c r="E35" s="394"/>
      <c r="F35" s="394"/>
      <c r="G35" s="394"/>
      <c r="H35" s="395"/>
      <c r="I35" s="303">
        <f>VLOOKUP( $B35, Aop!$A$2:$N$415, 4, 1)</f>
        <v>617</v>
      </c>
      <c r="J35" s="213">
        <v>5306</v>
      </c>
      <c r="K35" s="214">
        <v>9086</v>
      </c>
      <c r="O35" s="29"/>
    </row>
    <row r="36" spans="2:15" ht="12.75" customHeight="1" x14ac:dyDescent="0.2">
      <c r="B36" s="66">
        <v>339</v>
      </c>
      <c r="C36" s="166" t="str">
        <f>VLOOKUP( $B36, Aop!$A$2:$N$415, 5, 1)</f>
        <v>dio 613</v>
      </c>
      <c r="D36" s="390" t="str">
        <f>VLOOKUP( $B36, Aop!$A$2:$N$415, 6, 1)</f>
        <v>Prihodi od prodaje usluga u Brčko Distriktu BiH</v>
      </c>
      <c r="E36" s="391"/>
      <c r="F36" s="391"/>
      <c r="G36" s="391"/>
      <c r="H36" s="392"/>
      <c r="I36" s="167">
        <f>VLOOKUP( $B36, Aop!$A$2:$N$415, 4, 1)</f>
        <v>618</v>
      </c>
      <c r="J36" s="211"/>
      <c r="K36" s="212"/>
      <c r="O36" s="29"/>
    </row>
    <row r="37" spans="2:15" ht="12.75" customHeight="1" x14ac:dyDescent="0.2">
      <c r="B37" s="66">
        <v>340</v>
      </c>
      <c r="C37" s="232">
        <f>VLOOKUP( $B37, Aop!$A$2:$N$415, 5, 1)</f>
        <v>65</v>
      </c>
      <c r="D37" s="399" t="str">
        <f>VLOOKUP( $B37, Aop!$A$2:$N$415, 6, 1)</f>
        <v>OSTALI POSLOVNI PRIHODI (620 + 623 + 624 + 625 + 626 + 627 + 628)</v>
      </c>
      <c r="E37" s="400"/>
      <c r="F37" s="400"/>
      <c r="G37" s="400"/>
      <c r="H37" s="401"/>
      <c r="I37" s="300">
        <f>VLOOKUP( $B37, Aop!$A$2:$N$415, 4, 1)</f>
        <v>619</v>
      </c>
      <c r="J37" s="35">
        <f>SUBTOTAL( 9, J38, J41:J46)</f>
        <v>121916</v>
      </c>
      <c r="K37" s="87">
        <f>SUBTOTAL( 9, K38, K41:K46)</f>
        <v>166038</v>
      </c>
      <c r="O37" s="29"/>
    </row>
    <row r="38" spans="2:15" ht="12.75" customHeight="1" x14ac:dyDescent="0.2">
      <c r="B38" s="66">
        <v>341</v>
      </c>
      <c r="C38" s="166">
        <f>VLOOKUP( $B38, Aop!$A$2:$N$415, 5, 1)</f>
        <v>650</v>
      </c>
      <c r="D38" s="390" t="str">
        <f>VLOOKUP( $B38, Aop!$A$2:$N$415, 6, 1)</f>
        <v xml:space="preserve">  a) Prihodi od premija, subvencija, dotacija, regresa, podsticaja i slično</v>
      </c>
      <c r="E38" s="391"/>
      <c r="F38" s="391"/>
      <c r="G38" s="391"/>
      <c r="H38" s="392"/>
      <c r="I38" s="167">
        <f>VLOOKUP( $B38, Aop!$A$2:$N$415, 4, 1)</f>
        <v>620</v>
      </c>
      <c r="J38" s="211">
        <v>14040</v>
      </c>
      <c r="K38" s="212">
        <v>25219</v>
      </c>
      <c r="O38" s="29"/>
    </row>
    <row r="39" spans="2:15" ht="25.5" customHeight="1" x14ac:dyDescent="0.2">
      <c r="B39" s="66">
        <v>342</v>
      </c>
      <c r="C39" s="164" t="str">
        <f>VLOOKUP( $B39, Aop!$A$2:$N$415, 5, 1)</f>
        <v>dio 650</v>
      </c>
      <c r="D39" s="393" t="str">
        <f>VLOOKUP( $B39, Aop!$A$2:$N$415, 6, 1)</f>
        <v xml:space="preserve">    Od toga: prihodi po osnovu subvencija na proizvode (subvencije koje se mogu prikazati po jedinici proizvoda, npr. vozna karta, brašno, hljeb, mlijeko i dr.)</v>
      </c>
      <c r="E39" s="394"/>
      <c r="F39" s="394"/>
      <c r="G39" s="394"/>
      <c r="H39" s="395"/>
      <c r="I39" s="303">
        <f>VLOOKUP( $B39, Aop!$A$2:$N$415, 4, 1)</f>
        <v>621</v>
      </c>
      <c r="J39" s="213"/>
      <c r="K39" s="214"/>
      <c r="O39" s="182" t="s">
        <v>1581</v>
      </c>
    </row>
    <row r="40" spans="2:15" ht="25.5" customHeight="1" x14ac:dyDescent="0.2">
      <c r="B40" s="66">
        <v>343</v>
      </c>
      <c r="C40" s="166" t="str">
        <f>VLOOKUP( $B40, Aop!$A$2:$N$415, 5, 1)</f>
        <v>dio 650</v>
      </c>
      <c r="D40" s="390" t="str">
        <f>VLOOKUP( $B40, Aop!$A$2:$N$415, 6, 1)</f>
        <v xml:space="preserve">    Od toga: prihodi po osnovu subvencija na proizvodnju (na zapošljavanje, platu, kamatnu stopu, za smanjenje zagađenja i dr.)</v>
      </c>
      <c r="E40" s="391"/>
      <c r="F40" s="391"/>
      <c r="G40" s="391"/>
      <c r="H40" s="392"/>
      <c r="I40" s="167">
        <f>VLOOKUP( $B40, Aop!$A$2:$N$415, 4, 1)</f>
        <v>622</v>
      </c>
      <c r="J40" s="211"/>
      <c r="K40" s="212"/>
      <c r="O40" s="182" t="s">
        <v>1581</v>
      </c>
    </row>
    <row r="41" spans="2:15" ht="12.75" customHeight="1" x14ac:dyDescent="0.2">
      <c r="B41" s="66">
        <v>344</v>
      </c>
      <c r="C41" s="164">
        <f>VLOOKUP( $B41, Aop!$A$2:$N$415, 5, 1)</f>
        <v>651</v>
      </c>
      <c r="D41" s="393" t="str">
        <f>VLOOKUP( $B41, Aop!$A$2:$N$415, 6, 1)</f>
        <v xml:space="preserve">  b) Prihod od zakupnina</v>
      </c>
      <c r="E41" s="394"/>
      <c r="F41" s="394"/>
      <c r="G41" s="394"/>
      <c r="H41" s="395"/>
      <c r="I41" s="303">
        <f>VLOOKUP( $B41, Aop!$A$2:$N$415, 4, 1)</f>
        <v>623</v>
      </c>
      <c r="J41" s="213"/>
      <c r="K41" s="214"/>
      <c r="O41" s="29"/>
    </row>
    <row r="42" spans="2:15" ht="12.75" customHeight="1" x14ac:dyDescent="0.2">
      <c r="B42" s="66">
        <v>345</v>
      </c>
      <c r="C42" s="166">
        <f>VLOOKUP( $B42, Aop!$A$2:$N$415, 5, 1)</f>
        <v>652</v>
      </c>
      <c r="D42" s="390" t="str">
        <f>VLOOKUP( $B42, Aop!$A$2:$N$415, 6, 1)</f>
        <v xml:space="preserve">  v) Prihod od donacija</v>
      </c>
      <c r="E42" s="391"/>
      <c r="F42" s="391"/>
      <c r="G42" s="391"/>
      <c r="H42" s="392"/>
      <c r="I42" s="167">
        <f>VLOOKUP( $B42, Aop!$A$2:$N$415, 4, 1)</f>
        <v>624</v>
      </c>
      <c r="J42" s="211">
        <v>10228</v>
      </c>
      <c r="K42" s="212">
        <v>42559</v>
      </c>
      <c r="O42" s="29"/>
    </row>
    <row r="43" spans="2:15" ht="12.75" customHeight="1" x14ac:dyDescent="0.2">
      <c r="B43" s="66">
        <v>346</v>
      </c>
      <c r="C43" s="164">
        <f>VLOOKUP( $B43, Aop!$A$2:$N$415, 5, 1)</f>
        <v>653</v>
      </c>
      <c r="D43" s="393" t="str">
        <f>VLOOKUP( $B43, Aop!$A$2:$N$415, 6, 1)</f>
        <v xml:space="preserve">  g) Prihod od članarina</v>
      </c>
      <c r="E43" s="394"/>
      <c r="F43" s="394"/>
      <c r="G43" s="394"/>
      <c r="H43" s="395"/>
      <c r="I43" s="303">
        <f>VLOOKUP( $B43, Aop!$A$2:$N$415, 4, 1)</f>
        <v>625</v>
      </c>
      <c r="J43" s="213"/>
      <c r="K43" s="214"/>
      <c r="O43" s="29"/>
    </row>
    <row r="44" spans="2:15" ht="12.75" customHeight="1" x14ac:dyDescent="0.2">
      <c r="B44" s="66">
        <v>347</v>
      </c>
      <c r="C44" s="166">
        <f>VLOOKUP( $B44, Aop!$A$2:$N$415, 5, 1)</f>
        <v>654</v>
      </c>
      <c r="D44" s="390" t="str">
        <f>VLOOKUP( $B44, Aop!$A$2:$N$415, 6, 1)</f>
        <v xml:space="preserve">  d) Prihod od tantijema i licencnih prava</v>
      </c>
      <c r="E44" s="391"/>
      <c r="F44" s="391"/>
      <c r="G44" s="391"/>
      <c r="H44" s="392"/>
      <c r="I44" s="167">
        <f>VLOOKUP( $B44, Aop!$A$2:$N$415, 4, 1)</f>
        <v>626</v>
      </c>
      <c r="J44" s="211"/>
      <c r="K44" s="212"/>
      <c r="O44" s="29"/>
    </row>
    <row r="45" spans="2:15" ht="12.75" customHeight="1" x14ac:dyDescent="0.2">
      <c r="B45" s="66">
        <v>348</v>
      </c>
      <c r="C45" s="164">
        <f>VLOOKUP( $B45, Aop!$A$2:$N$415, 5, 1)</f>
        <v>655</v>
      </c>
      <c r="D45" s="393" t="str">
        <f>VLOOKUP( $B45, Aop!$A$2:$N$415, 6, 1)</f>
        <v xml:space="preserve">  đ) Prihod iz namjenskih izvora finansiranja (iz budžeta, fondova i dr.)</v>
      </c>
      <c r="E45" s="394"/>
      <c r="F45" s="394"/>
      <c r="G45" s="394"/>
      <c r="H45" s="395"/>
      <c r="I45" s="303">
        <f>VLOOKUP( $B45, Aop!$A$2:$N$415, 4, 1)</f>
        <v>627</v>
      </c>
      <c r="J45" s="213"/>
      <c r="K45" s="214"/>
      <c r="O45" s="29"/>
    </row>
    <row r="46" spans="2:15" ht="12.75" customHeight="1" x14ac:dyDescent="0.2">
      <c r="B46" s="66">
        <v>349</v>
      </c>
      <c r="C46" s="166">
        <f>VLOOKUP( $B46, Aop!$A$2:$N$415, 5, 1)</f>
        <v>659</v>
      </c>
      <c r="D46" s="390" t="str">
        <f>VLOOKUP( $B46, Aop!$A$2:$N$415, 6, 1)</f>
        <v xml:space="preserve">  e) Ostali poslovni prihodi po drugim osnovima</v>
      </c>
      <c r="E46" s="391"/>
      <c r="F46" s="391"/>
      <c r="G46" s="391"/>
      <c r="H46" s="392"/>
      <c r="I46" s="167">
        <f>VLOOKUP( $B46, Aop!$A$2:$N$415, 4, 1)</f>
        <v>628</v>
      </c>
      <c r="J46" s="211">
        <v>97648</v>
      </c>
      <c r="K46" s="212">
        <v>98260</v>
      </c>
      <c r="O46" s="29"/>
    </row>
    <row r="47" spans="2:15" ht="12.75" customHeight="1" x14ac:dyDescent="0.2">
      <c r="B47" s="66">
        <v>350</v>
      </c>
      <c r="C47" s="232" t="str">
        <f>VLOOKUP( $B47, Aop!$A$2:$N$415, 5, 1)</f>
        <v>66 + 67</v>
      </c>
      <c r="D47" s="399" t="str">
        <f>VLOOKUP( $B47, Aop!$A$2:$N$415, 6, 1)</f>
        <v>FINANSIJSKI I OSTALI PRIHODI</v>
      </c>
      <c r="E47" s="400"/>
      <c r="F47" s="400"/>
      <c r="G47" s="400"/>
      <c r="H47" s="401"/>
      <c r="I47" s="300">
        <f>VLOOKUP( $B47, Aop!$A$2:$N$415, 4, 1)</f>
        <v>629</v>
      </c>
      <c r="J47" s="312">
        <v>59779</v>
      </c>
      <c r="K47" s="327">
        <v>4076</v>
      </c>
      <c r="O47" s="29"/>
    </row>
    <row r="48" spans="2:15" ht="12.75" customHeight="1" x14ac:dyDescent="0.2">
      <c r="B48" s="66">
        <v>351</v>
      </c>
      <c r="C48" s="166" t="str">
        <f>VLOOKUP( $B48, Aop!$A$2:$N$415, 5, 1)</f>
        <v>dio 660</v>
      </c>
      <c r="D48" s="390" t="str">
        <f>VLOOKUP( $B48, Aop!$A$2:$N$415, 6, 1)</f>
        <v xml:space="preserve">    Od toga: prihodi od učešća u dobiti (dividendi)</v>
      </c>
      <c r="E48" s="391"/>
      <c r="F48" s="391"/>
      <c r="G48" s="391"/>
      <c r="H48" s="392"/>
      <c r="I48" s="167">
        <f>VLOOKUP( $B48, Aop!$A$2:$N$415, 4, 1)</f>
        <v>630</v>
      </c>
      <c r="J48" s="211">
        <v>58279</v>
      </c>
      <c r="K48" s="212"/>
      <c r="O48" s="29"/>
    </row>
    <row r="49" spans="2:15" ht="12.75" customHeight="1" x14ac:dyDescent="0.2">
      <c r="B49" s="66">
        <v>352</v>
      </c>
      <c r="C49" s="164" t="str">
        <f>VLOOKUP( $B49, Aop!$A$2:$N$415, 5, 1)</f>
        <v>dio 670</v>
      </c>
      <c r="D49" s="393" t="str">
        <f>VLOOKUP( $B49, Aop!$A$2:$N$415, 6, 1)</f>
        <v xml:space="preserve">  Dobici po osnovu prodaje nekretnina, postrojenja i opreme</v>
      </c>
      <c r="E49" s="394"/>
      <c r="F49" s="394"/>
      <c r="G49" s="394"/>
      <c r="H49" s="395"/>
      <c r="I49" s="303">
        <f>VLOOKUP( $B49, Aop!$A$2:$N$415, 4, 1)</f>
        <v>631</v>
      </c>
      <c r="J49" s="213">
        <v>1500</v>
      </c>
      <c r="K49" s="214">
        <v>24477</v>
      </c>
      <c r="O49" s="78"/>
    </row>
    <row r="50" spans="2:15" ht="12.75" customHeight="1" x14ac:dyDescent="0.2">
      <c r="B50" s="66">
        <v>353</v>
      </c>
      <c r="C50" s="166">
        <f>VLOOKUP( $B50, Aop!$A$2:$N$415, 5, 1)</f>
        <v>678</v>
      </c>
      <c r="D50" s="390" t="str">
        <f>VLOOKUP( $B50, Aop!$A$2:$N$415, 6, 1)</f>
        <v xml:space="preserve">  Prihodi po osnovu ugovorene zaštite od rizika koji ne ispunjavaju uslove da se iskažu u okviru revalorizacionih rezervi</v>
      </c>
      <c r="E50" s="391"/>
      <c r="F50" s="391"/>
      <c r="G50" s="391"/>
      <c r="H50" s="392"/>
      <c r="I50" s="167">
        <f>VLOOKUP( $B50, Aop!$A$2:$N$415, 4, 1)</f>
        <v>632</v>
      </c>
      <c r="J50" s="211"/>
      <c r="K50" s="212"/>
      <c r="O50" s="29"/>
    </row>
    <row r="51" spans="2:15" ht="12.75" customHeight="1" x14ac:dyDescent="0.2">
      <c r="B51" s="66">
        <v>354</v>
      </c>
      <c r="C51" s="232">
        <f>VLOOKUP( $B51, Aop!$A$2:$N$415, 5, 1)</f>
        <v>51</v>
      </c>
      <c r="D51" s="399" t="str">
        <f>VLOOKUP( $B51, Aop!$A$2:$N$415, 6, 1)</f>
        <v>TROŠKOVI MATERIJALA</v>
      </c>
      <c r="E51" s="400"/>
      <c r="F51" s="400"/>
      <c r="G51" s="400"/>
      <c r="H51" s="401"/>
      <c r="I51" s="300">
        <f>VLOOKUP( $B51, Aop!$A$2:$N$415, 4, 1)</f>
        <v>633</v>
      </c>
      <c r="J51" s="312">
        <v>8099058</v>
      </c>
      <c r="K51" s="327">
        <v>4521671</v>
      </c>
      <c r="O51" s="29"/>
    </row>
    <row r="52" spans="2:15" ht="12.75" customHeight="1" x14ac:dyDescent="0.2">
      <c r="B52" s="66">
        <v>355</v>
      </c>
      <c r="C52" s="166">
        <f>VLOOKUP( $B52, Aop!$A$2:$N$415, 5, 1)</f>
        <v>513</v>
      </c>
      <c r="D52" s="390" t="str">
        <f>VLOOKUP( $B52, Aop!$A$2:$N$415, 6, 1)</f>
        <v xml:space="preserve">    Od toga: troškovi goriva i energije</v>
      </c>
      <c r="E52" s="391"/>
      <c r="F52" s="391"/>
      <c r="G52" s="391"/>
      <c r="H52" s="392"/>
      <c r="I52" s="167">
        <f>VLOOKUP( $B52, Aop!$A$2:$N$415, 4, 1)</f>
        <v>634</v>
      </c>
      <c r="J52" s="211">
        <v>353932</v>
      </c>
      <c r="K52" s="212">
        <v>292783</v>
      </c>
      <c r="O52" s="29"/>
    </row>
    <row r="53" spans="2:15" ht="12.75" customHeight="1" x14ac:dyDescent="0.2">
      <c r="B53" s="66">
        <v>356</v>
      </c>
      <c r="C53" s="232">
        <f>VLOOKUP( $B53, Aop!$A$2:$N$415, 5, 1)</f>
        <v>52</v>
      </c>
      <c r="D53" s="399" t="str">
        <f>VLOOKUP( $B53, Aop!$A$2:$N$415, 6, 1)</f>
        <v>TROŠKOVI ZARADA, NAKNADA ZARADA I OSTALIH LIČNIH RASHODA</v>
      </c>
      <c r="E53" s="400"/>
      <c r="F53" s="400"/>
      <c r="G53" s="400"/>
      <c r="H53" s="401"/>
      <c r="I53" s="300">
        <f>VLOOKUP( $B53, Aop!$A$2:$N$415, 4, 1)</f>
        <v>635</v>
      </c>
      <c r="J53" s="312">
        <v>1370879</v>
      </c>
      <c r="K53" s="327">
        <v>1168194</v>
      </c>
      <c r="O53" s="29"/>
    </row>
    <row r="54" spans="2:15" ht="12.75" customHeight="1" x14ac:dyDescent="0.2">
      <c r="B54" s="66">
        <v>357</v>
      </c>
      <c r="C54" s="166" t="str">
        <f>VLOOKUP( $B54, Aop!$A$2:$N$415, 5, 1)</f>
        <v>522 + 523</v>
      </c>
      <c r="D54" s="390" t="str">
        <f>VLOOKUP( $B54, Aop!$A$2:$N$415, 6, 1)</f>
        <v xml:space="preserve">  Troškovi bruto naknada članovima upravnog, nadzornog, odbora za reviziju i dr.</v>
      </c>
      <c r="E54" s="391"/>
      <c r="F54" s="391"/>
      <c r="G54" s="391"/>
      <c r="H54" s="392"/>
      <c r="I54" s="167">
        <f>VLOOKUP( $B54, Aop!$A$2:$N$415, 4, 1)</f>
        <v>636</v>
      </c>
      <c r="J54" s="211">
        <v>2256</v>
      </c>
      <c r="K54" s="212">
        <v>1800</v>
      </c>
      <c r="O54" s="29"/>
    </row>
    <row r="55" spans="2:15" ht="12.75" customHeight="1" x14ac:dyDescent="0.2">
      <c r="B55" s="66">
        <v>358</v>
      </c>
      <c r="C55" s="164">
        <f>VLOOKUP( $B55, Aop!$A$2:$N$415, 5, 1)</f>
        <v>525</v>
      </c>
      <c r="D55" s="393" t="str">
        <f>VLOOKUP( $B55, Aop!$A$2:$N$415, 6, 1)</f>
        <v xml:space="preserve">  Troškovi zaposlenih na službenom putu</v>
      </c>
      <c r="E55" s="394"/>
      <c r="F55" s="394"/>
      <c r="G55" s="394"/>
      <c r="H55" s="395"/>
      <c r="I55" s="303">
        <f>VLOOKUP( $B55, Aop!$A$2:$N$415, 4, 1)</f>
        <v>637</v>
      </c>
      <c r="J55" s="213">
        <v>198549</v>
      </c>
      <c r="K55" s="214">
        <v>124729</v>
      </c>
      <c r="O55" s="29"/>
    </row>
    <row r="56" spans="2:15" x14ac:dyDescent="0.2">
      <c r="B56" s="66">
        <v>359</v>
      </c>
      <c r="C56" s="166" t="str">
        <f>VLOOKUP( $B56, Aop!$A$2:$N$415, 5, 1)</f>
        <v>dio 525</v>
      </c>
      <c r="D56" s="390" t="str">
        <f>VLOOKUP( $B56, Aop!$A$2:$N$415, 6, 1)</f>
        <v xml:space="preserve">    Od toga: dnevnice</v>
      </c>
      <c r="E56" s="391"/>
      <c r="F56" s="391"/>
      <c r="G56" s="391"/>
      <c r="H56" s="392"/>
      <c r="I56" s="167">
        <f>VLOOKUP( $B56, Aop!$A$2:$N$415, 4, 1)</f>
        <v>638</v>
      </c>
      <c r="J56" s="211">
        <v>122159</v>
      </c>
      <c r="K56" s="212">
        <v>78381</v>
      </c>
      <c r="O56" s="29"/>
    </row>
    <row r="57" spans="2:15" ht="12.75" customHeight="1" x14ac:dyDescent="0.2">
      <c r="B57" s="66">
        <v>360</v>
      </c>
      <c r="C57" s="232">
        <f>VLOOKUP( $B57, Aop!$A$2:$N$415, 5, 1)</f>
        <v>53</v>
      </c>
      <c r="D57" s="399" t="str">
        <f>VLOOKUP( $B57, Aop!$A$2:$N$415, 6, 1)</f>
        <v>TROŠKOVI PROIZVODNIH USLUGA (640 + 641 + 642 + 643 + 644 + 645 + 646 + 647)</v>
      </c>
      <c r="E57" s="400"/>
      <c r="F57" s="400"/>
      <c r="G57" s="400"/>
      <c r="H57" s="401"/>
      <c r="I57" s="300">
        <f>VLOOKUP( $B57, Aop!$A$2:$N$415, 4, 1)</f>
        <v>639</v>
      </c>
      <c r="J57" s="35">
        <f>SUBTOTAL( 9, J58:J65)</f>
        <v>392323</v>
      </c>
      <c r="K57" s="87">
        <f>SUBTOTAL( 9, K58:K65)</f>
        <v>336717</v>
      </c>
      <c r="O57" s="29"/>
    </row>
    <row r="58" spans="2:15" ht="12.75" customHeight="1" x14ac:dyDescent="0.2">
      <c r="B58" s="66">
        <v>361</v>
      </c>
      <c r="C58" s="166">
        <f>VLOOKUP( $B58, Aop!$A$2:$N$415, 5, 1)</f>
        <v>530</v>
      </c>
      <c r="D58" s="390" t="str">
        <f>VLOOKUP( $B58, Aop!$A$2:$N$415, 6, 1)</f>
        <v xml:space="preserve">  a) Troškovi usluga na izradi učinaka</v>
      </c>
      <c r="E58" s="391"/>
      <c r="F58" s="391"/>
      <c r="G58" s="391"/>
      <c r="H58" s="392"/>
      <c r="I58" s="167">
        <f>VLOOKUP( $B58, Aop!$A$2:$N$415, 4, 1)</f>
        <v>640</v>
      </c>
      <c r="J58" s="211"/>
      <c r="K58" s="212"/>
      <c r="O58" s="29"/>
    </row>
    <row r="59" spans="2:15" ht="12.75" customHeight="1" x14ac:dyDescent="0.2">
      <c r="B59" s="66">
        <v>362</v>
      </c>
      <c r="C59" s="164">
        <f>VLOOKUP( $B59, Aop!$A$2:$N$415, 5, 1)</f>
        <v>531</v>
      </c>
      <c r="D59" s="393" t="str">
        <f>VLOOKUP( $B59, Aop!$A$2:$N$415, 6, 1)</f>
        <v xml:space="preserve">  b) Troškovi transportnih usluga</v>
      </c>
      <c r="E59" s="394"/>
      <c r="F59" s="394"/>
      <c r="G59" s="394"/>
      <c r="H59" s="395"/>
      <c r="I59" s="303">
        <f>VLOOKUP( $B59, Aop!$A$2:$N$415, 4, 1)</f>
        <v>641</v>
      </c>
      <c r="J59" s="213">
        <v>39956</v>
      </c>
      <c r="K59" s="214">
        <v>37629</v>
      </c>
      <c r="O59" s="29"/>
    </row>
    <row r="60" spans="2:15" ht="12.75" customHeight="1" x14ac:dyDescent="0.2">
      <c r="B60" s="66">
        <v>363</v>
      </c>
      <c r="C60" s="166" t="str">
        <f>VLOOKUP( $B60, Aop!$A$2:$N$415, 5, 1)</f>
        <v>dio 532</v>
      </c>
      <c r="D60" s="390" t="str">
        <f>VLOOKUP( $B60, Aop!$A$2:$N$415, 6, 1)</f>
        <v xml:space="preserve">  v) Troškovi za usluge tekućeg održavanja osnovnih sredstava</v>
      </c>
      <c r="E60" s="391"/>
      <c r="F60" s="391"/>
      <c r="G60" s="391"/>
      <c r="H60" s="392"/>
      <c r="I60" s="167">
        <f>VLOOKUP( $B60, Aop!$A$2:$N$415, 4, 1)</f>
        <v>642</v>
      </c>
      <c r="J60" s="211">
        <v>165483</v>
      </c>
      <c r="K60" s="212">
        <v>146367</v>
      </c>
      <c r="O60" s="29"/>
    </row>
    <row r="61" spans="2:15" ht="12.75" customHeight="1" x14ac:dyDescent="0.2">
      <c r="B61" s="66">
        <v>364</v>
      </c>
      <c r="C61" s="164" t="str">
        <f>VLOOKUP( $B61, Aop!$A$2:$N$415, 5, 1)</f>
        <v>dio 532</v>
      </c>
      <c r="D61" s="393" t="str">
        <f>VLOOKUP( $B61, Aop!$A$2:$N$415, 6, 1)</f>
        <v xml:space="preserve">  g) Troškovi za usluge investicionog održavanja osnovnih sredstava</v>
      </c>
      <c r="E61" s="394"/>
      <c r="F61" s="394"/>
      <c r="G61" s="394"/>
      <c r="H61" s="395"/>
      <c r="I61" s="303">
        <f>VLOOKUP( $B61, Aop!$A$2:$N$415, 4, 1)</f>
        <v>643</v>
      </c>
      <c r="J61" s="213"/>
      <c r="K61" s="214"/>
      <c r="O61" s="29"/>
    </row>
    <row r="62" spans="2:15" x14ac:dyDescent="0.2">
      <c r="B62" s="66">
        <v>365</v>
      </c>
      <c r="C62" s="166">
        <f>VLOOKUP( $B62, Aop!$A$2:$N$415, 5, 1)</f>
        <v>533</v>
      </c>
      <c r="D62" s="390" t="str">
        <f>VLOOKUP( $B62, Aop!$A$2:$N$415, 6, 1)</f>
        <v xml:space="preserve">  d) Troškovi zakupa</v>
      </c>
      <c r="E62" s="391"/>
      <c r="F62" s="391"/>
      <c r="G62" s="391"/>
      <c r="H62" s="392"/>
      <c r="I62" s="167">
        <f>VLOOKUP( $B62, Aop!$A$2:$N$415, 4, 1)</f>
        <v>644</v>
      </c>
      <c r="J62" s="211">
        <v>73332</v>
      </c>
      <c r="K62" s="212">
        <v>63316</v>
      </c>
      <c r="O62" s="29"/>
    </row>
    <row r="63" spans="2:15" ht="12.75" customHeight="1" x14ac:dyDescent="0.2">
      <c r="B63" s="66">
        <v>366</v>
      </c>
      <c r="C63" s="164" t="str">
        <f>VLOOKUP( $B63, Aop!$A$2:$N$415, 5, 1)</f>
        <v>534 + 535</v>
      </c>
      <c r="D63" s="393" t="str">
        <f>VLOOKUP( $B63, Aop!$A$2:$N$415, 6, 1)</f>
        <v xml:space="preserve">  đ) Troškovi sajmova, reklame i propagande</v>
      </c>
      <c r="E63" s="394"/>
      <c r="F63" s="394"/>
      <c r="G63" s="394"/>
      <c r="H63" s="395"/>
      <c r="I63" s="303">
        <f>VLOOKUP( $B63, Aop!$A$2:$N$415, 4, 1)</f>
        <v>645</v>
      </c>
      <c r="J63" s="213">
        <v>14408</v>
      </c>
      <c r="K63" s="214">
        <v>12895</v>
      </c>
      <c r="O63" s="29"/>
    </row>
    <row r="64" spans="2:15" ht="12.75" customHeight="1" x14ac:dyDescent="0.2">
      <c r="B64" s="66">
        <v>367</v>
      </c>
      <c r="C64" s="166" t="str">
        <f>VLOOKUP( $B64, Aop!$A$2:$N$415, 5, 1)</f>
        <v>536 + 537</v>
      </c>
      <c r="D64" s="390" t="str">
        <f>VLOOKUP( $B64, Aop!$A$2:$N$415, 6, 1)</f>
        <v xml:space="preserve">  e) Troškovi istraživanja i razvoja koji se ne kapitalizuju</v>
      </c>
      <c r="E64" s="391"/>
      <c r="F64" s="391"/>
      <c r="G64" s="391"/>
      <c r="H64" s="392"/>
      <c r="I64" s="167">
        <f>VLOOKUP( $B64, Aop!$A$2:$N$415, 4, 1)</f>
        <v>646</v>
      </c>
      <c r="J64" s="211"/>
      <c r="K64" s="212"/>
      <c r="O64" s="29"/>
    </row>
    <row r="65" spans="2:15" ht="12.75" customHeight="1" x14ac:dyDescent="0.2">
      <c r="B65" s="66">
        <v>368</v>
      </c>
      <c r="C65" s="164">
        <f>VLOOKUP( $B65, Aop!$A$2:$N$415, 5, 1)</f>
        <v>539</v>
      </c>
      <c r="D65" s="393" t="str">
        <f>VLOOKUP( $B65, Aop!$A$2:$N$415, 6, 1)</f>
        <v xml:space="preserve">  ž) Troškovi ostalih usluga</v>
      </c>
      <c r="E65" s="394"/>
      <c r="F65" s="394"/>
      <c r="G65" s="394"/>
      <c r="H65" s="395"/>
      <c r="I65" s="303">
        <f>VLOOKUP( $B65, Aop!$A$2:$N$415, 4, 1)</f>
        <v>647</v>
      </c>
      <c r="J65" s="213">
        <v>99144</v>
      </c>
      <c r="K65" s="214">
        <v>76510</v>
      </c>
      <c r="O65" s="29"/>
    </row>
    <row r="66" spans="2:15" ht="12.75" customHeight="1" x14ac:dyDescent="0.2">
      <c r="B66" s="66">
        <v>369</v>
      </c>
      <c r="C66" s="166" t="str">
        <f>VLOOKUP( $B66, Aop!$A$2:$N$415, 5, 1)</f>
        <v>dio 539</v>
      </c>
      <c r="D66" s="390" t="str">
        <f>VLOOKUP( $B66, Aop!$A$2:$N$415, 6, 1)</f>
        <v xml:space="preserve">    Od toga: bruto iznosi naknada po ugovorima sa fizičkim licima van radnog odnosa</v>
      </c>
      <c r="E66" s="391"/>
      <c r="F66" s="391"/>
      <c r="G66" s="391"/>
      <c r="H66" s="392"/>
      <c r="I66" s="167">
        <f>VLOOKUP( $B66, Aop!$A$2:$N$415, 4, 1)</f>
        <v>648</v>
      </c>
      <c r="J66" s="211"/>
      <c r="K66" s="212"/>
      <c r="O66" s="29"/>
    </row>
    <row r="67" spans="2:15" ht="12.75" customHeight="1" x14ac:dyDescent="0.2">
      <c r="B67" s="66">
        <v>370</v>
      </c>
      <c r="C67" s="232">
        <f>VLOOKUP( $B67, Aop!$A$2:$N$415, 5, 1)</f>
        <v>55</v>
      </c>
      <c r="D67" s="399" t="str">
        <f>VLOOKUP( $B67, Aop!$A$2:$N$415, 6, 1)</f>
        <v>NEMATERIJALNI TROŠKOVI (650 + 653 + 654 + 655 + 656 + 657 + 658 + 659)</v>
      </c>
      <c r="E67" s="400"/>
      <c r="F67" s="400"/>
      <c r="G67" s="400"/>
      <c r="H67" s="401"/>
      <c r="I67" s="300">
        <f>VLOOKUP( $B67, Aop!$A$2:$N$415, 4, 1)</f>
        <v>649</v>
      </c>
      <c r="J67" s="35">
        <f>SUBTOTAL( 9, J68, J71:J77)</f>
        <v>200524</v>
      </c>
      <c r="K67" s="87">
        <f>SUBTOTAL( 9, K68, K71:K77)</f>
        <v>185443</v>
      </c>
      <c r="O67" s="29"/>
    </row>
    <row r="68" spans="2:15" ht="12.75" customHeight="1" x14ac:dyDescent="0.2">
      <c r="B68" s="66">
        <v>371</v>
      </c>
      <c r="C68" s="166">
        <f>VLOOKUP( $B68, Aop!$A$2:$N$415, 5, 1)</f>
        <v>550</v>
      </c>
      <c r="D68" s="390" t="str">
        <f>VLOOKUP( $B68, Aop!$A$2:$N$415, 6, 1)</f>
        <v xml:space="preserve">  a) Troškovi neproizvodnih usluga</v>
      </c>
      <c r="E68" s="391"/>
      <c r="F68" s="391"/>
      <c r="G68" s="391"/>
      <c r="H68" s="392"/>
      <c r="I68" s="167">
        <f>VLOOKUP( $B68, Aop!$A$2:$N$415, 4, 1)</f>
        <v>650</v>
      </c>
      <c r="J68" s="211">
        <v>32885</v>
      </c>
      <c r="K68" s="212">
        <v>31508</v>
      </c>
      <c r="O68" s="29"/>
    </row>
    <row r="69" spans="2:15" ht="12.75" customHeight="1" x14ac:dyDescent="0.2">
      <c r="B69" s="66">
        <v>372</v>
      </c>
      <c r="C69" s="164" t="str">
        <f>VLOOKUP( $B69, Aop!$A$2:$N$415, 5, 1)</f>
        <v>dio 550</v>
      </c>
      <c r="D69" s="393" t="str">
        <f>VLOOKUP( $B69, Aop!$A$2:$N$415, 6, 1)</f>
        <v xml:space="preserve">    Od toga: troškovi stručnog obrazovanja i usavršavanja zaposlenih</v>
      </c>
      <c r="E69" s="394"/>
      <c r="F69" s="394"/>
      <c r="G69" s="394"/>
      <c r="H69" s="395"/>
      <c r="I69" s="303">
        <f>VLOOKUP( $B69, Aop!$A$2:$N$415, 4, 1)</f>
        <v>651</v>
      </c>
      <c r="J69" s="213">
        <v>163</v>
      </c>
      <c r="K69" s="214">
        <v>516</v>
      </c>
      <c r="O69"/>
    </row>
    <row r="70" spans="2:15" ht="12.75" customHeight="1" x14ac:dyDescent="0.2">
      <c r="B70" s="66">
        <v>373</v>
      </c>
      <c r="C70" s="166" t="str">
        <f>VLOOKUP( $B70, Aop!$A$2:$N$415, 5, 1)</f>
        <v>dio 550</v>
      </c>
      <c r="D70" s="390" t="str">
        <f>VLOOKUP( $B70, Aop!$A$2:$N$415, 6, 1)</f>
        <v xml:space="preserve">    Od toga: bruto iznosi naknada po ugovorima sa fizičkim licima van radnog odnosa</v>
      </c>
      <c r="E70" s="391"/>
      <c r="F70" s="391"/>
      <c r="G70" s="391"/>
      <c r="H70" s="392"/>
      <c r="I70" s="167">
        <f>VLOOKUP( $B70, Aop!$A$2:$N$415, 4, 1)</f>
        <v>652</v>
      </c>
      <c r="J70" s="211"/>
      <c r="K70" s="212"/>
      <c r="O70"/>
    </row>
    <row r="71" spans="2:15" ht="12.75" customHeight="1" x14ac:dyDescent="0.2">
      <c r="B71" s="66">
        <v>374</v>
      </c>
      <c r="C71" s="164">
        <f>VLOOKUP( $B71, Aop!$A$2:$N$415, 5, 1)</f>
        <v>551</v>
      </c>
      <c r="D71" s="393" t="str">
        <f>VLOOKUP( $B71, Aop!$A$2:$N$415, 6, 1)</f>
        <v xml:space="preserve">  b) Troškovi reprezentacije</v>
      </c>
      <c r="E71" s="394"/>
      <c r="F71" s="394"/>
      <c r="G71" s="394"/>
      <c r="H71" s="395"/>
      <c r="I71" s="303">
        <f>VLOOKUP( $B71, Aop!$A$2:$N$415, 4, 1)</f>
        <v>653</v>
      </c>
      <c r="J71" s="213">
        <v>43728</v>
      </c>
      <c r="K71" s="214">
        <v>30242</v>
      </c>
      <c r="O71"/>
    </row>
    <row r="72" spans="2:15" ht="12.75" customHeight="1" x14ac:dyDescent="0.2">
      <c r="B72" s="66">
        <v>375</v>
      </c>
      <c r="C72" s="166">
        <f>VLOOKUP( $B72, Aop!$A$2:$N$415, 5, 1)</f>
        <v>552</v>
      </c>
      <c r="D72" s="390" t="str">
        <f>VLOOKUP( $B72, Aop!$A$2:$N$415, 6, 1)</f>
        <v xml:space="preserve">  v) Troškovi premije osiguranja</v>
      </c>
      <c r="E72" s="391"/>
      <c r="F72" s="391"/>
      <c r="G72" s="391"/>
      <c r="H72" s="392"/>
      <c r="I72" s="167">
        <f>VLOOKUP( $B72, Aop!$A$2:$N$415, 4, 1)</f>
        <v>654</v>
      </c>
      <c r="J72" s="211">
        <v>10014</v>
      </c>
      <c r="K72" s="212">
        <v>9272</v>
      </c>
      <c r="O72" s="29"/>
    </row>
    <row r="73" spans="2:15" ht="12.75" customHeight="1" x14ac:dyDescent="0.2">
      <c r="B73" s="66">
        <v>376</v>
      </c>
      <c r="C73" s="164">
        <f>VLOOKUP( $B73, Aop!$A$2:$N$415, 5, 1)</f>
        <v>553</v>
      </c>
      <c r="D73" s="393" t="str">
        <f>VLOOKUP( $B73, Aop!$A$2:$N$415, 6, 1)</f>
        <v xml:space="preserve">  g) Troškovi platnog prometa</v>
      </c>
      <c r="E73" s="394"/>
      <c r="F73" s="394"/>
      <c r="G73" s="394"/>
      <c r="H73" s="395"/>
      <c r="I73" s="303">
        <f>VLOOKUP( $B73, Aop!$A$2:$N$415, 4, 1)</f>
        <v>655</v>
      </c>
      <c r="J73" s="213">
        <v>66417</v>
      </c>
      <c r="K73" s="214">
        <v>70798</v>
      </c>
      <c r="O73" s="29"/>
    </row>
    <row r="74" spans="2:15" ht="12.75" customHeight="1" x14ac:dyDescent="0.2">
      <c r="B74" s="66">
        <v>377</v>
      </c>
      <c r="C74" s="166">
        <f>VLOOKUP( $B74, Aop!$A$2:$N$415, 5, 1)</f>
        <v>554</v>
      </c>
      <c r="D74" s="390" t="str">
        <f>VLOOKUP( $B74, Aop!$A$2:$N$415, 6, 1)</f>
        <v xml:space="preserve">  d) Troškovi članarina</v>
      </c>
      <c r="E74" s="391"/>
      <c r="F74" s="391"/>
      <c r="G74" s="391"/>
      <c r="H74" s="392"/>
      <c r="I74" s="167">
        <f>VLOOKUP( $B74, Aop!$A$2:$N$415, 4, 1)</f>
        <v>656</v>
      </c>
      <c r="J74" s="211">
        <v>10492</v>
      </c>
      <c r="K74" s="212">
        <v>11089</v>
      </c>
      <c r="O74" s="29"/>
    </row>
    <row r="75" spans="2:15" ht="12.75" customHeight="1" x14ac:dyDescent="0.2">
      <c r="B75" s="66">
        <v>378</v>
      </c>
      <c r="C75" s="164" t="str">
        <f>VLOOKUP( $B75, Aop!$A$2:$N$415, 5, 1)</f>
        <v>dio 555</v>
      </c>
      <c r="D75" s="393" t="str">
        <f>VLOOKUP( $B75, Aop!$A$2:$N$415, 6, 1)</f>
        <v xml:space="preserve">  đ) Troškovi poreza na proizvode, carine, boravišne takse, porez na igre na sreću i sl.</v>
      </c>
      <c r="E75" s="394"/>
      <c r="F75" s="394"/>
      <c r="G75" s="394"/>
      <c r="H75" s="395"/>
      <c r="I75" s="303">
        <f>VLOOKUP( $B75, Aop!$A$2:$N$415, 4, 1)</f>
        <v>657</v>
      </c>
      <c r="J75" s="213"/>
      <c r="K75" s="214"/>
      <c r="O75" s="29"/>
    </row>
    <row r="76" spans="2:15" ht="25.5" customHeight="1" x14ac:dyDescent="0.2">
      <c r="B76" s="66">
        <v>379</v>
      </c>
      <c r="C76" s="166" t="str">
        <f>VLOOKUP( $B76, Aop!$A$2:$N$415, 5, 1)</f>
        <v>dio 555</v>
      </c>
      <c r="D76" s="390" t="str">
        <f>VLOOKUP( $B76, Aop!$A$2:$N$415, 6, 1)</f>
        <v xml:space="preserve">  e) Troškovi poreza na proizvodnju: na imovinu, na zemljište, za korišćenje voda i šuma, za protivpožarnu zaštitu i sl.</v>
      </c>
      <c r="E76" s="391"/>
      <c r="F76" s="391"/>
      <c r="G76" s="391"/>
      <c r="H76" s="392"/>
      <c r="I76" s="167">
        <f>VLOOKUP( $B76, Aop!$A$2:$N$415, 4, 1)</f>
        <v>658</v>
      </c>
      <c r="J76" s="211">
        <v>23711</v>
      </c>
      <c r="K76" s="212">
        <v>21176</v>
      </c>
      <c r="O76" s="182" t="s">
        <v>1581</v>
      </c>
    </row>
    <row r="77" spans="2:15" ht="12.75" customHeight="1" x14ac:dyDescent="0.2">
      <c r="B77" s="66">
        <v>380</v>
      </c>
      <c r="C77" s="164">
        <f>VLOOKUP( $B77, Aop!$A$2:$N$415, 5, 1)</f>
        <v>559</v>
      </c>
      <c r="D77" s="393" t="str">
        <f>VLOOKUP( $B77, Aop!$A$2:$N$415, 6, 1)</f>
        <v xml:space="preserve">  ž) Ostali nematerijalni troškovi</v>
      </c>
      <c r="E77" s="394"/>
      <c r="F77" s="394"/>
      <c r="G77" s="394"/>
      <c r="H77" s="395"/>
      <c r="I77" s="303">
        <f>VLOOKUP( $B77, Aop!$A$2:$N$415, 4, 1)</f>
        <v>659</v>
      </c>
      <c r="J77" s="213">
        <v>13277</v>
      </c>
      <c r="K77" s="214">
        <v>11358</v>
      </c>
      <c r="O77" s="29"/>
    </row>
    <row r="78" spans="2:15" ht="12.75" customHeight="1" x14ac:dyDescent="0.2">
      <c r="B78" s="66">
        <v>381</v>
      </c>
      <c r="C78" s="234">
        <f>VLOOKUP( $B78, Aop!$A$2:$N$415, 5, 1)</f>
        <v>0</v>
      </c>
      <c r="D78" s="396" t="str">
        <f>VLOOKUP( $B78, Aop!$A$2:$N$415, 6, 1)</f>
        <v>OBAVEZE I POTRAŽIVANJA</v>
      </c>
      <c r="E78" s="397"/>
      <c r="F78" s="397"/>
      <c r="G78" s="397"/>
      <c r="H78" s="398"/>
      <c r="I78" s="235">
        <f>VLOOKUP( $B78, Aop!$A$2:$N$415, 4, 1)</f>
        <v>660</v>
      </c>
      <c r="J78" s="120"/>
      <c r="K78" s="121"/>
      <c r="O78" s="29"/>
    </row>
    <row r="79" spans="2:15" ht="12.75" customHeight="1" x14ac:dyDescent="0.2">
      <c r="B79" s="66">
        <v>382</v>
      </c>
      <c r="C79" s="164" t="str">
        <f>VLOOKUP( $B79, Aop!$A$2:$N$415, 5, 1)</f>
        <v>47, osim 479</v>
      </c>
      <c r="D79" s="393" t="str">
        <f>VLOOKUP( $B79, Aop!$A$2:$N$415, 6, 1)</f>
        <v xml:space="preserve">  Obračunati (fakturisani) porez na dodatu vrijednost (kumulativan promet konta)</v>
      </c>
      <c r="E79" s="394"/>
      <c r="F79" s="394"/>
      <c r="G79" s="394"/>
      <c r="H79" s="395"/>
      <c r="I79" s="303">
        <f>VLOOKUP( $B79, Aop!$A$2:$N$415, 4, 1)</f>
        <v>661</v>
      </c>
      <c r="J79" s="213">
        <v>1789246</v>
      </c>
      <c r="K79" s="214">
        <v>1475812</v>
      </c>
      <c r="O79" s="29"/>
    </row>
    <row r="80" spans="2:15" ht="12.75" customHeight="1" x14ac:dyDescent="0.2">
      <c r="B80" s="66">
        <v>383</v>
      </c>
      <c r="C80" s="166" t="str">
        <f>VLOOKUP( $B80, Aop!$A$2:$N$415, 5, 1)</f>
        <v>27, osim 279</v>
      </c>
      <c r="D80" s="390" t="str">
        <f>VLOOKUP( $B80, Aop!$A$2:$N$415, 6, 1)</f>
        <v xml:space="preserve">  Ulazni porez na dodatu vrijednost (kumulativan promet konta)</v>
      </c>
      <c r="E80" s="391"/>
      <c r="F80" s="391"/>
      <c r="G80" s="391"/>
      <c r="H80" s="392"/>
      <c r="I80" s="167">
        <f>VLOOKUP( $B80, Aop!$A$2:$N$415, 4, 1)</f>
        <v>662</v>
      </c>
      <c r="J80" s="211">
        <v>1758895</v>
      </c>
      <c r="K80" s="212">
        <v>1357077</v>
      </c>
      <c r="O80" s="29"/>
    </row>
    <row r="81" spans="2:15" ht="12.75" customHeight="1" x14ac:dyDescent="0.2">
      <c r="B81" s="66">
        <v>384</v>
      </c>
      <c r="C81" s="164">
        <f>VLOOKUP( $B81, Aop!$A$2:$N$415, 5, 1)</f>
        <v>479</v>
      </c>
      <c r="D81" s="393" t="str">
        <f>VLOOKUP( $B81, Aop!$A$2:$N$415, 6, 1)</f>
        <v xml:space="preserve">  Obaveze za PDV po osnovu razlike između obračunatog i akontacionog PDV-a (saldo konta)</v>
      </c>
      <c r="E81" s="394"/>
      <c r="F81" s="394"/>
      <c r="G81" s="394"/>
      <c r="H81" s="395"/>
      <c r="I81" s="303">
        <f>VLOOKUP( $B81, Aop!$A$2:$N$415, 4, 1)</f>
        <v>663</v>
      </c>
      <c r="J81" s="213">
        <v>0</v>
      </c>
      <c r="K81" s="214">
        <v>39224</v>
      </c>
      <c r="O81" s="29"/>
    </row>
    <row r="82" spans="2:15" ht="12.75" customHeight="1" x14ac:dyDescent="0.2">
      <c r="B82" s="66">
        <v>385</v>
      </c>
      <c r="C82" s="166">
        <f>VLOOKUP( $B82, Aop!$A$2:$N$415, 5, 1)</f>
        <v>279</v>
      </c>
      <c r="D82" s="390" t="str">
        <f>VLOOKUP( $B82, Aop!$A$2:$N$415, 6, 1)</f>
        <v xml:space="preserve">  Potraživanja po osnovu razlike između akontacionog i obračunatog PDV-a (saldo konta)</v>
      </c>
      <c r="E82" s="391"/>
      <c r="F82" s="391"/>
      <c r="G82" s="391"/>
      <c r="H82" s="392"/>
      <c r="I82" s="167">
        <f>VLOOKUP( $B82, Aop!$A$2:$N$415, 4, 1)</f>
        <v>664</v>
      </c>
      <c r="J82" s="211"/>
      <c r="K82" s="212"/>
      <c r="O82" s="29"/>
    </row>
    <row r="83" spans="2:15" ht="12.75" customHeight="1" x14ac:dyDescent="0.2">
      <c r="B83" s="66">
        <v>386</v>
      </c>
      <c r="C83" s="164">
        <f>VLOOKUP( $B83, Aop!$A$2:$N$415, 5, 1)</f>
        <v>271</v>
      </c>
      <c r="D83" s="393" t="str">
        <f>VLOOKUP( $B83, Aop!$A$2:$N$415, 6, 1)</f>
        <v xml:space="preserve">  PDV plaćen pri uvozu (kumulativan promet konta)</v>
      </c>
      <c r="E83" s="394"/>
      <c r="F83" s="394"/>
      <c r="G83" s="394"/>
      <c r="H83" s="395"/>
      <c r="I83" s="303">
        <f>VLOOKUP( $B83, Aop!$A$2:$N$415, 4, 1)</f>
        <v>665</v>
      </c>
      <c r="J83" s="213">
        <v>1529299</v>
      </c>
      <c r="K83" s="214">
        <v>1148702</v>
      </c>
      <c r="O83" s="29"/>
    </row>
    <row r="84" spans="2:15" ht="12.75" customHeight="1" x14ac:dyDescent="0.2">
      <c r="B84" s="66">
        <v>387</v>
      </c>
      <c r="C84" s="166">
        <f>VLOOKUP( $B84, Aop!$A$2:$N$415, 5, 1)</f>
        <v>484</v>
      </c>
      <c r="D84" s="390" t="str">
        <f>VLOOKUP( $B84, Aop!$A$2:$N$415, 6, 1)</f>
        <v xml:space="preserve">  Obaveze za PDV plaćen pri uvozu (kumulativan promet konta)</v>
      </c>
      <c r="E84" s="391"/>
      <c r="F84" s="391"/>
      <c r="G84" s="391"/>
      <c r="H84" s="392"/>
      <c r="I84" s="167">
        <f>VLOOKUP( $B84, Aop!$A$2:$N$415, 4, 1)</f>
        <v>666</v>
      </c>
      <c r="J84" s="211">
        <v>1529299</v>
      </c>
      <c r="K84" s="212">
        <v>1148702</v>
      </c>
      <c r="O84" s="29"/>
    </row>
    <row r="85" spans="2:15" ht="12.75" customHeight="1" x14ac:dyDescent="0.2">
      <c r="B85" s="66">
        <v>388</v>
      </c>
      <c r="C85" s="164">
        <f>VLOOKUP( $B85, Aop!$A$2:$N$415, 5, 1)</f>
        <v>480</v>
      </c>
      <c r="D85" s="393" t="str">
        <f>VLOOKUP( $B85, Aop!$A$2:$N$415, 6, 1)</f>
        <v xml:space="preserve">  Obaveze za akcize (kumulativan promet konta)</v>
      </c>
      <c r="E85" s="394"/>
      <c r="F85" s="394"/>
      <c r="G85" s="394"/>
      <c r="H85" s="395"/>
      <c r="I85" s="303">
        <f>VLOOKUP( $B85, Aop!$A$2:$N$415, 4, 1)</f>
        <v>667</v>
      </c>
      <c r="J85" s="213"/>
      <c r="K85" s="214"/>
      <c r="O85" s="29"/>
    </row>
    <row r="86" spans="2:15" ht="12.75" customHeight="1" x14ac:dyDescent="0.2">
      <c r="B86" s="66">
        <v>389</v>
      </c>
      <c r="C86" s="166" t="str">
        <f>VLOOKUP( $B86, Aop!$A$2:$N$415, 5, 1)</f>
        <v>nema konta</v>
      </c>
      <c r="D86" s="390" t="str">
        <f>VLOOKUP( $B86, Aop!$A$2:$N$415, 6, 1)</f>
        <v xml:space="preserve">  Prihodi ostvareni na bazi podugovaranja</v>
      </c>
      <c r="E86" s="391"/>
      <c r="F86" s="391"/>
      <c r="G86" s="391"/>
      <c r="H86" s="392"/>
      <c r="I86" s="167">
        <f>VLOOKUP( $B86, Aop!$A$2:$N$415, 4, 1)</f>
        <v>668</v>
      </c>
      <c r="J86" s="211"/>
      <c r="K86" s="212"/>
      <c r="O86" s="29"/>
    </row>
    <row r="87" spans="2:15" ht="12.75" customHeight="1" x14ac:dyDescent="0.2">
      <c r="B87" s="66">
        <v>390</v>
      </c>
      <c r="C87" s="164" t="str">
        <f>VLOOKUP( $B87, Aop!$A$2:$N$415, 5, 1)</f>
        <v>nema konta</v>
      </c>
      <c r="D87" s="393" t="str">
        <f>VLOOKUP( $B87, Aop!$A$2:$N$415, 6, 1)</f>
        <v xml:space="preserve">  Plaćanja podugovaračima za rad, isporučene proizvode i usluge</v>
      </c>
      <c r="E87" s="394"/>
      <c r="F87" s="394"/>
      <c r="G87" s="394"/>
      <c r="H87" s="395"/>
      <c r="I87" s="303">
        <f>VLOOKUP( $B87, Aop!$A$2:$N$415, 4, 1)</f>
        <v>669</v>
      </c>
      <c r="J87" s="213"/>
      <c r="K87" s="214"/>
      <c r="O87" s="29"/>
    </row>
    <row r="88" spans="2:15" ht="25.5" customHeight="1" x14ac:dyDescent="0.2">
      <c r="B88" s="66">
        <v>391</v>
      </c>
      <c r="C88" s="304" t="str">
        <f>VLOOKUP( $B88, Aop!$A$2:$N$415, 5, 1)</f>
        <v>nema konta</v>
      </c>
      <c r="D88" s="466" t="str">
        <f>VLOOKUP( $B88, Aop!$A$2:$N$415, 6, 1)</f>
        <v xml:space="preserve">  Ukupan broj odrađenih časova rada (efektivni časovi rada bez bolovanja, godišnjih odmora, državnih praznika i sl.)</v>
      </c>
      <c r="E88" s="467"/>
      <c r="F88" s="467"/>
      <c r="G88" s="467"/>
      <c r="H88" s="468"/>
      <c r="I88" s="296">
        <f>VLOOKUP( $B88, Aop!$A$2:$N$415, 4, 1)</f>
        <v>670</v>
      </c>
      <c r="J88" s="338">
        <v>147258</v>
      </c>
      <c r="K88" s="339">
        <v>146111</v>
      </c>
      <c r="O88" s="182" t="s">
        <v>1581</v>
      </c>
    </row>
    <row r="89" spans="2:15" x14ac:dyDescent="0.2"/>
    <row r="90" spans="2:15" x14ac:dyDescent="0.2">
      <c r="C90" s="264" t="str">
        <f>Podnozje_U</f>
        <v>U:</v>
      </c>
      <c r="D90" s="261" t="str">
        <f>Podatak_U</f>
        <v>Banja Luka</v>
      </c>
      <c r="E90" s="52"/>
      <c r="G90"/>
      <c r="H90" s="152" t="str">
        <f>Podnozje_Lice_sa_licencom</f>
        <v>Lice sa licencom:</v>
      </c>
      <c r="I90" s="262" t="str">
        <f>Podatak_Lice_sa_licencom</f>
        <v>Nada Diljkan, SRT-0354/22</v>
      </c>
      <c r="J90" s="263"/>
      <c r="K90" s="263"/>
    </row>
    <row r="91" spans="2:15" x14ac:dyDescent="0.2">
      <c r="C91" s="30"/>
      <c r="D91" s="172"/>
      <c r="E91" s="53"/>
      <c r="F91" s="50" t="str">
        <f>Podnozje_MP</f>
        <v>(M.P.)</v>
      </c>
      <c r="G91"/>
      <c r="H91"/>
      <c r="I91"/>
    </row>
    <row r="92" spans="2:15" x14ac:dyDescent="0.2">
      <c r="C92" s="264" t="str">
        <f>Podnozje_Dana</f>
        <v>Datum:</v>
      </c>
      <c r="D92" s="262" t="str">
        <f>Podatak_Dana</f>
        <v>28.02.2022.</v>
      </c>
      <c r="E92" s="53"/>
      <c r="F92" s="51"/>
      <c r="G92"/>
      <c r="H92" s="152" t="str">
        <f>Podnozje_Direktor</f>
        <v>Lice ovlašćeno za zastupanje:</v>
      </c>
      <c r="I92" s="262" t="str">
        <f>Podatak_Direktor</f>
        <v>Mario Derajić</v>
      </c>
      <c r="J92" s="263"/>
      <c r="K92" s="263"/>
    </row>
    <row r="93" spans="2:15" x14ac:dyDescent="0.2">
      <c r="G93" s="52"/>
      <c r="H93" s="50"/>
      <c r="I93" s="265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33:H33"/>
    <mergeCell ref="D34:H34"/>
    <mergeCell ref="D29:H29"/>
    <mergeCell ref="D30:H30"/>
    <mergeCell ref="D31:H31"/>
    <mergeCell ref="D32:H32"/>
    <mergeCell ref="D52:H52"/>
    <mergeCell ref="D41:H41"/>
    <mergeCell ref="D42:H42"/>
    <mergeCell ref="D43:H43"/>
    <mergeCell ref="D44:H44"/>
    <mergeCell ref="D45:H45"/>
    <mergeCell ref="D46:H46"/>
    <mergeCell ref="D48:H48"/>
    <mergeCell ref="D49:H49"/>
    <mergeCell ref="D50:H50"/>
    <mergeCell ref="D51:H51"/>
    <mergeCell ref="D5:E5"/>
    <mergeCell ref="D19:H19"/>
    <mergeCell ref="C12:K12"/>
    <mergeCell ref="C9:F9"/>
    <mergeCell ref="D18:H18"/>
    <mergeCell ref="J5:K5"/>
    <mergeCell ref="J6:K6"/>
    <mergeCell ref="J7:K7"/>
    <mergeCell ref="J10:K10"/>
    <mergeCell ref="J8:K8"/>
    <mergeCell ref="J9:K9"/>
    <mergeCell ref="C7:E8"/>
    <mergeCell ref="D6:E6"/>
    <mergeCell ref="C16:C17"/>
    <mergeCell ref="I16:I17"/>
    <mergeCell ref="J16:K16"/>
    <mergeCell ref="D20:H20"/>
    <mergeCell ref="D47:H47"/>
    <mergeCell ref="D23:H23"/>
    <mergeCell ref="D24:H24"/>
    <mergeCell ref="D25:H25"/>
    <mergeCell ref="D26:H26"/>
    <mergeCell ref="D21:H21"/>
    <mergeCell ref="D22:H22"/>
    <mergeCell ref="D40:H40"/>
    <mergeCell ref="D27:H27"/>
    <mergeCell ref="D35:H35"/>
    <mergeCell ref="D36:H36"/>
    <mergeCell ref="D37:H37"/>
    <mergeCell ref="D38:H38"/>
    <mergeCell ref="D39:H39"/>
    <mergeCell ref="D28:H28"/>
    <mergeCell ref="D16:H17"/>
    <mergeCell ref="D10:E10"/>
    <mergeCell ref="D11:E11"/>
    <mergeCell ref="C13:K13"/>
    <mergeCell ref="C14:K14"/>
    <mergeCell ref="D78:H78"/>
    <mergeCell ref="D74:H74"/>
    <mergeCell ref="D75:H75"/>
    <mergeCell ref="D76:H76"/>
    <mergeCell ref="D62:H62"/>
    <mergeCell ref="D63:H63"/>
    <mergeCell ref="D64:H64"/>
    <mergeCell ref="D77:H77"/>
    <mergeCell ref="D66:H66"/>
    <mergeCell ref="D67:H67"/>
    <mergeCell ref="D88:H88"/>
    <mergeCell ref="D79:H79"/>
    <mergeCell ref="D80:H80"/>
    <mergeCell ref="D81:H81"/>
    <mergeCell ref="D82:H82"/>
    <mergeCell ref="D83:H83"/>
    <mergeCell ref="D84:H84"/>
    <mergeCell ref="D87:H87"/>
    <mergeCell ref="D85:H85"/>
    <mergeCell ref="D86:H86"/>
    <mergeCell ref="D53:H53"/>
    <mergeCell ref="D59:H59"/>
    <mergeCell ref="D60:H60"/>
    <mergeCell ref="D61:H61"/>
    <mergeCell ref="D73:H73"/>
    <mergeCell ref="D68:H68"/>
    <mergeCell ref="D69:H69"/>
    <mergeCell ref="D54:H54"/>
    <mergeCell ref="D55:H55"/>
    <mergeCell ref="D56:H56"/>
    <mergeCell ref="D57:H57"/>
    <mergeCell ref="D58:H58"/>
    <mergeCell ref="D70:H70"/>
    <mergeCell ref="D72:H72"/>
    <mergeCell ref="D71:H71"/>
    <mergeCell ref="D65:H65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C1" zoomScaleNormal="100" zoomScaleSheetLayoutView="100" workbookViewId="0">
      <pane ySplit="4" topLeftCell="A14" activePane="bottomLeft" state="frozen"/>
      <selection activeCell="D15" sqref="D15"/>
      <selection pane="bottomLeft" activeCell="J29" sqref="J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71" t="str">
        <f>Podatak_MB</f>
        <v>01940155</v>
      </c>
      <c r="E5" s="471"/>
      <c r="F5"/>
      <c r="M5" s="17" t="str">
        <f>Zaglavlje_Ziro_racun</f>
        <v>Poslovni računi:</v>
      </c>
      <c r="N5" s="470" t="str">
        <f>Podatak_Ziro_racun_1</f>
        <v>555-007-00215205-80</v>
      </c>
      <c r="O5" s="470"/>
    </row>
    <row r="6" spans="3:17" x14ac:dyDescent="0.2">
      <c r="C6" s="16" t="str">
        <f>Zaglavlje_Sifra_djelatnosti</f>
        <v>Šifra djelatnosti:</v>
      </c>
      <c r="D6" s="472" t="str">
        <f>Podatak_Sifra_djelatnosti</f>
        <v>10.20</v>
      </c>
      <c r="E6" s="472"/>
      <c r="F6"/>
      <c r="H6" s="9"/>
      <c r="N6" s="470" t="str">
        <f>Podatak_Ziro_racun_2</f>
        <v>551-001-00000138-03</v>
      </c>
      <c r="O6" s="470"/>
    </row>
    <row r="7" spans="3:17" ht="15" customHeight="1" x14ac:dyDescent="0.2">
      <c r="C7" s="473" t="str">
        <f>Zaglavlje_Naziv_preduzeca</f>
        <v>Naziv privrednog društva, zadruge, drugog pravnog lica ili preduzetnika:</v>
      </c>
      <c r="D7" s="473"/>
      <c r="E7" s="227"/>
      <c r="F7"/>
      <c r="H7" s="19"/>
      <c r="N7" s="470" t="str">
        <f>Podatak_Ziro_racun_3</f>
        <v>154-560-20018542-14</v>
      </c>
      <c r="O7" s="470"/>
    </row>
    <row r="8" spans="3:17" x14ac:dyDescent="0.2">
      <c r="C8" s="473"/>
      <c r="D8" s="473"/>
      <c r="E8" s="227"/>
      <c r="F8"/>
      <c r="H8" s="19"/>
      <c r="N8" s="470" t="str">
        <f>Podatak_Ziro_racun_4</f>
        <v>567-162-11000878-15</v>
      </c>
      <c r="O8" s="470"/>
    </row>
    <row r="9" spans="3:17" x14ac:dyDescent="0.2">
      <c r="C9" s="486" t="str">
        <f>Podatak_Naziv_preduzeca</f>
        <v xml:space="preserve">Fratello Trade a.d. </v>
      </c>
      <c r="D9" s="486"/>
      <c r="E9" s="228"/>
      <c r="F9"/>
      <c r="H9" s="16"/>
      <c r="N9" s="470" t="str">
        <f>Podatak_Ziro_racun_5</f>
        <v>194-146-03103041-89</v>
      </c>
      <c r="O9" s="470"/>
    </row>
    <row r="10" spans="3:17" x14ac:dyDescent="0.2">
      <c r="C10" s="16" t="str">
        <f>Zaglavlje_Sjediste</f>
        <v>Sjedište:</v>
      </c>
      <c r="D10" s="67" t="str">
        <f>Podatak_Sjediste</f>
        <v>Banja Luka</v>
      </c>
      <c r="E10" s="67"/>
      <c r="F10"/>
      <c r="H10" s="16"/>
      <c r="N10" s="470" t="str">
        <f>Podatak_Ziro_racun_6</f>
        <v>199-056-00543633-54</v>
      </c>
      <c r="O10" s="470"/>
    </row>
    <row r="11" spans="3:17" x14ac:dyDescent="0.2">
      <c r="C11" s="16" t="str">
        <f>Zaglavlje_JIB</f>
        <v>JIB:</v>
      </c>
      <c r="D11" s="67" t="str">
        <f>Podatak_JIB</f>
        <v>4400929510006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38" t="str">
        <f>IF( Id_Konsolidovani, Nazivi_bilansa_Konsolidovani_naziv &amp; LOWER( Nazivi_bilansa_BPK), Nazivi_bilansa_BPK)</f>
        <v>Izvještaj o promjenama u kapitalu</v>
      </c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8"/>
    </row>
    <row r="13" spans="3:17" x14ac:dyDescent="0.2">
      <c r="C13" s="432" t="str">
        <f>Datumi_Datum_BPK</f>
        <v>za period koji se završava na dan 31.12.2021. godine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475" t="str">
        <f>Tabele_zaglavlje_Redni_broj</f>
        <v>Redni broj</v>
      </c>
      <c r="D15" s="424" t="str">
        <f>Tabele_zaglavlje_BPK1</f>
        <v>Vrsta promjene u kapitalu</v>
      </c>
      <c r="E15" s="493"/>
      <c r="F15" s="425"/>
      <c r="G15" s="431" t="str">
        <f>Tabele_zaglavlje_BPK0</f>
        <v>Dio kapitala koji pripada vlasnicima matičnog privrednog društva</v>
      </c>
      <c r="H15" s="431"/>
      <c r="I15" s="431"/>
      <c r="J15" s="431"/>
      <c r="K15" s="431"/>
      <c r="L15" s="431"/>
      <c r="M15" s="431"/>
      <c r="N15" s="406" t="str">
        <f>Tabele_zaglavlje_BPK9</f>
        <v>Manjinski interes</v>
      </c>
      <c r="O15" s="416" t="str">
        <f>Tabele_zaglavlje_BPK10</f>
        <v>UKUPNI KAPITAL</v>
      </c>
    </row>
    <row r="16" spans="3:17" ht="89.25" x14ac:dyDescent="0.2">
      <c r="C16" s="476"/>
      <c r="D16" s="426"/>
      <c r="E16" s="494"/>
      <c r="F16" s="427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74"/>
      <c r="O16" s="417"/>
      <c r="Q16" s="183" t="s">
        <v>1780</v>
      </c>
    </row>
    <row r="17" spans="2:17" x14ac:dyDescent="0.2">
      <c r="B17" s="60" t="s">
        <v>1364</v>
      </c>
      <c r="C17" s="69"/>
      <c r="D17" s="487">
        <v>1</v>
      </c>
      <c r="E17" s="488"/>
      <c r="F17" s="489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83" t="str">
        <f>VLOOKUP($B18,Aop!$A$2:$L$415,5,1)</f>
        <v>1.</v>
      </c>
      <c r="D18" s="490" t="str">
        <f>VLOOKUP($B18,Aop!$A$2:$L$415,6,1)</f>
        <v>Stanje na dan 01.01.2020. god.</v>
      </c>
      <c r="E18" s="491"/>
      <c r="F18" s="492"/>
      <c r="G18" s="284">
        <f>VLOOKUP($B18,Aop!$A$2:$L$415,4,1)</f>
        <v>901</v>
      </c>
      <c r="H18" s="340">
        <v>2833016</v>
      </c>
      <c r="I18" s="340"/>
      <c r="J18" s="340"/>
      <c r="K18" s="340">
        <v>341598</v>
      </c>
      <c r="L18" s="340">
        <v>240959</v>
      </c>
      <c r="M18" s="210">
        <f>SUM(H18:L18)</f>
        <v>3415573</v>
      </c>
      <c r="N18" s="340"/>
      <c r="O18" s="98">
        <f>SUM(M18:N18)</f>
        <v>3415573</v>
      </c>
    </row>
    <row r="19" spans="2:17" x14ac:dyDescent="0.2">
      <c r="B19" s="66">
        <v>393</v>
      </c>
      <c r="C19" s="291" t="str">
        <f>VLOOKUP($B19,Aop!$A$2:$L$415,5,1)</f>
        <v>2.</v>
      </c>
      <c r="D19" s="480" t="str">
        <f>VLOOKUP($B19,Aop!$A$2:$L$415,6,1)</f>
        <v xml:space="preserve">    Efekti promjena u računovodstvenim politikama </v>
      </c>
      <c r="E19" s="481"/>
      <c r="F19" s="482"/>
      <c r="G19" s="292">
        <f>VLOOKUP($B19,Aop!$A$2:$L$415,4,1)</f>
        <v>902</v>
      </c>
      <c r="H19" s="211"/>
      <c r="I19" s="211"/>
      <c r="J19" s="211"/>
      <c r="K19" s="211"/>
      <c r="L19" s="211"/>
      <c r="M19" s="201">
        <f t="shared" ref="M19:M40" si="0">SUM(H19:L19)</f>
        <v>0</v>
      </c>
      <c r="N19" s="211"/>
      <c r="O19" s="202">
        <f t="shared" ref="O19:O40" si="1">SUM(M19:N19)</f>
        <v>0</v>
      </c>
    </row>
    <row r="20" spans="2:17" x14ac:dyDescent="0.2">
      <c r="B20" s="66">
        <v>394</v>
      </c>
      <c r="C20" s="293" t="str">
        <f>VLOOKUP($B20,Aop!$A$2:$L$415,5,1)</f>
        <v>3.</v>
      </c>
      <c r="D20" s="477" t="str">
        <f>VLOOKUP($B20,Aop!$A$2:$L$415,6,1)</f>
        <v xml:space="preserve">    Efekti ispravke grešaka</v>
      </c>
      <c r="E20" s="478"/>
      <c r="F20" s="479"/>
      <c r="G20" s="294">
        <f>VLOOKUP($B20,Aop!$A$2:$L$415,4,1)</f>
        <v>903</v>
      </c>
      <c r="H20" s="213"/>
      <c r="I20" s="213"/>
      <c r="J20" s="213"/>
      <c r="K20" s="213"/>
      <c r="L20" s="213"/>
      <c r="M20" s="200">
        <f t="shared" si="0"/>
        <v>0</v>
      </c>
      <c r="N20" s="213"/>
      <c r="O20" s="203">
        <f t="shared" si="1"/>
        <v>0</v>
      </c>
    </row>
    <row r="21" spans="2:17" x14ac:dyDescent="0.2">
      <c r="B21" s="66">
        <v>395</v>
      </c>
      <c r="C21" s="285" t="str">
        <f>VLOOKUP($B21,Aop!$A$2:$L$415,5,1)</f>
        <v>4.</v>
      </c>
      <c r="D21" s="483" t="str">
        <f>VLOOKUP($B21,Aop!$A$2:$L$415,6,1)</f>
        <v>Ponovo iskazano stanje na dan 01.01.2020. god. (901 ± 902 ± 903)</v>
      </c>
      <c r="E21" s="484"/>
      <c r="F21" s="485"/>
      <c r="G21" s="286">
        <f>VLOOKUP($B21,Aop!$A$2:$L$415,4,1)</f>
        <v>904</v>
      </c>
      <c r="H21" s="33">
        <f>SUM(H18:H20)</f>
        <v>2833016</v>
      </c>
      <c r="I21" s="33">
        <f>SUM(I18:I20)</f>
        <v>0</v>
      </c>
      <c r="J21" s="33">
        <f>SUM(J18:J20)</f>
        <v>0</v>
      </c>
      <c r="K21" s="33">
        <f>SUM(K18:K20)</f>
        <v>341598</v>
      </c>
      <c r="L21" s="33">
        <f>SUM(L18:L20)</f>
        <v>240959</v>
      </c>
      <c r="M21" s="201">
        <f t="shared" si="0"/>
        <v>3415573</v>
      </c>
      <c r="N21" s="33">
        <f>SUM(N18:N20)</f>
        <v>0</v>
      </c>
      <c r="O21" s="84">
        <f t="shared" si="1"/>
        <v>3415573</v>
      </c>
    </row>
    <row r="22" spans="2:17" x14ac:dyDescent="0.2">
      <c r="B22" s="66">
        <v>396</v>
      </c>
      <c r="C22" s="293" t="str">
        <f>VLOOKUP($B22,Aop!$A$2:$L$415,5,1)</f>
        <v>5.</v>
      </c>
      <c r="D22" s="477" t="str">
        <f>VLOOKUP($B22,Aop!$A$2:$L$415,6,1)</f>
        <v xml:space="preserve">    Efekti revalorizacije materijalnih i nematerijalnih sredstava</v>
      </c>
      <c r="E22" s="478"/>
      <c r="F22" s="479"/>
      <c r="G22" s="294">
        <f>VLOOKUP($B22,Aop!$A$2:$L$415,4,1)</f>
        <v>905</v>
      </c>
      <c r="H22" s="213"/>
      <c r="I22" s="213"/>
      <c r="J22" s="213"/>
      <c r="K22" s="213"/>
      <c r="L22" s="213"/>
      <c r="M22" s="200">
        <f t="shared" si="0"/>
        <v>0</v>
      </c>
      <c r="N22" s="213"/>
      <c r="O22" s="203">
        <f t="shared" si="1"/>
        <v>0</v>
      </c>
    </row>
    <row r="23" spans="2:17" ht="25.5" x14ac:dyDescent="0.2">
      <c r="B23" s="66">
        <v>397</v>
      </c>
      <c r="C23" s="291" t="str">
        <f>VLOOKUP($B23,Aop!$A$2:$L$415,5,1)</f>
        <v>6.</v>
      </c>
      <c r="D23" s="480" t="str">
        <f>VLOOKUP($B23,Aop!$A$2:$L$415,6,1)</f>
        <v xml:space="preserve">    Nerealizovani dobici/gubici po osnovu finansijskih sredstava raspoloživih za prodaju</v>
      </c>
      <c r="E23" s="481"/>
      <c r="F23" s="482"/>
      <c r="G23" s="292">
        <f>VLOOKUP($B23,Aop!$A$2:$L$415,4,1)</f>
        <v>906</v>
      </c>
      <c r="H23" s="211"/>
      <c r="I23" s="211"/>
      <c r="J23" s="211"/>
      <c r="K23" s="211"/>
      <c r="L23" s="211"/>
      <c r="M23" s="201">
        <f t="shared" si="0"/>
        <v>0</v>
      </c>
      <c r="N23" s="211"/>
      <c r="O23" s="202">
        <f t="shared" si="1"/>
        <v>0</v>
      </c>
      <c r="Q23" s="182" t="s">
        <v>1581</v>
      </c>
    </row>
    <row r="24" spans="2:17" ht="25.5" x14ac:dyDescent="0.2">
      <c r="B24" s="66">
        <v>398</v>
      </c>
      <c r="C24" s="293" t="str">
        <f>VLOOKUP($B24,Aop!$A$2:$L$415,5,1)</f>
        <v>7.</v>
      </c>
      <c r="D24" s="477" t="str">
        <f>VLOOKUP($B24,Aop!$A$2:$L$415,6,1)</f>
        <v xml:space="preserve">    Kursne razlike nastale po osnovu preračuna finansijskih izvještaja u drugu funkcionalnu valutu</v>
      </c>
      <c r="E24" s="478"/>
      <c r="F24" s="479"/>
      <c r="G24" s="294">
        <f>VLOOKUP($B24,Aop!$A$2:$L$415,4,1)</f>
        <v>907</v>
      </c>
      <c r="H24" s="213"/>
      <c r="I24" s="213"/>
      <c r="J24" s="213"/>
      <c r="K24" s="213"/>
      <c r="L24" s="213"/>
      <c r="M24" s="200">
        <f t="shared" si="0"/>
        <v>0</v>
      </c>
      <c r="N24" s="213"/>
      <c r="O24" s="203">
        <f t="shared" si="1"/>
        <v>0</v>
      </c>
      <c r="Q24" s="182" t="s">
        <v>1581</v>
      </c>
    </row>
    <row r="25" spans="2:17" x14ac:dyDescent="0.2">
      <c r="B25" s="66">
        <v>399</v>
      </c>
      <c r="C25" s="291" t="str">
        <f>VLOOKUP($B25,Aop!$A$2:$L$415,5,1)</f>
        <v>8.</v>
      </c>
      <c r="D25" s="480" t="str">
        <f>VLOOKUP($B25,Aop!$A$2:$L$415,6,1)</f>
        <v xml:space="preserve">    Neto dobitak/gubitak perioda iskazan u bilansu uspjeha</v>
      </c>
      <c r="E25" s="481"/>
      <c r="F25" s="482"/>
      <c r="G25" s="292">
        <f>VLOOKUP($B25,Aop!$A$2:$L$415,4,1)</f>
        <v>908</v>
      </c>
      <c r="H25" s="211"/>
      <c r="I25" s="211"/>
      <c r="J25" s="211"/>
      <c r="K25" s="211"/>
      <c r="L25" s="211">
        <v>7290</v>
      </c>
      <c r="M25" s="201">
        <f t="shared" si="0"/>
        <v>7290</v>
      </c>
      <c r="N25" s="211"/>
      <c r="O25" s="202">
        <f t="shared" si="1"/>
        <v>7290</v>
      </c>
    </row>
    <row r="26" spans="2:17" x14ac:dyDescent="0.2">
      <c r="B26" s="66">
        <v>400</v>
      </c>
      <c r="C26" s="293" t="str">
        <f>VLOOKUP($B26,Aop!$A$2:$L$415,5,1)</f>
        <v>9.</v>
      </c>
      <c r="D26" s="477" t="str">
        <f>VLOOKUP($B26,Aop!$A$2:$L$415,6,1)</f>
        <v xml:space="preserve">    Neto dobici/gubici perioda priznati direktno u kapitalu</v>
      </c>
      <c r="E26" s="478"/>
      <c r="F26" s="479"/>
      <c r="G26" s="294">
        <f>VLOOKUP($B26,Aop!$A$2:$L$415,4,1)</f>
        <v>909</v>
      </c>
      <c r="H26" s="213"/>
      <c r="I26" s="213"/>
      <c r="J26" s="213"/>
      <c r="K26" s="213"/>
      <c r="L26" s="213"/>
      <c r="M26" s="200">
        <f t="shared" si="0"/>
        <v>0</v>
      </c>
      <c r="N26" s="213"/>
      <c r="O26" s="203">
        <f t="shared" si="1"/>
        <v>0</v>
      </c>
    </row>
    <row r="27" spans="2:17" x14ac:dyDescent="0.2">
      <c r="B27" s="66">
        <v>401</v>
      </c>
      <c r="C27" s="291" t="str">
        <f>VLOOKUP($B27,Aop!$A$2:$L$415,5,1)</f>
        <v>10.</v>
      </c>
      <c r="D27" s="480" t="str">
        <f>VLOOKUP($B27,Aop!$A$2:$L$415,6,1)</f>
        <v xml:space="preserve">    Objavljene dividende i drugi vidovi raspodjele dobitka i pokriće gubitka</v>
      </c>
      <c r="E27" s="481"/>
      <c r="F27" s="482"/>
      <c r="G27" s="292">
        <f>VLOOKUP($B27,Aop!$A$2:$L$415,4,1)</f>
        <v>910</v>
      </c>
      <c r="H27" s="211"/>
      <c r="I27" s="211"/>
      <c r="J27" s="211"/>
      <c r="K27" s="211"/>
      <c r="L27" s="211"/>
      <c r="M27" s="201">
        <f t="shared" si="0"/>
        <v>0</v>
      </c>
      <c r="N27" s="211"/>
      <c r="O27" s="202">
        <f t="shared" si="1"/>
        <v>0</v>
      </c>
    </row>
    <row r="28" spans="2:17" x14ac:dyDescent="0.2">
      <c r="B28" s="66">
        <v>402</v>
      </c>
      <c r="C28" s="293" t="str">
        <f>VLOOKUP($B28,Aop!$A$2:$L$415,5,1)</f>
        <v>11.</v>
      </c>
      <c r="D28" s="477" t="str">
        <f>VLOOKUP($B28,Aop!$A$2:$L$415,6,1)</f>
        <v xml:space="preserve">    Emisija akcijskog kapitala i drugi vidovi povećanja ili smanjenje osnovnog kapitala</v>
      </c>
      <c r="E28" s="478"/>
      <c r="F28" s="479"/>
      <c r="G28" s="294">
        <f>VLOOKUP($B28,Aop!$A$2:$L$415,4,1)</f>
        <v>911</v>
      </c>
      <c r="H28" s="213"/>
      <c r="I28" s="213"/>
      <c r="J28" s="213"/>
      <c r="K28" s="213">
        <v>-58296</v>
      </c>
      <c r="L28" s="213">
        <v>-75653</v>
      </c>
      <c r="M28" s="200">
        <f t="shared" si="0"/>
        <v>-133949</v>
      </c>
      <c r="N28" s="213"/>
      <c r="O28" s="203">
        <f t="shared" si="1"/>
        <v>-133949</v>
      </c>
    </row>
    <row r="29" spans="2:17" ht="25.5" x14ac:dyDescent="0.2">
      <c r="B29" s="66">
        <v>403</v>
      </c>
      <c r="C29" s="285" t="str">
        <f>VLOOKUP($B29,Aop!$A$2:$L$415,5,1)</f>
        <v>12.</v>
      </c>
      <c r="D29" s="483" t="str">
        <f>VLOOKUP($B29,Aop!$A$2:$L$415,6,1)</f>
        <v>Stanje na dan 31.12.2020. god. / 01.01.2021. god. (904 ± 905 ± 906 ± 907 ± 908 ± 909 - 910 + 911)</v>
      </c>
      <c r="E29" s="484"/>
      <c r="F29" s="485"/>
      <c r="G29" s="286">
        <f>VLOOKUP($B29,Aop!$A$2:$L$415,4,1)</f>
        <v>912</v>
      </c>
      <c r="H29" s="33">
        <f>SUM(H21:H26,-H27,H28)</f>
        <v>2833016</v>
      </c>
      <c r="I29" s="33">
        <f>SUM(I21:I26,-I27,I28)</f>
        <v>0</v>
      </c>
      <c r="J29" s="33">
        <f>SUM(J21:J26,-J27,J28)</f>
        <v>0</v>
      </c>
      <c r="K29" s="33">
        <f>SUM(K21:K26,-K27,K28)</f>
        <v>283302</v>
      </c>
      <c r="L29" s="33">
        <f>SUM(L21:L26,-L27,L28)</f>
        <v>172596</v>
      </c>
      <c r="M29" s="33">
        <f t="shared" si="0"/>
        <v>3288914</v>
      </c>
      <c r="N29" s="33">
        <f>SUM(N21:N26,-N27,N28)</f>
        <v>0</v>
      </c>
      <c r="O29" s="84">
        <f t="shared" si="1"/>
        <v>3288914</v>
      </c>
      <c r="Q29" s="182" t="s">
        <v>1581</v>
      </c>
    </row>
    <row r="30" spans="2:17" x14ac:dyDescent="0.2">
      <c r="B30" s="66">
        <v>404</v>
      </c>
      <c r="C30" s="293" t="str">
        <f>VLOOKUP($B30,Aop!$A$2:$L$415,5,1)</f>
        <v>13.</v>
      </c>
      <c r="D30" s="477" t="str">
        <f>VLOOKUP($B30,Aop!$A$2:$L$415,6,1)</f>
        <v xml:space="preserve">    Efekti promjena u računovodstvenim politikama</v>
      </c>
      <c r="E30" s="478"/>
      <c r="F30" s="479"/>
      <c r="G30" s="294">
        <f>VLOOKUP($B30,Aop!$A$2:$L$415,4,1)</f>
        <v>913</v>
      </c>
      <c r="H30" s="213"/>
      <c r="I30" s="213"/>
      <c r="J30" s="213"/>
      <c r="K30" s="213"/>
      <c r="L30" s="213"/>
      <c r="M30" s="200">
        <f t="shared" si="0"/>
        <v>0</v>
      </c>
      <c r="N30" s="213"/>
      <c r="O30" s="203">
        <f t="shared" si="1"/>
        <v>0</v>
      </c>
    </row>
    <row r="31" spans="2:17" x14ac:dyDescent="0.2">
      <c r="B31" s="66">
        <v>405</v>
      </c>
      <c r="C31" s="291" t="str">
        <f>VLOOKUP($B31,Aop!$A$2:$L$415,5,1)</f>
        <v>14.</v>
      </c>
      <c r="D31" s="480" t="str">
        <f>VLOOKUP($B31,Aop!$A$2:$L$415,6,1)</f>
        <v xml:space="preserve">    Efekti ispravke grešaka</v>
      </c>
      <c r="E31" s="481"/>
      <c r="F31" s="482"/>
      <c r="G31" s="292">
        <f>VLOOKUP($B31,Aop!$A$2:$L$415,4,1)</f>
        <v>914</v>
      </c>
      <c r="H31" s="211"/>
      <c r="I31" s="211"/>
      <c r="J31" s="211"/>
      <c r="K31" s="211"/>
      <c r="L31" s="211"/>
      <c r="M31" s="201">
        <f t="shared" si="0"/>
        <v>0</v>
      </c>
      <c r="N31" s="211"/>
      <c r="O31" s="202">
        <f t="shared" si="1"/>
        <v>0</v>
      </c>
    </row>
    <row r="32" spans="2:17" x14ac:dyDescent="0.2">
      <c r="B32" s="66">
        <v>406</v>
      </c>
      <c r="C32" s="287" t="str">
        <f>VLOOKUP($B32,Aop!$A$2:$L$415,5,1)</f>
        <v>15.</v>
      </c>
      <c r="D32" s="498" t="str">
        <f>VLOOKUP($B32,Aop!$A$2:$L$415,6,1)</f>
        <v>Ponovo iskazano stanje na dan 01.01.2021. god. (912 ± 913 ± 914)</v>
      </c>
      <c r="E32" s="499"/>
      <c r="F32" s="500"/>
      <c r="G32" s="288">
        <f>VLOOKUP($B32,Aop!$A$2:$L$415,4,1)</f>
        <v>915</v>
      </c>
      <c r="H32" s="35">
        <f>SUM(H29:H31)</f>
        <v>2833016</v>
      </c>
      <c r="I32" s="35">
        <f t="shared" ref="I32:N32" si="2">SUM(I29:I31)</f>
        <v>0</v>
      </c>
      <c r="J32" s="35">
        <f t="shared" si="2"/>
        <v>0</v>
      </c>
      <c r="K32" s="35">
        <f t="shared" si="2"/>
        <v>283302</v>
      </c>
      <c r="L32" s="35">
        <f t="shared" si="2"/>
        <v>172596</v>
      </c>
      <c r="M32" s="35">
        <f t="shared" si="0"/>
        <v>3288914</v>
      </c>
      <c r="N32" s="35">
        <f t="shared" si="2"/>
        <v>0</v>
      </c>
      <c r="O32" s="87">
        <f t="shared" si="1"/>
        <v>3288914</v>
      </c>
    </row>
    <row r="33" spans="2:17" x14ac:dyDescent="0.2">
      <c r="B33" s="66">
        <v>407</v>
      </c>
      <c r="C33" s="291" t="str">
        <f>VLOOKUP($B33,Aop!$A$2:$L$415,5,1)</f>
        <v>16.</v>
      </c>
      <c r="D33" s="480" t="str">
        <f>VLOOKUP($B33,Aop!$A$2:$L$415,6,1)</f>
        <v xml:space="preserve">    Efekti revalorizacije materijalnih i nematerijalnih sredstava</v>
      </c>
      <c r="E33" s="481"/>
      <c r="F33" s="482"/>
      <c r="G33" s="292">
        <f>VLOOKUP($B33,Aop!$A$2:$L$415,4,1)</f>
        <v>916</v>
      </c>
      <c r="H33" s="211"/>
      <c r="I33" s="211"/>
      <c r="J33" s="211"/>
      <c r="K33" s="211"/>
      <c r="L33" s="211"/>
      <c r="M33" s="201">
        <f t="shared" si="0"/>
        <v>0</v>
      </c>
      <c r="N33" s="211"/>
      <c r="O33" s="202">
        <f t="shared" si="1"/>
        <v>0</v>
      </c>
    </row>
    <row r="34" spans="2:17" ht="25.5" x14ac:dyDescent="0.2">
      <c r="B34" s="66">
        <v>408</v>
      </c>
      <c r="C34" s="293" t="str">
        <f>VLOOKUP($B34,Aop!$A$2:$L$415,5,1)</f>
        <v>17.</v>
      </c>
      <c r="D34" s="477" t="str">
        <f>VLOOKUP($B34,Aop!$A$2:$L$415,6,1)</f>
        <v xml:space="preserve">    Nerealizovani dobici/gubici po osnovu finansijskih sredstava raspoloživih za prodaju</v>
      </c>
      <c r="E34" s="478"/>
      <c r="F34" s="479"/>
      <c r="G34" s="294">
        <f>VLOOKUP($B34,Aop!$A$2:$L$415,4,1)</f>
        <v>917</v>
      </c>
      <c r="H34" s="213"/>
      <c r="I34" s="213"/>
      <c r="J34" s="213"/>
      <c r="K34" s="213"/>
      <c r="L34" s="213"/>
      <c r="M34" s="200">
        <f t="shared" si="0"/>
        <v>0</v>
      </c>
      <c r="N34" s="213"/>
      <c r="O34" s="203">
        <f t="shared" si="1"/>
        <v>0</v>
      </c>
      <c r="Q34" s="182" t="s">
        <v>1581</v>
      </c>
    </row>
    <row r="35" spans="2:17" ht="25.5" x14ac:dyDescent="0.2">
      <c r="B35" s="66">
        <v>409</v>
      </c>
      <c r="C35" s="291" t="str">
        <f>VLOOKUP($B35,Aop!$A$2:$L$415,5,1)</f>
        <v>18.</v>
      </c>
      <c r="D35" s="480" t="str">
        <f>VLOOKUP($B35,Aop!$A$2:$L$415,6,1)</f>
        <v xml:space="preserve">    Kursne razlike nastale po osnovu preračuna finansijskih izvještaja u drugu funkcionalnu valutu</v>
      </c>
      <c r="E35" s="481"/>
      <c r="F35" s="482"/>
      <c r="G35" s="292">
        <f>VLOOKUP($B35,Aop!$A$2:$L$415,4,1)</f>
        <v>918</v>
      </c>
      <c r="H35" s="211"/>
      <c r="I35" s="211"/>
      <c r="J35" s="211"/>
      <c r="K35" s="211"/>
      <c r="L35" s="211"/>
      <c r="M35" s="201">
        <f t="shared" si="0"/>
        <v>0</v>
      </c>
      <c r="N35" s="211"/>
      <c r="O35" s="202">
        <f t="shared" si="1"/>
        <v>0</v>
      </c>
      <c r="Q35" s="182" t="s">
        <v>1581</v>
      </c>
    </row>
    <row r="36" spans="2:17" x14ac:dyDescent="0.2">
      <c r="B36" s="66">
        <v>410</v>
      </c>
      <c r="C36" s="293" t="str">
        <f>VLOOKUP($B36,Aop!$A$2:$L$415,5,1)</f>
        <v>19.</v>
      </c>
      <c r="D36" s="477" t="str">
        <f>VLOOKUP($B36,Aop!$A$2:$L$415,6,1)</f>
        <v xml:space="preserve">    Neto dobitak/gubitak perioda iskazan u bilansu uspjeha</v>
      </c>
      <c r="E36" s="478"/>
      <c r="F36" s="479"/>
      <c r="G36" s="294">
        <f>VLOOKUP($B36,Aop!$A$2:$L$415,4,1)</f>
        <v>919</v>
      </c>
      <c r="H36" s="213"/>
      <c r="I36" s="213"/>
      <c r="J36" s="213"/>
      <c r="K36" s="213"/>
      <c r="L36" s="213">
        <v>481465</v>
      </c>
      <c r="M36" s="200">
        <f t="shared" si="0"/>
        <v>481465</v>
      </c>
      <c r="N36" s="213"/>
      <c r="O36" s="203">
        <f t="shared" si="1"/>
        <v>481465</v>
      </c>
    </row>
    <row r="37" spans="2:17" x14ac:dyDescent="0.2">
      <c r="B37" s="66">
        <v>411</v>
      </c>
      <c r="C37" s="291" t="str">
        <f>VLOOKUP($B37,Aop!$A$2:$L$415,5,1)</f>
        <v>20.</v>
      </c>
      <c r="D37" s="480" t="str">
        <f>VLOOKUP($B37,Aop!$A$2:$L$415,6,1)</f>
        <v xml:space="preserve">    Neto dobici/gubici perioda priznati direktno u kapitalu</v>
      </c>
      <c r="E37" s="481"/>
      <c r="F37" s="482"/>
      <c r="G37" s="292">
        <f>VLOOKUP($B37,Aop!$A$2:$L$415,4,1)</f>
        <v>920</v>
      </c>
      <c r="H37" s="211"/>
      <c r="I37" s="211"/>
      <c r="J37" s="211"/>
      <c r="K37" s="211"/>
      <c r="L37" s="211"/>
      <c r="M37" s="201">
        <f t="shared" si="0"/>
        <v>0</v>
      </c>
      <c r="N37" s="211"/>
      <c r="O37" s="202">
        <f t="shared" si="1"/>
        <v>0</v>
      </c>
    </row>
    <row r="38" spans="2:17" x14ac:dyDescent="0.2">
      <c r="B38" s="66">
        <v>412</v>
      </c>
      <c r="C38" s="293" t="str">
        <f>VLOOKUP($B38,Aop!$A$2:$L$415,5,1)</f>
        <v>21.</v>
      </c>
      <c r="D38" s="477" t="str">
        <f>VLOOKUP($B38,Aop!$A$2:$L$415,6,1)</f>
        <v xml:space="preserve">    Objavljene dividende i drugi vidovi raspodjele dobitka i pokriće gubitka</v>
      </c>
      <c r="E38" s="478"/>
      <c r="F38" s="479"/>
      <c r="G38" s="294">
        <f>VLOOKUP($B38,Aop!$A$2:$L$415,4,1)</f>
        <v>921</v>
      </c>
      <c r="H38" s="213"/>
      <c r="I38" s="213"/>
      <c r="J38" s="213"/>
      <c r="K38" s="213"/>
      <c r="L38" s="213"/>
      <c r="M38" s="200">
        <f t="shared" si="0"/>
        <v>0</v>
      </c>
      <c r="N38" s="213"/>
      <c r="O38" s="203">
        <f t="shared" si="1"/>
        <v>0</v>
      </c>
    </row>
    <row r="39" spans="2:17" x14ac:dyDescent="0.2">
      <c r="B39" s="66">
        <v>413</v>
      </c>
      <c r="C39" s="291" t="str">
        <f>VLOOKUP($B39,Aop!$A$2:$L$415,5,1)</f>
        <v>22.</v>
      </c>
      <c r="D39" s="480" t="str">
        <f>VLOOKUP($B39,Aop!$A$2:$L$415,6,1)</f>
        <v xml:space="preserve">    Emisija akcijskog kapitala i drugi vidovi povećanja ili smanjenje osnovnog kapitala</v>
      </c>
      <c r="E39" s="481"/>
      <c r="F39" s="482"/>
      <c r="G39" s="292">
        <f>VLOOKUP($B39,Aop!$A$2:$L$415,4,1)</f>
        <v>922</v>
      </c>
      <c r="H39" s="211"/>
      <c r="I39" s="211"/>
      <c r="J39" s="211"/>
      <c r="K39" s="211"/>
      <c r="L39" s="211">
        <v>-42495</v>
      </c>
      <c r="M39" s="201">
        <f t="shared" si="0"/>
        <v>-42495</v>
      </c>
      <c r="N39" s="211"/>
      <c r="O39" s="202">
        <f t="shared" si="1"/>
        <v>-42495</v>
      </c>
    </row>
    <row r="40" spans="2:17" ht="12.75" customHeight="1" x14ac:dyDescent="0.2">
      <c r="B40" s="66">
        <v>414</v>
      </c>
      <c r="C40" s="289" t="str">
        <f>VLOOKUP($B40,Aop!$A$2:$L$415,5,1)</f>
        <v>23.</v>
      </c>
      <c r="D40" s="495" t="str">
        <f>VLOOKUP($B40,Aop!$A$2:$L$415,6,1)</f>
        <v>Stanje na dan 31.12.2021. god. (915 ± 916 ± 917 ± 918 ± 919 ± 920 - 921 + 922)</v>
      </c>
      <c r="E40" s="496"/>
      <c r="F40" s="497"/>
      <c r="G40" s="290">
        <f>VLOOKUP($B40,Aop!$A$2:$L$415,4,1)</f>
        <v>923</v>
      </c>
      <c r="H40" s="39">
        <f>SUM(H32:H37,-H38,H39)</f>
        <v>2833016</v>
      </c>
      <c r="I40" s="39">
        <f t="shared" ref="I40:N40" si="3">SUM(I32:I37,-I38,I39)</f>
        <v>0</v>
      </c>
      <c r="J40" s="39">
        <f t="shared" si="3"/>
        <v>0</v>
      </c>
      <c r="K40" s="39">
        <f t="shared" si="3"/>
        <v>283302</v>
      </c>
      <c r="L40" s="39">
        <f t="shared" si="3"/>
        <v>611566</v>
      </c>
      <c r="M40" s="39">
        <f t="shared" si="0"/>
        <v>3727884</v>
      </c>
      <c r="N40" s="39">
        <f t="shared" si="3"/>
        <v>0</v>
      </c>
      <c r="O40" s="305">
        <f t="shared" si="1"/>
        <v>3727884</v>
      </c>
    </row>
    <row r="41" spans="2:17" x14ac:dyDescent="0.2"/>
    <row r="42" spans="2:17" x14ac:dyDescent="0.2">
      <c r="C42" s="264" t="str">
        <f>Podnozje_U</f>
        <v>U:</v>
      </c>
      <c r="D42" s="261" t="str">
        <f>Podatak_U</f>
        <v>Banja Luka</v>
      </c>
      <c r="E42"/>
      <c r="F42"/>
      <c r="G42"/>
      <c r="K42"/>
      <c r="L42" s="152" t="str">
        <f>Podnozje_Lice_sa_licencom</f>
        <v>Lice sa licencom:</v>
      </c>
      <c r="M42" s="262" t="str">
        <f>Podatak_Lice_sa_licencom</f>
        <v>Nada Diljkan, SRT-0354/22</v>
      </c>
      <c r="N42" s="263"/>
      <c r="O42" s="263"/>
    </row>
    <row r="43" spans="2:17" x14ac:dyDescent="0.2">
      <c r="C43" s="30"/>
      <c r="D43" s="172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64" t="str">
        <f>Podnozje_Dana</f>
        <v>Datum:</v>
      </c>
      <c r="D44" s="262" t="str">
        <f>Podatak_Dana</f>
        <v>28.02.2022.</v>
      </c>
      <c r="E44"/>
      <c r="F44"/>
      <c r="G44"/>
      <c r="H44" s="51"/>
      <c r="K44"/>
      <c r="L44" s="152" t="str">
        <f>Podnozje_Direktor</f>
        <v>Lice ovlašćeno za zastupanje:</v>
      </c>
      <c r="M44" s="262" t="str">
        <f>Podatak_Direktor</f>
        <v>Mario Derajić</v>
      </c>
      <c r="N44" s="263"/>
      <c r="O44" s="263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36:F36"/>
    <mergeCell ref="D40:F40"/>
    <mergeCell ref="D29:F29"/>
    <mergeCell ref="D30:F30"/>
    <mergeCell ref="D31:F31"/>
    <mergeCell ref="D32:F32"/>
    <mergeCell ref="D33:F33"/>
    <mergeCell ref="D34:F34"/>
    <mergeCell ref="D38:F38"/>
    <mergeCell ref="D37:F37"/>
    <mergeCell ref="D39:F39"/>
    <mergeCell ref="D35:F35"/>
    <mergeCell ref="D28:F28"/>
    <mergeCell ref="N9:O9"/>
    <mergeCell ref="D23:F23"/>
    <mergeCell ref="D24:F24"/>
    <mergeCell ref="D25:F25"/>
    <mergeCell ref="D26:F26"/>
    <mergeCell ref="D27:F27"/>
    <mergeCell ref="D21:F21"/>
    <mergeCell ref="O15:O16"/>
    <mergeCell ref="D22:F22"/>
    <mergeCell ref="C9:D9"/>
    <mergeCell ref="D17:F17"/>
    <mergeCell ref="D18:F18"/>
    <mergeCell ref="D20:F20"/>
    <mergeCell ref="D19:F19"/>
    <mergeCell ref="D15:F16"/>
    <mergeCell ref="N15:N16"/>
    <mergeCell ref="N10:O10"/>
    <mergeCell ref="C12:O12"/>
    <mergeCell ref="C13:O13"/>
    <mergeCell ref="G15:M15"/>
    <mergeCell ref="C15:C16"/>
    <mergeCell ref="N5:O5"/>
    <mergeCell ref="N6:O6"/>
    <mergeCell ref="N7:O7"/>
    <mergeCell ref="N8:O8"/>
    <mergeCell ref="D5:E5"/>
    <mergeCell ref="D6:E6"/>
    <mergeCell ref="C7:D8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1346</v>
      </c>
      <c r="B1" s="2" t="s">
        <v>1365</v>
      </c>
      <c r="C1" s="2" t="s">
        <v>1342</v>
      </c>
      <c r="D1" s="2" t="s">
        <v>1345</v>
      </c>
      <c r="E1" s="2" t="s">
        <v>1343</v>
      </c>
      <c r="F1" s="47" t="s">
        <v>1492</v>
      </c>
      <c r="G1" s="2" t="s">
        <v>1377</v>
      </c>
      <c r="H1" s="2" t="s">
        <v>1685</v>
      </c>
    </row>
    <row r="2" spans="1:8" x14ac:dyDescent="0.2">
      <c r="A2" s="1" t="s">
        <v>1448</v>
      </c>
      <c r="B2" s="1" t="s">
        <v>1449</v>
      </c>
      <c r="C2" s="1" t="s">
        <v>1554</v>
      </c>
      <c r="D2" s="1" t="s">
        <v>1555</v>
      </c>
      <c r="E2" s="1" t="s">
        <v>1556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1448</v>
      </c>
      <c r="B3" s="1" t="s">
        <v>1450</v>
      </c>
      <c r="C3" s="1" t="s">
        <v>1608</v>
      </c>
      <c r="D3" s="1" t="s">
        <v>1609</v>
      </c>
      <c r="E3" s="1" t="s">
        <v>1557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1448</v>
      </c>
      <c r="B4" s="1" t="s">
        <v>1451</v>
      </c>
      <c r="C4" s="1" t="s">
        <v>1474</v>
      </c>
      <c r="D4" s="1" t="s">
        <v>1517</v>
      </c>
      <c r="E4" s="1" t="s">
        <v>1475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1448</v>
      </c>
      <c r="B5" s="1" t="s">
        <v>1452</v>
      </c>
      <c r="C5" s="1" t="s">
        <v>1453</v>
      </c>
      <c r="D5" s="1" t="s">
        <v>1518</v>
      </c>
      <c r="E5" s="1" t="s">
        <v>1344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1448</v>
      </c>
      <c r="B6" s="1" t="s">
        <v>1719</v>
      </c>
      <c r="C6" s="1" t="s">
        <v>1691</v>
      </c>
      <c r="D6" s="1" t="s">
        <v>1718</v>
      </c>
      <c r="E6" s="1" t="s">
        <v>1693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1448</v>
      </c>
      <c r="B7" s="1" t="s">
        <v>1512</v>
      </c>
      <c r="C7" s="1" t="s">
        <v>1512</v>
      </c>
      <c r="D7" s="1" t="s">
        <v>1519</v>
      </c>
      <c r="E7" s="1" t="s">
        <v>1513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1448</v>
      </c>
      <c r="B8" s="1" t="s">
        <v>1423</v>
      </c>
      <c r="C8" s="1" t="s">
        <v>1423</v>
      </c>
      <c r="D8" s="1" t="s">
        <v>1723</v>
      </c>
      <c r="E8" s="1" t="s">
        <v>1720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1448</v>
      </c>
      <c r="B9" s="1" t="s">
        <v>1422</v>
      </c>
      <c r="C9" s="1" t="s">
        <v>1422</v>
      </c>
      <c r="D9" s="1" t="s">
        <v>1724</v>
      </c>
      <c r="E9" s="1" t="s">
        <v>1721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1448</v>
      </c>
      <c r="B10" s="1" t="s">
        <v>1418</v>
      </c>
      <c r="C10" s="1" t="s">
        <v>1418</v>
      </c>
      <c r="D10" s="1" t="s">
        <v>1725</v>
      </c>
      <c r="E10" s="1" t="s">
        <v>1722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1455</v>
      </c>
      <c r="B11" s="1" t="s">
        <v>1456</v>
      </c>
      <c r="C11" s="1" t="s">
        <v>1457</v>
      </c>
      <c r="D11" s="1" t="s">
        <v>1470</v>
      </c>
      <c r="E11" s="1" t="s">
        <v>1465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1455</v>
      </c>
      <c r="B12" s="1" t="s">
        <v>1462</v>
      </c>
      <c r="C12" s="1" t="s">
        <v>1459</v>
      </c>
      <c r="D12" s="1" t="s">
        <v>1471</v>
      </c>
      <c r="E12" s="1" t="s">
        <v>1467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1455</v>
      </c>
      <c r="B13" s="1" t="s">
        <v>1458</v>
      </c>
      <c r="C13" s="1" t="s">
        <v>1558</v>
      </c>
      <c r="D13" s="1" t="s">
        <v>1559</v>
      </c>
      <c r="E13" s="1" t="s">
        <v>1466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1455</v>
      </c>
      <c r="B14" s="1" t="s">
        <v>1463</v>
      </c>
      <c r="C14" s="1" t="s">
        <v>1460</v>
      </c>
      <c r="D14" s="1" t="s">
        <v>1472</v>
      </c>
      <c r="E14" s="1" t="s">
        <v>1468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1455</v>
      </c>
      <c r="B15" s="1" t="s">
        <v>1464</v>
      </c>
      <c r="C15" s="1" t="s">
        <v>1461</v>
      </c>
      <c r="D15" s="1" t="s">
        <v>1473</v>
      </c>
      <c r="E15" s="1" t="s">
        <v>1469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1505</v>
      </c>
      <c r="B16" s="1" t="s">
        <v>1426</v>
      </c>
      <c r="C16" s="1" t="s">
        <v>1489</v>
      </c>
      <c r="D16" s="1" t="s">
        <v>1523</v>
      </c>
      <c r="E16" s="1" t="s">
        <v>1489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1505</v>
      </c>
      <c r="B17" s="1" t="s">
        <v>1742</v>
      </c>
      <c r="C17" s="1" t="s">
        <v>1745</v>
      </c>
      <c r="D17" s="1" t="s">
        <v>1744</v>
      </c>
      <c r="E17" s="1" t="s">
        <v>1743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1505</v>
      </c>
      <c r="B18" s="1" t="s">
        <v>1714</v>
      </c>
      <c r="C18" s="1" t="s">
        <v>1687</v>
      </c>
      <c r="D18" s="1" t="s">
        <v>1716</v>
      </c>
      <c r="E18" s="1" t="s">
        <v>1694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1505</v>
      </c>
      <c r="B19" s="1" t="s">
        <v>1715</v>
      </c>
      <c r="C19" s="1" t="s">
        <v>1686</v>
      </c>
      <c r="D19" s="1" t="s">
        <v>1717</v>
      </c>
      <c r="E19" s="1" t="s">
        <v>1695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1505</v>
      </c>
      <c r="B20" s="1" t="s">
        <v>1561</v>
      </c>
      <c r="C20" s="1" t="s">
        <v>1769</v>
      </c>
      <c r="D20" s="1" t="s">
        <v>1770</v>
      </c>
      <c r="E20" s="1" t="s">
        <v>1771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1476</v>
      </c>
      <c r="B21" s="1" t="s">
        <v>1477</v>
      </c>
      <c r="C21" s="1" t="s">
        <v>1420</v>
      </c>
      <c r="D21" s="1" t="s">
        <v>1485</v>
      </c>
      <c r="E21" s="1" t="s">
        <v>1481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1476</v>
      </c>
      <c r="B22" s="1" t="s">
        <v>1478</v>
      </c>
      <c r="C22" s="1" t="s">
        <v>1419</v>
      </c>
      <c r="D22" s="1" t="s">
        <v>1486</v>
      </c>
      <c r="E22" s="1" t="s">
        <v>1483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1476</v>
      </c>
      <c r="B23" s="1" t="s">
        <v>1479</v>
      </c>
      <c r="C23" s="1" t="s">
        <v>1421</v>
      </c>
      <c r="D23" s="1" t="s">
        <v>1487</v>
      </c>
      <c r="E23" s="1" t="s">
        <v>1482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1476</v>
      </c>
      <c r="B24" s="1" t="s">
        <v>1480</v>
      </c>
      <c r="C24" s="1" t="s">
        <v>1416</v>
      </c>
      <c r="D24" s="1" t="s">
        <v>1488</v>
      </c>
      <c r="E24" s="1" t="s">
        <v>1484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1476</v>
      </c>
      <c r="B25" s="1" t="s">
        <v>1765</v>
      </c>
      <c r="C25" s="1" t="s">
        <v>1766</v>
      </c>
      <c r="D25" s="1" t="s">
        <v>1767</v>
      </c>
      <c r="E25" s="1" t="s">
        <v>1768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1449</v>
      </c>
      <c r="B26" t="s">
        <v>1366</v>
      </c>
      <c r="C26" t="s">
        <v>1332</v>
      </c>
      <c r="D26" t="s">
        <v>1350</v>
      </c>
      <c r="E26" t="s">
        <v>1341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1449</v>
      </c>
      <c r="B27" t="s">
        <v>1367</v>
      </c>
      <c r="C27" t="s">
        <v>1333</v>
      </c>
      <c r="D27" t="s">
        <v>1792</v>
      </c>
      <c r="E27" t="s">
        <v>1337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1449</v>
      </c>
      <c r="B28" t="s">
        <v>1368</v>
      </c>
      <c r="C28" t="s">
        <v>1334</v>
      </c>
      <c r="D28" t="s">
        <v>1351</v>
      </c>
      <c r="E28" t="s">
        <v>1340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1449</v>
      </c>
      <c r="B29" t="s">
        <v>1369</v>
      </c>
      <c r="C29" t="s">
        <v>1335</v>
      </c>
      <c r="D29" t="s">
        <v>1352</v>
      </c>
      <c r="E29" t="s">
        <v>1338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1449</v>
      </c>
      <c r="B30" t="s">
        <v>1191</v>
      </c>
      <c r="C30" t="s">
        <v>1336</v>
      </c>
      <c r="D30" t="s">
        <v>1353</v>
      </c>
      <c r="E30" t="s">
        <v>1339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1449</v>
      </c>
      <c r="B31" t="s">
        <v>1370</v>
      </c>
      <c r="C31" t="s">
        <v>87</v>
      </c>
      <c r="D31" t="s">
        <v>88</v>
      </c>
      <c r="E31" t="s">
        <v>1344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1683</v>
      </c>
      <c r="B32" t="s">
        <v>1752</v>
      </c>
      <c r="C32" t="s">
        <v>1749</v>
      </c>
      <c r="D32" t="s">
        <v>1751</v>
      </c>
      <c r="E32" t="s">
        <v>1750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1683</v>
      </c>
      <c r="B33" t="s">
        <v>1683</v>
      </c>
      <c r="C33" t="s">
        <v>1746</v>
      </c>
      <c r="D33" t="s">
        <v>1748</v>
      </c>
      <c r="E33" t="s">
        <v>1747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1450</v>
      </c>
      <c r="B34" t="s">
        <v>1208</v>
      </c>
      <c r="C34" t="s">
        <v>91</v>
      </c>
      <c r="D34" t="s">
        <v>1354</v>
      </c>
      <c r="E34" t="s">
        <v>1190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1450</v>
      </c>
      <c r="B35" t="s">
        <v>1209</v>
      </c>
      <c r="C35" t="s">
        <v>92</v>
      </c>
      <c r="D35" t="s">
        <v>93</v>
      </c>
      <c r="E35" t="s">
        <v>94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1450</v>
      </c>
      <c r="B36" t="s">
        <v>1371</v>
      </c>
      <c r="C36" t="s">
        <v>1348</v>
      </c>
      <c r="D36" t="s">
        <v>1355</v>
      </c>
      <c r="E36" t="s">
        <v>1728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1450</v>
      </c>
      <c r="B37" t="s">
        <v>1726</v>
      </c>
      <c r="C37" t="s">
        <v>1692</v>
      </c>
      <c r="D37" t="s">
        <v>1727</v>
      </c>
      <c r="E37" t="s">
        <v>95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1450</v>
      </c>
      <c r="B38" t="s">
        <v>1210</v>
      </c>
      <c r="C38" t="s">
        <v>90</v>
      </c>
      <c r="D38" t="s">
        <v>89</v>
      </c>
      <c r="E38" t="s">
        <v>1696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1450</v>
      </c>
      <c r="B39" t="s">
        <v>1372</v>
      </c>
      <c r="C39" t="s">
        <v>1349</v>
      </c>
      <c r="D39" t="s">
        <v>1356</v>
      </c>
      <c r="E39" t="s">
        <v>1443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1347</v>
      </c>
      <c r="B40" t="s">
        <v>168</v>
      </c>
      <c r="C40" t="s">
        <v>169</v>
      </c>
      <c r="D40" t="s">
        <v>170</v>
      </c>
      <c r="E40" t="s">
        <v>171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1347</v>
      </c>
      <c r="B41" t="s">
        <v>1373</v>
      </c>
      <c r="C41" t="s">
        <v>826</v>
      </c>
      <c r="D41" t="s">
        <v>1357</v>
      </c>
      <c r="E41" t="s">
        <v>823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1347</v>
      </c>
      <c r="B42" t="s">
        <v>1391</v>
      </c>
      <c r="C42" t="s">
        <v>1397</v>
      </c>
      <c r="D42" t="s">
        <v>1427</v>
      </c>
      <c r="E42" t="s">
        <v>1444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1347</v>
      </c>
      <c r="B43" t="s">
        <v>1497</v>
      </c>
      <c r="C43" t="s">
        <v>827</v>
      </c>
      <c r="D43" t="s">
        <v>1358</v>
      </c>
      <c r="E43" t="s">
        <v>824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1347</v>
      </c>
      <c r="B44" t="s">
        <v>1507</v>
      </c>
      <c r="C44" t="s">
        <v>1395</v>
      </c>
      <c r="D44" t="s">
        <v>1428</v>
      </c>
      <c r="E44" t="s">
        <v>1567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1347</v>
      </c>
      <c r="B45" t="s">
        <v>1508</v>
      </c>
      <c r="C45" t="s">
        <v>1510</v>
      </c>
      <c r="D45" t="s">
        <v>1520</v>
      </c>
      <c r="E45" t="s">
        <v>1568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1347</v>
      </c>
      <c r="B46" t="s">
        <v>1509</v>
      </c>
      <c r="C46" t="s">
        <v>1511</v>
      </c>
      <c r="D46" t="s">
        <v>1521</v>
      </c>
      <c r="E46" t="s">
        <v>1610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1347</v>
      </c>
      <c r="B47" t="s">
        <v>1374</v>
      </c>
      <c r="C47" t="s">
        <v>828</v>
      </c>
      <c r="D47" t="s">
        <v>1359</v>
      </c>
      <c r="E47" t="s">
        <v>837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1347</v>
      </c>
      <c r="B48" t="s">
        <v>1394</v>
      </c>
      <c r="C48" t="s">
        <v>1396</v>
      </c>
      <c r="D48" t="s">
        <v>1429</v>
      </c>
      <c r="E48" t="s">
        <v>1569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1347</v>
      </c>
      <c r="B49" t="s">
        <v>1375</v>
      </c>
      <c r="C49" t="s">
        <v>1375</v>
      </c>
      <c r="D49" t="s">
        <v>1430</v>
      </c>
      <c r="E49" t="s">
        <v>1411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1347</v>
      </c>
      <c r="B50" t="s">
        <v>1393</v>
      </c>
      <c r="C50" t="s">
        <v>1392</v>
      </c>
      <c r="D50" t="s">
        <v>1399</v>
      </c>
      <c r="E50" t="s">
        <v>1398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1347</v>
      </c>
      <c r="B51" t="s">
        <v>1376</v>
      </c>
      <c r="C51" t="s">
        <v>1192</v>
      </c>
      <c r="D51" t="s">
        <v>1360</v>
      </c>
      <c r="E51" t="s">
        <v>856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1504</v>
      </c>
      <c r="B52" t="s">
        <v>1388</v>
      </c>
      <c r="C52" s="75" t="str">
        <f>CONCATENATE("na dan ",Datum_Format," godine")</f>
        <v>na dan 31.12.2021. godine</v>
      </c>
      <c r="D52" s="75" t="str">
        <f>CONCATENATE("нa дaн ",Datum_Format," гoдинe")</f>
        <v>нa дaн 31.12.2021. гoдинe</v>
      </c>
      <c r="E52" s="75" t="str">
        <f>CONCATENATE("date ",Datum_Format)</f>
        <v>date 31.12.2021.</v>
      </c>
      <c r="F52" s="3" t="str">
        <f t="shared" si="4"/>
        <v>na dan 31.12.2021.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1504</v>
      </c>
      <c r="B53" t="s">
        <v>1389</v>
      </c>
      <c r="C53" s="75" t="str">
        <f>CONCATENATE("za period od 01.01. do ",Datum_Format," godine")</f>
        <v>za period od 01.01. do 31.12.2021. godine</v>
      </c>
      <c r="D53" s="75" t="str">
        <f>CONCATENATE("зa пeриoд oд 01.01. дo ",Datum_Format," гoдинe")</f>
        <v>зa пeриoд oд 01.01. дo 31.12.2021. гoдинe</v>
      </c>
      <c r="E53" s="75" t="str">
        <f>CONCATENATE("from 01.01. to ",Datum_Format)</f>
        <v>from 01.01. to 31.12.2021.</v>
      </c>
      <c r="F53" s="3" t="str">
        <f t="shared" si="4"/>
        <v>za period od 01.01. do 31.12.2021.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1504</v>
      </c>
      <c r="B54" t="s">
        <v>1390</v>
      </c>
      <c r="C54" s="75" t="str">
        <f>CONCATENATE("za period od 01.01. do ",Datum_Format," godine")</f>
        <v>za period od 01.01. do 31.12.2021. godine</v>
      </c>
      <c r="D54" s="75" t="str">
        <f>CONCATENATE("зa пeриoд oд 01.01. дo ",Datum_Format," гoдинe")</f>
        <v>зa пeриoд oд 01.01. дo 31.12.2021. гoдинe</v>
      </c>
      <c r="E54" s="75" t="str">
        <f>CONCATENATE("from 01.01. to ",Datum_Format)</f>
        <v>from 01.01. to 31.12.2021.</v>
      </c>
      <c r="F54" s="3" t="str">
        <f t="shared" si="4"/>
        <v>za period od 01.01. do 31.12.2021.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1504</v>
      </c>
      <c r="B55" t="s">
        <v>1400</v>
      </c>
      <c r="C55" s="75" t="str">
        <f>CONCATENATE("od 01.01. do ",Datum_Format," godine")</f>
        <v>od 01.01. do 31.12.2021. godine</v>
      </c>
      <c r="D55" s="75" t="str">
        <f>CONCATENATE("oд 01.01. дo ",Datum_Format," гoдинe")</f>
        <v>oд 01.01. дo 31.12.2021. гoдинe</v>
      </c>
      <c r="E55" s="75" t="str">
        <f>CONCATENATE("from 01.01. to ",Datum_Format)</f>
        <v>from 01.01. to 31.12.2021.</v>
      </c>
      <c r="F55" s="3" t="str">
        <f t="shared" si="4"/>
        <v>od 01.01. do 31.12.2021.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1504</v>
      </c>
      <c r="B56" t="s">
        <v>1401</v>
      </c>
      <c r="C56" s="75" t="str">
        <f>CONCATENATE("za period od 01.01. do ",Datum_Format," godine")</f>
        <v>za period od 01.01. do 31.12.2021. godine</v>
      </c>
      <c r="D56" s="75" t="str">
        <f>CONCATENATE("зa пeриoд oд 01.01. дo ",Datum_Format," гoдинe")</f>
        <v>зa пeриoд oд 01.01. дo 31.12.2021. гoдинe</v>
      </c>
      <c r="E56" s="75" t="str">
        <f>CONCATENATE("from 01.01. to ",Datum_Format)</f>
        <v>from 01.01. to 31.12.2021.</v>
      </c>
      <c r="F56" s="3" t="str">
        <f t="shared" si="4"/>
        <v>za period od 01.01. do 31.12.2021.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1504</v>
      </c>
      <c r="B57" t="s">
        <v>1414</v>
      </c>
      <c r="C57" s="75" t="str">
        <f>CONCATENATE("za period koji se završava na dan ",Datum_Format," godine")</f>
        <v>za period koji se završava na dan 31.12.2021. godine</v>
      </c>
      <c r="D57" s="75" t="str">
        <f>CONCATENATE("зa пeриoд кojи сe зaвршaвa нa дaн ",Datum_Format," гoдинe")</f>
        <v>зa пeриoд кojи сe зaвршaвa нa дaн 31.12.2021. гoдинe</v>
      </c>
      <c r="E57" s="75" t="str">
        <f>CONCATENATE("for period ending ",Datum_Format)</f>
        <v>for period ending 31.12.2021.</v>
      </c>
      <c r="F57" s="3" t="str">
        <f t="shared" si="4"/>
        <v>za period koji se završava na dan 31.12.2021.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1402</v>
      </c>
      <c r="B58" t="s">
        <v>1408</v>
      </c>
      <c r="C58" t="s">
        <v>1412</v>
      </c>
      <c r="D58" t="s">
        <v>1431</v>
      </c>
      <c r="E58" t="s">
        <v>1445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1402</v>
      </c>
      <c r="B59" t="s">
        <v>1409</v>
      </c>
      <c r="C59" t="s">
        <v>1413</v>
      </c>
      <c r="D59" t="s">
        <v>1432</v>
      </c>
      <c r="E59" t="s">
        <v>1446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1402</v>
      </c>
      <c r="B60" t="s">
        <v>1403</v>
      </c>
      <c r="C60" t="s">
        <v>1583</v>
      </c>
      <c r="D60" t="s">
        <v>1589</v>
      </c>
      <c r="E60" t="s">
        <v>1595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1402</v>
      </c>
      <c r="B61" t="s">
        <v>1404</v>
      </c>
      <c r="C61" t="s">
        <v>1584</v>
      </c>
      <c r="D61" t="s">
        <v>1590</v>
      </c>
      <c r="E61" t="s">
        <v>1596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1402</v>
      </c>
      <c r="B62" t="s">
        <v>1406</v>
      </c>
      <c r="C62" t="s">
        <v>1585</v>
      </c>
      <c r="D62" t="s">
        <v>1591</v>
      </c>
      <c r="E62" t="s">
        <v>1611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1402</v>
      </c>
      <c r="B63" t="s">
        <v>1405</v>
      </c>
      <c r="C63" t="s">
        <v>1586</v>
      </c>
      <c r="D63" t="s">
        <v>1592</v>
      </c>
      <c r="E63" t="s">
        <v>1597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1402</v>
      </c>
      <c r="B64" t="s">
        <v>1410</v>
      </c>
      <c r="C64" t="s">
        <v>1587</v>
      </c>
      <c r="D64" t="s">
        <v>1593</v>
      </c>
      <c r="E64" t="s">
        <v>1598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1402</v>
      </c>
      <c r="B65" t="s">
        <v>1407</v>
      </c>
      <c r="C65" t="s">
        <v>1588</v>
      </c>
      <c r="D65" t="s">
        <v>1594</v>
      </c>
      <c r="E65" t="s">
        <v>1599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1506</v>
      </c>
      <c r="B66" t="s">
        <v>1378</v>
      </c>
      <c r="C66" t="s">
        <v>1224</v>
      </c>
      <c r="D66" t="s">
        <v>1433</v>
      </c>
      <c r="E66" t="s">
        <v>829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1506</v>
      </c>
      <c r="B67" t="s">
        <v>1379</v>
      </c>
      <c r="C67" t="s">
        <v>84</v>
      </c>
      <c r="D67" t="s">
        <v>85</v>
      </c>
      <c r="E67" t="s">
        <v>86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1506</v>
      </c>
      <c r="B68" t="s">
        <v>1380</v>
      </c>
      <c r="C68" t="s">
        <v>1196</v>
      </c>
      <c r="D68" t="s">
        <v>1434</v>
      </c>
      <c r="E68" t="s">
        <v>1241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1506</v>
      </c>
      <c r="B69" t="s">
        <v>1514</v>
      </c>
      <c r="C69" t="s">
        <v>1515</v>
      </c>
      <c r="D69" t="s">
        <v>1522</v>
      </c>
      <c r="E69" t="s">
        <v>1516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1506</v>
      </c>
      <c r="B70" t="s">
        <v>1383</v>
      </c>
      <c r="C70" t="s">
        <v>1250</v>
      </c>
      <c r="D70" t="s">
        <v>1435</v>
      </c>
      <c r="E70" t="s">
        <v>1242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1506</v>
      </c>
      <c r="B71" t="s">
        <v>1502</v>
      </c>
      <c r="C71" t="s">
        <v>1225</v>
      </c>
      <c r="D71" t="s">
        <v>1436</v>
      </c>
      <c r="E71" t="s">
        <v>1244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1506</v>
      </c>
      <c r="B72" t="s">
        <v>1503</v>
      </c>
      <c r="C72" t="s">
        <v>1226</v>
      </c>
      <c r="D72" t="s">
        <v>1437</v>
      </c>
      <c r="E72" t="s">
        <v>1245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1506</v>
      </c>
      <c r="B73" t="s">
        <v>1382</v>
      </c>
      <c r="C73" t="s">
        <v>1227</v>
      </c>
      <c r="D73" t="s">
        <v>1438</v>
      </c>
      <c r="E73" t="s">
        <v>1246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1506</v>
      </c>
      <c r="B74" t="s">
        <v>1384</v>
      </c>
      <c r="C74" t="s">
        <v>1778</v>
      </c>
      <c r="D74" t="s">
        <v>1779</v>
      </c>
      <c r="E74" t="s">
        <v>1243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1506</v>
      </c>
      <c r="B75" t="s">
        <v>1205</v>
      </c>
      <c r="C75" t="s">
        <v>1205</v>
      </c>
      <c r="D75" t="s">
        <v>1439</v>
      </c>
      <c r="E75" t="s">
        <v>1186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1506</v>
      </c>
      <c r="B76" t="s">
        <v>1386</v>
      </c>
      <c r="C76" t="s">
        <v>1206</v>
      </c>
      <c r="D76" t="s">
        <v>1440</v>
      </c>
      <c r="E76" t="s">
        <v>1187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1506</v>
      </c>
      <c r="B77" t="s">
        <v>1387</v>
      </c>
      <c r="C77" t="s">
        <v>1207</v>
      </c>
      <c r="D77" t="s">
        <v>1441</v>
      </c>
      <c r="E77" t="s">
        <v>1188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1506</v>
      </c>
      <c r="B78" t="s">
        <v>1385</v>
      </c>
      <c r="C78" s="4" t="s">
        <v>1381</v>
      </c>
      <c r="D78" s="4" t="s">
        <v>1442</v>
      </c>
      <c r="E78" s="4" t="s">
        <v>1447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1506</v>
      </c>
      <c r="B79" t="s">
        <v>1534</v>
      </c>
      <c r="C79" t="s">
        <v>851</v>
      </c>
      <c r="D79" t="s">
        <v>1544</v>
      </c>
      <c r="E79" t="s">
        <v>1535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1506</v>
      </c>
      <c r="B80" t="s">
        <v>1525</v>
      </c>
      <c r="C80" t="s">
        <v>1198</v>
      </c>
      <c r="D80" t="s">
        <v>1545</v>
      </c>
      <c r="E80" t="s">
        <v>1536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1506</v>
      </c>
      <c r="B81" t="s">
        <v>1526</v>
      </c>
      <c r="C81" t="s">
        <v>839</v>
      </c>
      <c r="D81" t="s">
        <v>1546</v>
      </c>
      <c r="E81" t="s">
        <v>1537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1506</v>
      </c>
      <c r="B82" t="s">
        <v>1527</v>
      </c>
      <c r="C82" t="s">
        <v>840</v>
      </c>
      <c r="D82" t="s">
        <v>1547</v>
      </c>
      <c r="E82" t="s">
        <v>1538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1506</v>
      </c>
      <c r="B83" t="s">
        <v>1528</v>
      </c>
      <c r="C83" t="s">
        <v>841</v>
      </c>
      <c r="D83" t="s">
        <v>1548</v>
      </c>
      <c r="E83" t="s">
        <v>863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1506</v>
      </c>
      <c r="B84" t="s">
        <v>1529</v>
      </c>
      <c r="C84" t="s">
        <v>850</v>
      </c>
      <c r="D84" t="s">
        <v>1549</v>
      </c>
      <c r="E84" t="s">
        <v>1539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1506</v>
      </c>
      <c r="B85" t="s">
        <v>1530</v>
      </c>
      <c r="C85" t="s">
        <v>1524</v>
      </c>
      <c r="D85" t="s">
        <v>1550</v>
      </c>
      <c r="E85" t="s">
        <v>1540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1506</v>
      </c>
      <c r="B86" t="s">
        <v>1531</v>
      </c>
      <c r="C86" t="s">
        <v>1195</v>
      </c>
      <c r="D86" t="s">
        <v>1551</v>
      </c>
      <c r="E86" t="s">
        <v>1541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1506</v>
      </c>
      <c r="B87" t="s">
        <v>1532</v>
      </c>
      <c r="C87" t="s">
        <v>1197</v>
      </c>
      <c r="D87" t="s">
        <v>1552</v>
      </c>
      <c r="E87" t="s">
        <v>1542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1506</v>
      </c>
      <c r="B88" t="s">
        <v>1533</v>
      </c>
      <c r="C88" t="s">
        <v>852</v>
      </c>
      <c r="D88" t="s">
        <v>1553</v>
      </c>
      <c r="E88" t="s">
        <v>1543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1707</v>
      </c>
      <c r="B89" t="s">
        <v>1709</v>
      </c>
      <c r="C89" t="s">
        <v>1762</v>
      </c>
      <c r="D89" t="s">
        <v>1763</v>
      </c>
      <c r="E89" t="s">
        <v>1793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1707</v>
      </c>
      <c r="B90" t="s">
        <v>1710</v>
      </c>
      <c r="C90" t="s">
        <v>1708</v>
      </c>
      <c r="D90" t="s">
        <v>1711</v>
      </c>
      <c r="E90" t="s">
        <v>1712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1735</v>
      </c>
      <c r="B91" t="s">
        <v>1736</v>
      </c>
      <c r="C91" t="s">
        <v>1688</v>
      </c>
      <c r="D91" t="s">
        <v>1729</v>
      </c>
      <c r="E91" t="s">
        <v>1697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1735</v>
      </c>
      <c r="B92" t="s">
        <v>1737</v>
      </c>
      <c r="C92" t="s">
        <v>1753</v>
      </c>
      <c r="D92" t="s">
        <v>1754</v>
      </c>
      <c r="E92" t="s">
        <v>1755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1735</v>
      </c>
      <c r="B93" t="s">
        <v>1705</v>
      </c>
      <c r="C93" t="s">
        <v>1706</v>
      </c>
      <c r="D93" t="s">
        <v>1730</v>
      </c>
      <c r="E93" t="s">
        <v>1713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1735</v>
      </c>
      <c r="B94" t="s">
        <v>1788</v>
      </c>
      <c r="C94" t="s">
        <v>1789</v>
      </c>
      <c r="D94" t="s">
        <v>1790</v>
      </c>
      <c r="E94" t="s">
        <v>1791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1735</v>
      </c>
      <c r="B95" t="s">
        <v>1738</v>
      </c>
      <c r="C95" t="s">
        <v>1698</v>
      </c>
      <c r="D95" t="s">
        <v>1731</v>
      </c>
      <c r="E95" t="s">
        <v>1764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1735</v>
      </c>
      <c r="B96" t="s">
        <v>1741</v>
      </c>
      <c r="C96" t="s">
        <v>1704</v>
      </c>
      <c r="D96" t="s">
        <v>1732</v>
      </c>
      <c r="E96" t="s">
        <v>1699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1735</v>
      </c>
      <c r="B97" t="s">
        <v>1739</v>
      </c>
      <c r="C97" t="s">
        <v>1701</v>
      </c>
      <c r="D97" t="s">
        <v>1733</v>
      </c>
      <c r="E97" t="s">
        <v>1700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1735</v>
      </c>
      <c r="B98" t="s">
        <v>1740</v>
      </c>
      <c r="C98" t="s">
        <v>1703</v>
      </c>
      <c r="D98" t="s">
        <v>1734</v>
      </c>
      <c r="E98" t="s">
        <v>1702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phoneticPr fontId="23" type="noConversion"/>
  <conditionalFormatting sqref="C2:E98">
    <cfRule type="containsBlanks" dxfId="80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Natalija</cp:lastModifiedBy>
  <cp:lastPrinted>2022-02-21T14:42:17Z</cp:lastPrinted>
  <dcterms:created xsi:type="dcterms:W3CDTF">2007-02-19T09:55:19Z</dcterms:created>
  <dcterms:modified xsi:type="dcterms:W3CDTF">2022-02-21T14:51:14Z</dcterms:modified>
</cp:coreProperties>
</file>