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3.xml" ContentType="application/vnd.openxmlformats-officedocument.drawing+xml"/>
  <Override PartName="/xl/ctrlProps/ctrlProp7.xml" ContentType="application/vnd.ms-excel.controlproperties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drawings/drawing6.xml" ContentType="application/vnd.openxmlformats-officedocument.drawing+xml"/>
  <Override PartName="/xl/ctrlProps/ctrlProp10.xml" ContentType="application/vnd.ms-excel.controlproperties+xml"/>
  <Override PartName="/xl/drawings/drawing7.xml" ContentType="application/vnd.openxmlformats-officedocument.drawing+xml"/>
  <Override PartName="/xl/ctrlProps/ctrlProp11.xml" ContentType="application/vnd.ms-excel.controlproperties+xml"/>
  <Override PartName="/xl/drawings/drawing8.xml" ContentType="application/vnd.openxmlformats-officedocument.drawing+xml"/>
  <Override PartName="/xl/ctrlProps/ctrlProp12.xml" ContentType="application/vnd.ms-excel.controlproperties+xml"/>
  <Override PartName="/xl/comments3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4.xml" ContentType="application/vnd.openxmlformats-officedocument.spreadsheetml.comments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9.xml" ContentType="application/vnd.openxmlformats-officedocument.drawing+xml"/>
  <Override PartName="/xl/tables/table11.xml" ContentType="application/vnd.openxmlformats-officedocument.spreadsheetml.table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roslav.ilic\Desktop\BERZA 2021\"/>
    </mc:Choice>
  </mc:AlternateContent>
  <workbookProtection workbookPassword="832E" lockStructure="1"/>
  <bookViews>
    <workbookView xWindow="-120" yWindow="-120" windowWidth="29040" windowHeight="15840" tabRatio="674" activeTab="1"/>
  </bookViews>
  <sheets>
    <sheet name="Uputstvo" sheetId="11" r:id="rId1"/>
    <sheet name="Osnovni_podaci" sheetId="32" r:id="rId2"/>
    <sheet name="01" sheetId="1" r:id="rId3"/>
    <sheet name="02a" sheetId="2" r:id="rId4"/>
    <sheet name="02b" sheetId="36" r:id="rId5"/>
    <sheet name="03" sheetId="8" r:id="rId6"/>
    <sheet name="04" sheetId="14" r:id="rId7"/>
    <sheet name="05" sheetId="10" r:id="rId8"/>
    <sheet name="Prevod" sheetId="31" state="hidden" r:id="rId9"/>
    <sheet name="Aop" sheetId="34" state="hidden" r:id="rId10"/>
    <sheet name="Podesavanja" sheetId="33" state="hidden" r:id="rId11"/>
    <sheet name="Baza" sheetId="35" state="hidden" r:id="rId12"/>
    <sheet name="BazaBPK" sheetId="37" state="hidden" r:id="rId13"/>
    <sheet name="APIF_Import" sheetId="38" r:id="rId14"/>
  </sheets>
  <definedNames>
    <definedName name="_xlnm._FilterDatabase" localSheetId="2">'01'!$B$18:$O$156</definedName>
    <definedName name="_xlnm._FilterDatabase" localSheetId="3">'02a'!$B$18:$M$134</definedName>
    <definedName name="Datum_Broj">Podesavanja!$H$1</definedName>
    <definedName name="Datum_Format">Podesavanja!$X$1</definedName>
    <definedName name="Datumi_Datum_Aneks">Prevod!$F$56</definedName>
    <definedName name="Datumi_Datum_BPK">Prevod!$F$57</definedName>
    <definedName name="Datumi_Datum_BS">Prevod!$F$52</definedName>
    <definedName name="Datumi_Datum_BTG">Prevod!$F$54</definedName>
    <definedName name="Datumi_Datum_BU">Prevod!$F$53</definedName>
    <definedName name="Datumi_Datum_ODGP">Prevod!$F$55</definedName>
    <definedName name="Godina">Osnovni_podaci!$J$8</definedName>
    <definedName name="ID_Izvjestaj">Podesavanja!$I$1</definedName>
    <definedName name="ID_Jezik">Podesavanja!$B$1</definedName>
    <definedName name="Id_Konsolidovani">Podesavanja!$C$12</definedName>
    <definedName name="Konsolidovan_izvjestaj">Osnovni_podaci!$Y$76</definedName>
    <definedName name="Konsolidovani_Konsolidavani_Izvjestaj">Prevod!$F$32</definedName>
    <definedName name="Konsolidovani_Konsolidovani">Prevod!$F$33</definedName>
    <definedName name="Kontakt_Adresa">Prevod!$F$11</definedName>
    <definedName name="Kontakt_email">Prevod!$F$13</definedName>
    <definedName name="Kontakt_fax">Prevod!$F$15</definedName>
    <definedName name="Kontakt_tel">Prevod!$F$14</definedName>
    <definedName name="Kontakt_web">Prevod!$F$12</definedName>
    <definedName name="Kontrola_Neispravno">Prevod!$F$90</definedName>
    <definedName name="Kontrola_Obavezno">Prevod!$F$89</definedName>
    <definedName name="Linkovi_Link_Aneks">Prevod!$F$64</definedName>
    <definedName name="Linkovi_Link_BPK">Prevod!$F$65</definedName>
    <definedName name="Linkovi_Link_BS">Prevod!$F$60</definedName>
    <definedName name="Linkovi_Link_BTG">Prevod!$F$63</definedName>
    <definedName name="Linkovi_Link_BU">Prevod!$F$61</definedName>
    <definedName name="Linkovi_Link_ODGP">Prevod!$F$62</definedName>
    <definedName name="Linkovi_Link_Osnovni_podaci">Prevod!$F$59</definedName>
    <definedName name="Linkovi_Link_Uputstvo">Prevod!$F$58</definedName>
    <definedName name="Lookup_Aneks">'04'!$I$19:$K$88</definedName>
    <definedName name="Lookup_BPK">'05'!$G$18:$O$40</definedName>
    <definedName name="Lookup_BSa">'01'!$I$20:$M$85</definedName>
    <definedName name="Lookup_BSp">'01'!$I$91:$M$156</definedName>
    <definedName name="Lookup_BTG">'03'!$I$19:$K$69</definedName>
    <definedName name="Lookup_BUa">'02a'!$I$19:$K$134</definedName>
    <definedName name="Lookup_BUb">'02b'!$I$19:$K$38</definedName>
    <definedName name="Nazivi_bilansa_Aneks">Prevod!$F$49</definedName>
    <definedName name="Nazivi_bilansa_Aneks1">Prevod!$F$50</definedName>
    <definedName name="Nazivi_bilansa_BPK">Prevod!$F$51</definedName>
    <definedName name="Nazivi_bilansa_BS">Prevod!$F$41</definedName>
    <definedName name="Nazivi_bilansa_BS1">Prevod!$F$42</definedName>
    <definedName name="Nazivi_bilansa_BTG">Prevod!$F$47</definedName>
    <definedName name="Nazivi_bilansa_BTG1">Prevod!$F$48</definedName>
    <definedName name="Nazivi_bilansa_BUa">Prevod!$F$43</definedName>
    <definedName name="Nazivi_bilansa_BUa1">Prevod!$F$44</definedName>
    <definedName name="Nazivi_bilansa_BUb">Prevod!$F$45</definedName>
    <definedName name="Nazivi_bilansa_BUb1">Prevod!$F$46</definedName>
    <definedName name="Nazivi_bilansa_Konsolidovani_naziv">Prevod!$F$40</definedName>
    <definedName name="Objasnjenja_Banka">Prevod!$F$4</definedName>
    <definedName name="Objasnjenja_Bankovni_racun">Prevod!$F$5</definedName>
    <definedName name="Objasnjenja_Dan">Prevod!$F$8</definedName>
    <definedName name="Objasnjenja_Glavni_racun">Prevod!$F$6</definedName>
    <definedName name="Objasnjenja_Godina">Prevod!$F$10</definedName>
    <definedName name="Objasnjenja_Mjesec">Prevod!$F$9</definedName>
    <definedName name="Objasnjenja_Navigacija">Prevod!$F$7</definedName>
    <definedName name="Objasnjenja_Podnozje">Prevod!$F$3</definedName>
    <definedName name="Objasnjenja_Zaglavlje">Prevod!$F$2</definedName>
    <definedName name="Osnovno_Izaberite_jezik">Prevod!$F$16</definedName>
    <definedName name="Osnovno_Izvjestajni_period">Prevod!$F$17</definedName>
    <definedName name="Osnovno_Kraj_perioda">Prevod!$F$19</definedName>
    <definedName name="Osnovno_Pocetak_perioda">Prevod!$F$18</definedName>
    <definedName name="Osnovno_Vrsta_izvjestaja">Prevod!$F$20</definedName>
    <definedName name="Period_Kraj_Dan">Osnovni_podaci!$D$10</definedName>
    <definedName name="Period_Kraj_Godina">Osnovni_podaci!$J$8</definedName>
    <definedName name="Period_Kraj_Mjesec">Osnovni_podaci!$G$10</definedName>
    <definedName name="Period_Pocetak_Dan">Osnovni_podaci!$D$8</definedName>
    <definedName name="Period_Pocetak_Mjesec">Osnovni_podaci!$G$8</definedName>
    <definedName name="Podatak_Adresa">Osnovni_podaci!$AB$52</definedName>
    <definedName name="Podatak_Broj_Licence">Osnovni_podaci!$AB$47</definedName>
    <definedName name="Podatak_Dana">Osnovni_podaci!$AB$43</definedName>
    <definedName name="Podatak_Direktor">Osnovni_podaci!$AB$49</definedName>
    <definedName name="Podatak_email">Osnovni_podaci!$AB$56</definedName>
    <definedName name="Podatak_fax">Osnovni_podaci!$AB$60</definedName>
    <definedName name="Podatak_JIB">Osnovni_podaci!$AB$24</definedName>
    <definedName name="Podatak_Lice_sa_licencom">Osnovni_podaci!$AB$45</definedName>
    <definedName name="Podatak_MB">Osnovni_podaci!$AB$15</definedName>
    <definedName name="Podatak_Naziv_preduzeca">Osnovni_podaci!$AB$20</definedName>
    <definedName name="Podatak_Sifra_djelatnosti">Osnovni_podaci!$AB$17</definedName>
    <definedName name="Podatak_Sjediste">Osnovni_podaci!$AB$22</definedName>
    <definedName name="Podatak_tel">Osnovni_podaci!$AB$58</definedName>
    <definedName name="Podatak_U">Osnovni_podaci!$AB$40</definedName>
    <definedName name="Podatak_web">Osnovni_podaci!$AB$54</definedName>
    <definedName name="Podatak_Ziro_racun_1">Osnovni_podaci!$AB$27</definedName>
    <definedName name="Podatak_Ziro_racun_2">Osnovni_podaci!$AB$29</definedName>
    <definedName name="Podatak_Ziro_racun_3">Osnovni_podaci!$AB$31</definedName>
    <definedName name="Podatak_Ziro_racun_4">Osnovni_podaci!$AB$33</definedName>
    <definedName name="Podatak_Ziro_racun_5">Osnovni_podaci!$AB$35</definedName>
    <definedName name="Podatak_Ziro_racun_6">Osnovni_podaci!$AB$37</definedName>
    <definedName name="Podnozje_Broj_licence">Prevod!$F$37</definedName>
    <definedName name="Podnozje_Dana">Prevod!$F$35</definedName>
    <definedName name="Podnozje_Direktor">Prevod!$F$38</definedName>
    <definedName name="Podnozje_Lice_sa_licencom">Prevod!$F$36</definedName>
    <definedName name="Podnozje_MP">Prevod!$F$39</definedName>
    <definedName name="Podnozje_U">Prevod!$F$34</definedName>
    <definedName name="_xlnm.Print_Area" localSheetId="2">'01'!$C$5:$M$160</definedName>
    <definedName name="_xlnm.Print_Area" localSheetId="3">'02a'!$B$5:$K$138</definedName>
    <definedName name="_xlnm.Print_Area" localSheetId="4">'02b'!$B$5:$K$42</definedName>
    <definedName name="_xlnm.Print_Area" localSheetId="5">'03'!$C$5:$K$73</definedName>
    <definedName name="_xlnm.Print_Area" localSheetId="6">'04'!$C$5:$K$92</definedName>
    <definedName name="_xlnm.Print_Area" localSheetId="7">'05'!$C$5:$O$44</definedName>
    <definedName name="_xlnm.Print_Area" localSheetId="1">Osnovni_podaci!$B$7:$W$126</definedName>
    <definedName name="_xlnm.Print_Area" localSheetId="0">Uputstvo!$5:$59</definedName>
    <definedName name="_xlnm.Print_Titles" localSheetId="3">'02a'!$16:$18</definedName>
    <definedName name="_xlnm.Print_Titles" localSheetId="5">'03'!$16:$17</definedName>
    <definedName name="_xlnm.Print_Titles" localSheetId="6">'04'!$16:$18</definedName>
    <definedName name="Revidiran_izvjestaj">Osnovni_podaci!$Y$62</definedName>
    <definedName name="Revizija_Misljenje">Prevod!$F$92</definedName>
    <definedName name="Revizija_Naziv_revizorske_firme">Prevod!$F$94</definedName>
    <definedName name="Revizija_Negativno">Prevod!$F$97</definedName>
    <definedName name="Revizija_Podaci_o_revizorskoj_firmi">Prevod!$F$93</definedName>
    <definedName name="Revizija_Pozitivno">Prevod!$F$95</definedName>
    <definedName name="Revizija_Revidiran_izvjestaj">Prevod!$F$91</definedName>
    <definedName name="Revizija_Sa_rezervom">Prevod!$F$96</definedName>
    <definedName name="Revizija_Uzdrzavanje">Prevod!$F$98</definedName>
    <definedName name="Tabele_Tekuca_godina">Prevod!$F$76</definedName>
    <definedName name="Tabele_zaglavlje_BPK0">Prevod!$F$79</definedName>
    <definedName name="Tabele_zaglavlje_BPK1">Prevod!$F$80</definedName>
    <definedName name="Tabele_zaglavlje_BPK10">Prevod!$F$88</definedName>
    <definedName name="Tabele_zaglavlje_BPK3">Prevod!$F$81</definedName>
    <definedName name="Tabele_zaglavlje_BPK4">Prevod!$F$82</definedName>
    <definedName name="Tabele_zaglavlje_BPK5">Prevod!$F$83</definedName>
    <definedName name="Tabele_zaglavlje_BPK6">Prevod!$F$84</definedName>
    <definedName name="Tabele_zaglavlje_BPK7">Prevod!$F$85</definedName>
    <definedName name="Tabele_zaglavlje_BPK8">Prevod!$F$86</definedName>
    <definedName name="Tabele_zaglavlje_BPK9">Prevod!$F$87</definedName>
    <definedName name="Tabele_zaglavlje_BS_bruto">Prevod!$F$71</definedName>
    <definedName name="Tabele_zaglavlje_BS_ispravka">Prevod!$F$72</definedName>
    <definedName name="Tabele_zaglavlje_BS_iznos_prethodna">Prevod!$F$74</definedName>
    <definedName name="Tabele_zaglavlje_BS_iznos_tekuca">Prevod!$F$70</definedName>
    <definedName name="Tabele_zaglavlje_BS_neto">Prevod!$F$73</definedName>
    <definedName name="Tabele_zaglavlje_Grupa_racuna">Prevod!$F$66</definedName>
    <definedName name="Tabele_zaglavlje_Iznos">Prevod!$F$75</definedName>
    <definedName name="Tabele_zaglavlje_Oznaka_aop">Prevod!$F$68</definedName>
    <definedName name="Tabele_zaglavlje_Pozicija">Prevod!$F$67</definedName>
    <definedName name="Tabele_zaglavlje_Prethodna_godina">Prevod!$F$77</definedName>
    <definedName name="Tabele_zaglavlje_Redni_broj">Prevod!$F$69</definedName>
    <definedName name="Tabele_zaglavlje_Tekuca_godina">Prevod!$F$76</definedName>
    <definedName name="Tabele_zaglavlje_Valuta">Prevod!$F$78</definedName>
    <definedName name="Vrsta_izvjestaja">Podesavanja!$J$1</definedName>
    <definedName name="Vrsta_izvjestaja_Godisnji">Prevod!$F$24</definedName>
    <definedName name="Vrsta_izvjestaja_Polugodisnji">Prevod!$F$22</definedName>
    <definedName name="Vrsta_izvjestaja_Prvi_kvartal">Prevod!$F$21</definedName>
    <definedName name="Vrsta_izvjestaja_Specificni">Prevod!$F$25</definedName>
    <definedName name="Vrsta_izvjestaja_Treci_kvartal">Prevod!$F$23</definedName>
    <definedName name="Zaglavlje_JIB">Prevod!$F$30</definedName>
    <definedName name="Zaglavlje_MB">Prevod!$F$26</definedName>
    <definedName name="Zaglavlje_Naziv_preduzeca">Prevod!$F$28</definedName>
    <definedName name="Zaglavlje_Sifra_djelatnosti">Prevod!$F$27</definedName>
    <definedName name="Zaglavlje_Sjediste">Prevod!$F$29</definedName>
    <definedName name="Zaglavlje_Ziro_racun">Prevod!$F$31</definedName>
  </definedNames>
  <calcPr calcId="162913"/>
</workbook>
</file>

<file path=xl/calcChain.xml><?xml version="1.0" encoding="utf-8"?>
<calcChain xmlns="http://schemas.openxmlformats.org/spreadsheetml/2006/main">
  <c r="AA3" i="33" l="1"/>
  <c r="AA4" i="33"/>
  <c r="AA5" i="33"/>
  <c r="AA6" i="33"/>
  <c r="AA7" i="33"/>
  <c r="AA8" i="33"/>
  <c r="AA9" i="33"/>
  <c r="AA10" i="33"/>
  <c r="AA11" i="33"/>
  <c r="AA12" i="33"/>
  <c r="AA13" i="33"/>
  <c r="AA14" i="33"/>
  <c r="AA15" i="33"/>
  <c r="AA16" i="33"/>
  <c r="AA17" i="33"/>
  <c r="AA18" i="33"/>
  <c r="AA19" i="33"/>
  <c r="AA20" i="33"/>
  <c r="AA21" i="33"/>
  <c r="AA22" i="33"/>
  <c r="AA23" i="33"/>
  <c r="AA24" i="33"/>
  <c r="B3" i="38"/>
  <c r="B4" i="38"/>
  <c r="B5" i="38"/>
  <c r="B6" i="38"/>
  <c r="B7" i="38"/>
  <c r="B8" i="38"/>
  <c r="B9" i="38"/>
  <c r="B10" i="38"/>
  <c r="B11" i="38"/>
  <c r="B12" i="38"/>
  <c r="B13" i="38"/>
  <c r="B14" i="38"/>
  <c r="B15" i="38"/>
  <c r="B16" i="38"/>
  <c r="B17" i="38"/>
  <c r="B18" i="38"/>
  <c r="B19" i="38"/>
  <c r="B20" i="38"/>
  <c r="B21" i="38"/>
  <c r="B22" i="38"/>
  <c r="B23" i="38"/>
  <c r="B24" i="38"/>
  <c r="B25" i="38"/>
  <c r="B26" i="38"/>
  <c r="B27" i="38"/>
  <c r="B28" i="38"/>
  <c r="B29" i="38"/>
  <c r="B30" i="38"/>
  <c r="B31" i="38"/>
  <c r="B32" i="38"/>
  <c r="B33" i="38"/>
  <c r="B34" i="38"/>
  <c r="B35" i="38"/>
  <c r="B36" i="38"/>
  <c r="B37" i="38"/>
  <c r="B38" i="38"/>
  <c r="B39" i="38"/>
  <c r="B40" i="38"/>
  <c r="B41" i="38"/>
  <c r="B42" i="38"/>
  <c r="B43" i="38"/>
  <c r="B44" i="38"/>
  <c r="B45" i="38"/>
  <c r="B46" i="38"/>
  <c r="B47" i="38"/>
  <c r="B48" i="38"/>
  <c r="B49" i="38"/>
  <c r="B50" i="38"/>
  <c r="B51" i="38"/>
  <c r="B52" i="38"/>
  <c r="B53" i="38"/>
  <c r="B54" i="38"/>
  <c r="B55" i="38"/>
  <c r="B56" i="38"/>
  <c r="B57" i="38"/>
  <c r="B58" i="38"/>
  <c r="B59" i="38"/>
  <c r="B60" i="38"/>
  <c r="B61" i="38"/>
  <c r="B62" i="38"/>
  <c r="B63" i="38"/>
  <c r="B64" i="38"/>
  <c r="B65" i="38"/>
  <c r="B66" i="38"/>
  <c r="B67" i="38"/>
  <c r="B68" i="38"/>
  <c r="B69" i="38"/>
  <c r="B70" i="38"/>
  <c r="B71" i="38"/>
  <c r="B72" i="38"/>
  <c r="B73" i="38"/>
  <c r="B74" i="38"/>
  <c r="B75" i="38"/>
  <c r="B76" i="38"/>
  <c r="B77" i="38"/>
  <c r="B78" i="38"/>
  <c r="B79" i="38"/>
  <c r="B80" i="38"/>
  <c r="B81" i="38"/>
  <c r="B82" i="38"/>
  <c r="B83" i="38"/>
  <c r="B84" i="38"/>
  <c r="B85" i="38"/>
  <c r="B86" i="38"/>
  <c r="B87" i="38"/>
  <c r="B88" i="38"/>
  <c r="B89" i="38"/>
  <c r="B90" i="38"/>
  <c r="B91" i="38"/>
  <c r="B92" i="38"/>
  <c r="B93" i="38"/>
  <c r="B94" i="38"/>
  <c r="B95" i="38"/>
  <c r="B96" i="38"/>
  <c r="B97" i="38"/>
  <c r="B98" i="38"/>
  <c r="B99" i="38"/>
  <c r="B100" i="38"/>
  <c r="B101" i="38"/>
  <c r="B102" i="38"/>
  <c r="B103" i="38"/>
  <c r="B104" i="38"/>
  <c r="B105" i="38"/>
  <c r="B106" i="38"/>
  <c r="B107" i="38"/>
  <c r="B108" i="38"/>
  <c r="B109" i="38"/>
  <c r="B110" i="38"/>
  <c r="B111" i="38"/>
  <c r="B112" i="38"/>
  <c r="B113" i="38"/>
  <c r="B114" i="38"/>
  <c r="B115" i="38"/>
  <c r="B116" i="38"/>
  <c r="B117" i="38"/>
  <c r="B118" i="38"/>
  <c r="B119" i="38"/>
  <c r="B120" i="38"/>
  <c r="B121" i="38"/>
  <c r="B122" i="38"/>
  <c r="B123" i="38"/>
  <c r="B124" i="38"/>
  <c r="B125" i="38"/>
  <c r="B126" i="38"/>
  <c r="B127" i="38"/>
  <c r="B128" i="38"/>
  <c r="B129" i="38"/>
  <c r="B130" i="38"/>
  <c r="B131" i="38"/>
  <c r="B132" i="38"/>
  <c r="B133" i="38"/>
  <c r="B134" i="38"/>
  <c r="B135" i="38"/>
  <c r="B136" i="38"/>
  <c r="B137" i="38"/>
  <c r="B138" i="38"/>
  <c r="B139" i="38"/>
  <c r="B140" i="38"/>
  <c r="B141" i="38"/>
  <c r="B142" i="38"/>
  <c r="B143" i="38"/>
  <c r="B144" i="38"/>
  <c r="B145" i="38"/>
  <c r="B146" i="38"/>
  <c r="B147" i="38"/>
  <c r="B148" i="38"/>
  <c r="B149" i="38"/>
  <c r="B150" i="38"/>
  <c r="B151" i="38"/>
  <c r="B152" i="38"/>
  <c r="B153" i="38"/>
  <c r="B154" i="38"/>
  <c r="B155" i="38"/>
  <c r="B156" i="38"/>
  <c r="B157" i="38"/>
  <c r="B158" i="38"/>
  <c r="B159" i="38"/>
  <c r="B160" i="38"/>
  <c r="B161" i="38"/>
  <c r="B162" i="38"/>
  <c r="B163" i="38"/>
  <c r="B164" i="38"/>
  <c r="B165" i="38"/>
  <c r="B166" i="38"/>
  <c r="B167" i="38"/>
  <c r="B168" i="38"/>
  <c r="B169" i="38"/>
  <c r="B170" i="38"/>
  <c r="B171" i="38"/>
  <c r="B172" i="38"/>
  <c r="B173" i="38"/>
  <c r="B174" i="38"/>
  <c r="B175" i="38"/>
  <c r="B176" i="38"/>
  <c r="B177" i="38"/>
  <c r="B178" i="38"/>
  <c r="B179" i="38"/>
  <c r="B180" i="38"/>
  <c r="B181" i="38"/>
  <c r="B182" i="38"/>
  <c r="B183" i="38"/>
  <c r="B184" i="38"/>
  <c r="B185" i="38"/>
  <c r="B186" i="38"/>
  <c r="B187" i="38"/>
  <c r="B188" i="38"/>
  <c r="B189" i="38"/>
  <c r="B190" i="38"/>
  <c r="B191" i="38"/>
  <c r="B192" i="38"/>
  <c r="B193" i="38"/>
  <c r="B194" i="38"/>
  <c r="B195" i="38"/>
  <c r="B196" i="38"/>
  <c r="B197" i="38"/>
  <c r="B198" i="38"/>
  <c r="B199" i="38"/>
  <c r="B200" i="38"/>
  <c r="B201" i="38"/>
  <c r="B202" i="38"/>
  <c r="B203" i="38"/>
  <c r="B204" i="38"/>
  <c r="B205" i="38"/>
  <c r="B206" i="38"/>
  <c r="B207" i="38"/>
  <c r="B208" i="38"/>
  <c r="B209" i="38"/>
  <c r="B210" i="38"/>
  <c r="B211" i="38"/>
  <c r="B212" i="38"/>
  <c r="B213" i="38"/>
  <c r="B214" i="38"/>
  <c r="B215" i="38"/>
  <c r="B216" i="38"/>
  <c r="B217" i="38"/>
  <c r="B218" i="38"/>
  <c r="B219" i="38"/>
  <c r="B220" i="38"/>
  <c r="B221" i="38"/>
  <c r="B222" i="38"/>
  <c r="B223" i="38"/>
  <c r="B224" i="38"/>
  <c r="B225" i="38"/>
  <c r="B226" i="38"/>
  <c r="B227" i="38"/>
  <c r="B228" i="38"/>
  <c r="B229" i="38"/>
  <c r="B230" i="38"/>
  <c r="B231" i="38"/>
  <c r="B232" i="38"/>
  <c r="B233" i="38"/>
  <c r="B234" i="38"/>
  <c r="B235" i="38"/>
  <c r="B236" i="38"/>
  <c r="B237" i="38"/>
  <c r="B238" i="38"/>
  <c r="B239" i="38"/>
  <c r="B240" i="38"/>
  <c r="B241" i="38"/>
  <c r="B242" i="38"/>
  <c r="B243" i="38"/>
  <c r="B244" i="38"/>
  <c r="B245" i="38"/>
  <c r="B246" i="38"/>
  <c r="B247" i="38"/>
  <c r="B248" i="38"/>
  <c r="B249" i="38"/>
  <c r="B250" i="38"/>
  <c r="B251" i="38"/>
  <c r="B252" i="38"/>
  <c r="B253" i="38"/>
  <c r="B254" i="38"/>
  <c r="B255" i="38"/>
  <c r="B256" i="38"/>
  <c r="B257" i="38"/>
  <c r="B258" i="38"/>
  <c r="B259" i="38"/>
  <c r="B260" i="38"/>
  <c r="B261" i="38"/>
  <c r="B262" i="38"/>
  <c r="B263" i="38"/>
  <c r="B264" i="38"/>
  <c r="B265" i="38"/>
  <c r="B266" i="38"/>
  <c r="B267" i="38"/>
  <c r="B268" i="38"/>
  <c r="B269" i="38"/>
  <c r="B270" i="38"/>
  <c r="B271" i="38"/>
  <c r="B272" i="38"/>
  <c r="B273" i="38"/>
  <c r="B274" i="38"/>
  <c r="B275" i="38"/>
  <c r="B276" i="38"/>
  <c r="B277" i="38"/>
  <c r="B278" i="38"/>
  <c r="B279" i="38"/>
  <c r="B280" i="38"/>
  <c r="B281" i="38"/>
  <c r="B282" i="38"/>
  <c r="B283" i="38"/>
  <c r="B284" i="38"/>
  <c r="B285" i="38"/>
  <c r="B286" i="38"/>
  <c r="B287" i="38"/>
  <c r="B288" i="38"/>
  <c r="B289" i="38"/>
  <c r="B290" i="38"/>
  <c r="B291" i="38"/>
  <c r="B292" i="38"/>
  <c r="B293" i="38"/>
  <c r="B294" i="38"/>
  <c r="B295" i="38"/>
  <c r="B296" i="38"/>
  <c r="B297" i="38"/>
  <c r="B298" i="38"/>
  <c r="B299" i="38"/>
  <c r="B300" i="38"/>
  <c r="B301" i="38"/>
  <c r="B302" i="38"/>
  <c r="B303" i="38"/>
  <c r="B304" i="38"/>
  <c r="B305" i="38"/>
  <c r="B306" i="38"/>
  <c r="B307" i="38"/>
  <c r="B308" i="38"/>
  <c r="B309" i="38"/>
  <c r="B310" i="38"/>
  <c r="B311" i="38"/>
  <c r="B312" i="38"/>
  <c r="B313" i="38"/>
  <c r="B314" i="38"/>
  <c r="B315" i="38"/>
  <c r="B316" i="38"/>
  <c r="B317" i="38"/>
  <c r="B318" i="38"/>
  <c r="B319" i="38"/>
  <c r="B320" i="38"/>
  <c r="B321" i="38"/>
  <c r="B322" i="38"/>
  <c r="B323" i="38"/>
  <c r="B324" i="38"/>
  <c r="B325" i="38"/>
  <c r="B326" i="38"/>
  <c r="B327" i="38"/>
  <c r="B328" i="38"/>
  <c r="B329" i="38"/>
  <c r="B330" i="38"/>
  <c r="B331" i="38"/>
  <c r="B332" i="38"/>
  <c r="B333" i="38"/>
  <c r="B334" i="38"/>
  <c r="B335" i="38"/>
  <c r="B336" i="38"/>
  <c r="B337" i="38"/>
  <c r="B338" i="38"/>
  <c r="B339" i="38"/>
  <c r="B340" i="38"/>
  <c r="B341" i="38"/>
  <c r="B342" i="38"/>
  <c r="B343" i="38"/>
  <c r="B344" i="38"/>
  <c r="B345" i="38"/>
  <c r="B346" i="38"/>
  <c r="B347" i="38"/>
  <c r="B348" i="38"/>
  <c r="B349" i="38"/>
  <c r="B350" i="38"/>
  <c r="B351" i="38"/>
  <c r="B352" i="38"/>
  <c r="B353" i="38"/>
  <c r="B354" i="38"/>
  <c r="B355" i="38"/>
  <c r="B356" i="38"/>
  <c r="B357" i="38"/>
  <c r="B358" i="38"/>
  <c r="B359" i="38"/>
  <c r="B360" i="38"/>
  <c r="B361" i="38"/>
  <c r="B362" i="38"/>
  <c r="B363" i="38"/>
  <c r="B364" i="38"/>
  <c r="B365" i="38"/>
  <c r="B366" i="38"/>
  <c r="B367" i="38"/>
  <c r="B368" i="38"/>
  <c r="B369" i="38"/>
  <c r="B370" i="38"/>
  <c r="B371" i="38"/>
  <c r="B372" i="38"/>
  <c r="B373" i="38"/>
  <c r="B374" i="38"/>
  <c r="B375" i="38"/>
  <c r="B376" i="38"/>
  <c r="B377" i="38"/>
  <c r="B378" i="38"/>
  <c r="B379" i="38"/>
  <c r="B380" i="38"/>
  <c r="B381" i="38"/>
  <c r="B382" i="38"/>
  <c r="B383" i="38"/>
  <c r="B384" i="38"/>
  <c r="B385" i="38"/>
  <c r="B386" i="38"/>
  <c r="B387" i="38"/>
  <c r="B388" i="38"/>
  <c r="B389" i="38"/>
  <c r="B390" i="38"/>
  <c r="B391" i="38"/>
  <c r="B392" i="38"/>
  <c r="B393" i="38"/>
  <c r="B394" i="38"/>
  <c r="B395" i="38"/>
  <c r="B396" i="38"/>
  <c r="B397" i="38"/>
  <c r="B398" i="38"/>
  <c r="B399" i="38"/>
  <c r="B400" i="38"/>
  <c r="B401" i="38"/>
  <c r="B402" i="38"/>
  <c r="K379" i="38"/>
  <c r="G379" i="38"/>
  <c r="I378" i="38"/>
  <c r="K377" i="38"/>
  <c r="G377" i="38"/>
  <c r="I376" i="38"/>
  <c r="K375" i="38"/>
  <c r="G375" i="38"/>
  <c r="I374" i="38"/>
  <c r="K373" i="38"/>
  <c r="G373" i="38"/>
  <c r="I372" i="38"/>
  <c r="K371" i="38"/>
  <c r="G371" i="38"/>
  <c r="I370" i="38"/>
  <c r="K369" i="38"/>
  <c r="G369" i="38"/>
  <c r="I368" i="38"/>
  <c r="K367" i="38"/>
  <c r="G367" i="38"/>
  <c r="I366" i="38"/>
  <c r="K365" i="38"/>
  <c r="G365" i="38"/>
  <c r="I364" i="38"/>
  <c r="K363" i="38"/>
  <c r="G363" i="38"/>
  <c r="I362" i="38"/>
  <c r="K361" i="38"/>
  <c r="G361" i="38"/>
  <c r="I360" i="38"/>
  <c r="K359" i="38"/>
  <c r="G359" i="38"/>
  <c r="I358" i="38"/>
  <c r="K357" i="38"/>
  <c r="G357" i="38"/>
  <c r="I356" i="38"/>
  <c r="K355" i="38"/>
  <c r="G355" i="38"/>
  <c r="I354" i="38"/>
  <c r="K353" i="38"/>
  <c r="G353" i="38"/>
  <c r="I352" i="38"/>
  <c r="K351" i="38"/>
  <c r="G351" i="38"/>
  <c r="I350" i="38"/>
  <c r="K349" i="38"/>
  <c r="G349" i="38"/>
  <c r="I348" i="38"/>
  <c r="K347" i="38"/>
  <c r="G347" i="38"/>
  <c r="I346" i="38"/>
  <c r="K345" i="38"/>
  <c r="G345" i="38"/>
  <c r="I344" i="38"/>
  <c r="K343" i="38"/>
  <c r="G343" i="38"/>
  <c r="I342" i="38"/>
  <c r="K341" i="38"/>
  <c r="G341" i="38"/>
  <c r="I340" i="38"/>
  <c r="K339" i="38"/>
  <c r="G339" i="38"/>
  <c r="I338" i="38"/>
  <c r="K337" i="38"/>
  <c r="G337" i="38"/>
  <c r="I336" i="38"/>
  <c r="K335" i="38"/>
  <c r="G335" i="38"/>
  <c r="I334" i="38"/>
  <c r="K333" i="38"/>
  <c r="G333" i="38"/>
  <c r="I332" i="38"/>
  <c r="K331" i="38"/>
  <c r="G331" i="38"/>
  <c r="I330" i="38"/>
  <c r="K329" i="38"/>
  <c r="G329" i="38"/>
  <c r="I328" i="38"/>
  <c r="K327" i="38"/>
  <c r="G327" i="38"/>
  <c r="I326" i="38"/>
  <c r="K325" i="38"/>
  <c r="G325" i="38"/>
  <c r="I324" i="38"/>
  <c r="K323" i="38"/>
  <c r="G323" i="38"/>
  <c r="I322" i="38"/>
  <c r="K321" i="38"/>
  <c r="G321" i="38"/>
  <c r="I320" i="38"/>
  <c r="K319" i="38"/>
  <c r="G319" i="38"/>
  <c r="I318" i="38"/>
  <c r="K317" i="38"/>
  <c r="G317" i="38"/>
  <c r="I316" i="38"/>
  <c r="K315" i="38"/>
  <c r="G315" i="38"/>
  <c r="I314" i="38"/>
  <c r="K313" i="38"/>
  <c r="G313" i="38"/>
  <c r="I312" i="38"/>
  <c r="K311" i="38"/>
  <c r="G311" i="38"/>
  <c r="I310" i="38"/>
  <c r="K309" i="38"/>
  <c r="G309" i="38"/>
  <c r="I308" i="38"/>
  <c r="K307" i="38"/>
  <c r="G307" i="38"/>
  <c r="I306" i="38"/>
  <c r="K305" i="38"/>
  <c r="G305" i="38"/>
  <c r="I304" i="38"/>
  <c r="K303" i="38"/>
  <c r="G303" i="38"/>
  <c r="I302" i="38"/>
  <c r="K301" i="38"/>
  <c r="G301" i="38"/>
  <c r="I300" i="38"/>
  <c r="K299" i="38"/>
  <c r="G299" i="38"/>
  <c r="I298" i="38"/>
  <c r="K297" i="38"/>
  <c r="G297" i="38"/>
  <c r="I296" i="38"/>
  <c r="K295" i="38"/>
  <c r="J379" i="38"/>
  <c r="F379" i="38"/>
  <c r="H378" i="38"/>
  <c r="J377" i="38"/>
  <c r="F377" i="38"/>
  <c r="H376" i="38"/>
  <c r="J375" i="38"/>
  <c r="F375" i="38"/>
  <c r="H374" i="38"/>
  <c r="J373" i="38"/>
  <c r="F373" i="38"/>
  <c r="H372" i="38"/>
  <c r="J371" i="38"/>
  <c r="F371" i="38"/>
  <c r="H370" i="38"/>
  <c r="J369" i="38"/>
  <c r="F369" i="38"/>
  <c r="H368" i="38"/>
  <c r="J367" i="38"/>
  <c r="F367" i="38"/>
  <c r="H366" i="38"/>
  <c r="J365" i="38"/>
  <c r="F365" i="38"/>
  <c r="H364" i="38"/>
  <c r="J363" i="38"/>
  <c r="F363" i="38"/>
  <c r="H362" i="38"/>
  <c r="J361" i="38"/>
  <c r="F361" i="38"/>
  <c r="H360" i="38"/>
  <c r="J359" i="38"/>
  <c r="F359" i="38"/>
  <c r="H358" i="38"/>
  <c r="J357" i="38"/>
  <c r="F357" i="38"/>
  <c r="H356" i="38"/>
  <c r="J355" i="38"/>
  <c r="F355" i="38"/>
  <c r="H354" i="38"/>
  <c r="J353" i="38"/>
  <c r="F353" i="38"/>
  <c r="H352" i="38"/>
  <c r="J351" i="38"/>
  <c r="F351" i="38"/>
  <c r="H350" i="38"/>
  <c r="J349" i="38"/>
  <c r="F349" i="38"/>
  <c r="H348" i="38"/>
  <c r="J347" i="38"/>
  <c r="F347" i="38"/>
  <c r="H346" i="38"/>
  <c r="J345" i="38"/>
  <c r="F345" i="38"/>
  <c r="H344" i="38"/>
  <c r="J343" i="38"/>
  <c r="F343" i="38"/>
  <c r="H342" i="38"/>
  <c r="J341" i="38"/>
  <c r="F341" i="38"/>
  <c r="H340" i="38"/>
  <c r="J339" i="38"/>
  <c r="F339" i="38"/>
  <c r="H338" i="38"/>
  <c r="J337" i="38"/>
  <c r="F337" i="38"/>
  <c r="H336" i="38"/>
  <c r="J335" i="38"/>
  <c r="F335" i="38"/>
  <c r="H334" i="38"/>
  <c r="J333" i="38"/>
  <c r="F333" i="38"/>
  <c r="H332" i="38"/>
  <c r="J331" i="38"/>
  <c r="F331" i="38"/>
  <c r="H330" i="38"/>
  <c r="J329" i="38"/>
  <c r="F329" i="38"/>
  <c r="H328" i="38"/>
  <c r="J327" i="38"/>
  <c r="F327" i="38"/>
  <c r="H326" i="38"/>
  <c r="J325" i="38"/>
  <c r="F325" i="38"/>
  <c r="H324" i="38"/>
  <c r="J323" i="38"/>
  <c r="F323" i="38"/>
  <c r="H322" i="38"/>
  <c r="J321" i="38"/>
  <c r="F321" i="38"/>
  <c r="H320" i="38"/>
  <c r="J319" i="38"/>
  <c r="F319" i="38"/>
  <c r="H318" i="38"/>
  <c r="J317" i="38"/>
  <c r="F317" i="38"/>
  <c r="H316" i="38"/>
  <c r="J315" i="38"/>
  <c r="F315" i="38"/>
  <c r="H314" i="38"/>
  <c r="J313" i="38"/>
  <c r="F313" i="38"/>
  <c r="H312" i="38"/>
  <c r="J311" i="38"/>
  <c r="F311" i="38"/>
  <c r="H310" i="38"/>
  <c r="J309" i="38"/>
  <c r="F309" i="38"/>
  <c r="H308" i="38"/>
  <c r="J307" i="38"/>
  <c r="F307" i="38"/>
  <c r="H306" i="38"/>
  <c r="J305" i="38"/>
  <c r="F305" i="38"/>
  <c r="H304" i="38"/>
  <c r="J303" i="38"/>
  <c r="F303" i="38"/>
  <c r="H302" i="38"/>
  <c r="J301" i="38"/>
  <c r="F301" i="38"/>
  <c r="H300" i="38"/>
  <c r="J299" i="38"/>
  <c r="F299" i="38"/>
  <c r="H298" i="38"/>
  <c r="J297" i="38"/>
  <c r="F297" i="38"/>
  <c r="H296" i="38"/>
  <c r="J295" i="38"/>
  <c r="I379" i="38"/>
  <c r="K378" i="38"/>
  <c r="G378" i="38"/>
  <c r="I377" i="38"/>
  <c r="K376" i="38"/>
  <c r="G376" i="38"/>
  <c r="I375" i="38"/>
  <c r="K374" i="38"/>
  <c r="G374" i="38"/>
  <c r="I373" i="38"/>
  <c r="K372" i="38"/>
  <c r="G372" i="38"/>
  <c r="I371" i="38"/>
  <c r="K370" i="38"/>
  <c r="G370" i="38"/>
  <c r="I369" i="38"/>
  <c r="K368" i="38"/>
  <c r="G368" i="38"/>
  <c r="I367" i="38"/>
  <c r="K366" i="38"/>
  <c r="G366" i="38"/>
  <c r="I365" i="38"/>
  <c r="K364" i="38"/>
  <c r="G364" i="38"/>
  <c r="I363" i="38"/>
  <c r="K362" i="38"/>
  <c r="G362" i="38"/>
  <c r="I361" i="38"/>
  <c r="K360" i="38"/>
  <c r="G360" i="38"/>
  <c r="I359" i="38"/>
  <c r="K358" i="38"/>
  <c r="G358" i="38"/>
  <c r="I357" i="38"/>
  <c r="K356" i="38"/>
  <c r="G356" i="38"/>
  <c r="I355" i="38"/>
  <c r="K354" i="38"/>
  <c r="G354" i="38"/>
  <c r="I353" i="38"/>
  <c r="K352" i="38"/>
  <c r="G352" i="38"/>
  <c r="I351" i="38"/>
  <c r="K350" i="38"/>
  <c r="G350" i="38"/>
  <c r="I349" i="38"/>
  <c r="K348" i="38"/>
  <c r="G348" i="38"/>
  <c r="I347" i="38"/>
  <c r="K346" i="38"/>
  <c r="G346" i="38"/>
  <c r="I345" i="38"/>
  <c r="K344" i="38"/>
  <c r="G344" i="38"/>
  <c r="I343" i="38"/>
  <c r="K342" i="38"/>
  <c r="G342" i="38"/>
  <c r="I341" i="38"/>
  <c r="K340" i="38"/>
  <c r="G340" i="38"/>
  <c r="I339" i="38"/>
  <c r="K338" i="38"/>
  <c r="G338" i="38"/>
  <c r="I337" i="38"/>
  <c r="K336" i="38"/>
  <c r="G336" i="38"/>
  <c r="I335" i="38"/>
  <c r="K334" i="38"/>
  <c r="G334" i="38"/>
  <c r="I333" i="38"/>
  <c r="K332" i="38"/>
  <c r="G332" i="38"/>
  <c r="I331" i="38"/>
  <c r="K330" i="38"/>
  <c r="G330" i="38"/>
  <c r="I329" i="38"/>
  <c r="K328" i="38"/>
  <c r="G328" i="38"/>
  <c r="I327" i="38"/>
  <c r="K326" i="38"/>
  <c r="G326" i="38"/>
  <c r="I325" i="38"/>
  <c r="K324" i="38"/>
  <c r="G324" i="38"/>
  <c r="I323" i="38"/>
  <c r="K322" i="38"/>
  <c r="G322" i="38"/>
  <c r="I321" i="38"/>
  <c r="K320" i="38"/>
  <c r="G320" i="38"/>
  <c r="I319" i="38"/>
  <c r="K318" i="38"/>
  <c r="G318" i="38"/>
  <c r="I317" i="38"/>
  <c r="K316" i="38"/>
  <c r="G316" i="38"/>
  <c r="I315" i="38"/>
  <c r="K314" i="38"/>
  <c r="G314" i="38"/>
  <c r="I313" i="38"/>
  <c r="K312" i="38"/>
  <c r="G312" i="38"/>
  <c r="I311" i="38"/>
  <c r="K310" i="38"/>
  <c r="G310" i="38"/>
  <c r="I309" i="38"/>
  <c r="K308" i="38"/>
  <c r="G308" i="38"/>
  <c r="I307" i="38"/>
  <c r="K306" i="38"/>
  <c r="G306" i="38"/>
  <c r="I305" i="38"/>
  <c r="K304" i="38"/>
  <c r="G304" i="38"/>
  <c r="I303" i="38"/>
  <c r="K302" i="38"/>
  <c r="G302" i="38"/>
  <c r="I301" i="38"/>
  <c r="K300" i="38"/>
  <c r="G300" i="38"/>
  <c r="I299" i="38"/>
  <c r="K298" i="38"/>
  <c r="G298" i="38"/>
  <c r="I297" i="38"/>
  <c r="K296" i="38"/>
  <c r="G296" i="38"/>
  <c r="I295" i="38"/>
  <c r="H379" i="38"/>
  <c r="J378" i="38"/>
  <c r="F378" i="38"/>
  <c r="H377" i="38"/>
  <c r="J376" i="38"/>
  <c r="F376" i="38"/>
  <c r="H375" i="38"/>
  <c r="J374" i="38"/>
  <c r="F374" i="38"/>
  <c r="H373" i="38"/>
  <c r="J372" i="38"/>
  <c r="F372" i="38"/>
  <c r="H371" i="38"/>
  <c r="J370" i="38"/>
  <c r="F370" i="38"/>
  <c r="H369" i="38"/>
  <c r="J368" i="38"/>
  <c r="F368" i="38"/>
  <c r="H367" i="38"/>
  <c r="J366" i="38"/>
  <c r="F366" i="38"/>
  <c r="H365" i="38"/>
  <c r="J364" i="38"/>
  <c r="F364" i="38"/>
  <c r="H363" i="38"/>
  <c r="J362" i="38"/>
  <c r="F362" i="38"/>
  <c r="H361" i="38"/>
  <c r="J360" i="38"/>
  <c r="F360" i="38"/>
  <c r="H359" i="38"/>
  <c r="J358" i="38"/>
  <c r="F358" i="38"/>
  <c r="H357" i="38"/>
  <c r="J356" i="38"/>
  <c r="F356" i="38"/>
  <c r="H355" i="38"/>
  <c r="J354" i="38"/>
  <c r="F354" i="38"/>
  <c r="H353" i="38"/>
  <c r="J352" i="38"/>
  <c r="F352" i="38"/>
  <c r="H351" i="38"/>
  <c r="J350" i="38"/>
  <c r="F350" i="38"/>
  <c r="H349" i="38"/>
  <c r="J348" i="38"/>
  <c r="F348" i="38"/>
  <c r="H347" i="38"/>
  <c r="J346" i="38"/>
  <c r="F346" i="38"/>
  <c r="H345" i="38"/>
  <c r="J344" i="38"/>
  <c r="F344" i="38"/>
  <c r="H343" i="38"/>
  <c r="J342" i="38"/>
  <c r="F342" i="38"/>
  <c r="H341" i="38"/>
  <c r="J340" i="38"/>
  <c r="F340" i="38"/>
  <c r="H339" i="38"/>
  <c r="J338" i="38"/>
  <c r="F338" i="38"/>
  <c r="H337" i="38"/>
  <c r="J336" i="38"/>
  <c r="F336" i="38"/>
  <c r="H335" i="38"/>
  <c r="J334" i="38"/>
  <c r="F334" i="38"/>
  <c r="H333" i="38"/>
  <c r="J332" i="38"/>
  <c r="F332" i="38"/>
  <c r="H331" i="38"/>
  <c r="J330" i="38"/>
  <c r="F330" i="38"/>
  <c r="H329" i="38"/>
  <c r="J328" i="38"/>
  <c r="F328" i="38"/>
  <c r="H327" i="38"/>
  <c r="J326" i="38"/>
  <c r="F326" i="38"/>
  <c r="H325" i="38"/>
  <c r="J324" i="38"/>
  <c r="F324" i="38"/>
  <c r="H323" i="38"/>
  <c r="J322" i="38"/>
  <c r="F322" i="38"/>
  <c r="H321" i="38"/>
  <c r="J320" i="38"/>
  <c r="F320" i="38"/>
  <c r="H319" i="38"/>
  <c r="J318" i="38"/>
  <c r="F318" i="38"/>
  <c r="H317" i="38"/>
  <c r="J316" i="38"/>
  <c r="F316" i="38"/>
  <c r="H315" i="38"/>
  <c r="J314" i="38"/>
  <c r="F314" i="38"/>
  <c r="H313" i="38"/>
  <c r="J312" i="38"/>
  <c r="F312" i="38"/>
  <c r="H311" i="38"/>
  <c r="J310" i="38"/>
  <c r="F310" i="38"/>
  <c r="H309" i="38"/>
  <c r="J308" i="38"/>
  <c r="F308" i="38"/>
  <c r="H307" i="38"/>
  <c r="J306" i="38"/>
  <c r="F306" i="38"/>
  <c r="H305" i="38"/>
  <c r="J304" i="38"/>
  <c r="F304" i="38"/>
  <c r="H303" i="38"/>
  <c r="J302" i="38"/>
  <c r="F302" i="38"/>
  <c r="H301" i="38"/>
  <c r="J300" i="38"/>
  <c r="F300" i="38"/>
  <c r="H299" i="38"/>
  <c r="J298" i="38"/>
  <c r="F298" i="38"/>
  <c r="H297" i="38"/>
  <c r="J296" i="38"/>
  <c r="F296" i="38"/>
  <c r="H295" i="38"/>
  <c r="G295" i="38"/>
  <c r="I294" i="38"/>
  <c r="K293" i="38"/>
  <c r="G293" i="38"/>
  <c r="I292" i="38"/>
  <c r="K291" i="38"/>
  <c r="G291" i="38"/>
  <c r="I290" i="38"/>
  <c r="K289" i="38"/>
  <c r="G289" i="38"/>
  <c r="I288" i="38"/>
  <c r="K287" i="38"/>
  <c r="G287" i="38"/>
  <c r="I286" i="38"/>
  <c r="K285" i="38"/>
  <c r="G285" i="38"/>
  <c r="I284" i="38"/>
  <c r="K283" i="38"/>
  <c r="G283" i="38"/>
  <c r="I282" i="38"/>
  <c r="K281" i="38"/>
  <c r="G281" i="38"/>
  <c r="I280" i="38"/>
  <c r="K279" i="38"/>
  <c r="G279" i="38"/>
  <c r="I278" i="38"/>
  <c r="K277" i="38"/>
  <c r="G277" i="38"/>
  <c r="I276" i="38"/>
  <c r="K275" i="38"/>
  <c r="G275" i="38"/>
  <c r="I274" i="38"/>
  <c r="K273" i="38"/>
  <c r="G273" i="38"/>
  <c r="I272" i="38"/>
  <c r="K271" i="38"/>
  <c r="G271" i="38"/>
  <c r="I270" i="38"/>
  <c r="K269" i="38"/>
  <c r="G269" i="38"/>
  <c r="I268" i="38"/>
  <c r="K267" i="38"/>
  <c r="G267" i="38"/>
  <c r="I266" i="38"/>
  <c r="K265" i="38"/>
  <c r="G265" i="38"/>
  <c r="I264" i="38"/>
  <c r="K263" i="38"/>
  <c r="G263" i="38"/>
  <c r="I262" i="38"/>
  <c r="K261" i="38"/>
  <c r="G261" i="38"/>
  <c r="I260" i="38"/>
  <c r="K259" i="38"/>
  <c r="G259" i="38"/>
  <c r="I258" i="38"/>
  <c r="K257" i="38"/>
  <c r="G257" i="38"/>
  <c r="I256" i="38"/>
  <c r="K255" i="38"/>
  <c r="G255" i="38"/>
  <c r="I254" i="38"/>
  <c r="K253" i="38"/>
  <c r="G253" i="38"/>
  <c r="I252" i="38"/>
  <c r="K251" i="38"/>
  <c r="G251" i="38"/>
  <c r="I250" i="38"/>
  <c r="K249" i="38"/>
  <c r="G249" i="38"/>
  <c r="I248" i="38"/>
  <c r="K247" i="38"/>
  <c r="G247" i="38"/>
  <c r="I246" i="38"/>
  <c r="K245" i="38"/>
  <c r="G245" i="38"/>
  <c r="I244" i="38"/>
  <c r="K243" i="38"/>
  <c r="G243" i="38"/>
  <c r="I242" i="38"/>
  <c r="K241" i="38"/>
  <c r="G241" i="38"/>
  <c r="I240" i="38"/>
  <c r="K239" i="38"/>
  <c r="G239" i="38"/>
  <c r="I238" i="38"/>
  <c r="K237" i="38"/>
  <c r="G237" i="38"/>
  <c r="I236" i="38"/>
  <c r="K235" i="38"/>
  <c r="G235" i="38"/>
  <c r="I234" i="38"/>
  <c r="K233" i="38"/>
  <c r="G233" i="38"/>
  <c r="I232" i="38"/>
  <c r="K231" i="38"/>
  <c r="G231" i="38"/>
  <c r="I230" i="38"/>
  <c r="K229" i="38"/>
  <c r="G229" i="38"/>
  <c r="I228" i="38"/>
  <c r="K227" i="38"/>
  <c r="G227" i="38"/>
  <c r="I226" i="38"/>
  <c r="K225" i="38"/>
  <c r="G225" i="38"/>
  <c r="I224" i="38"/>
  <c r="K223" i="38"/>
  <c r="G223" i="38"/>
  <c r="I222" i="38"/>
  <c r="K221" i="38"/>
  <c r="G221" i="38"/>
  <c r="I220" i="38"/>
  <c r="K219" i="38"/>
  <c r="G219" i="38"/>
  <c r="I218" i="38"/>
  <c r="K217" i="38"/>
  <c r="G217" i="38"/>
  <c r="I216" i="38"/>
  <c r="K215" i="38"/>
  <c r="G215" i="38"/>
  <c r="I214" i="38"/>
  <c r="K213" i="38"/>
  <c r="G213" i="38"/>
  <c r="I212" i="38"/>
  <c r="K211" i="38"/>
  <c r="G211" i="38"/>
  <c r="I210" i="38"/>
  <c r="F295" i="38"/>
  <c r="H294" i="38"/>
  <c r="J293" i="38"/>
  <c r="F293" i="38"/>
  <c r="H292" i="38"/>
  <c r="J291" i="38"/>
  <c r="F291" i="38"/>
  <c r="H290" i="38"/>
  <c r="J289" i="38"/>
  <c r="F289" i="38"/>
  <c r="H288" i="38"/>
  <c r="J287" i="38"/>
  <c r="F287" i="38"/>
  <c r="H286" i="38"/>
  <c r="J285" i="38"/>
  <c r="F285" i="38"/>
  <c r="H284" i="38"/>
  <c r="J283" i="38"/>
  <c r="F283" i="38"/>
  <c r="H282" i="38"/>
  <c r="J281" i="38"/>
  <c r="F281" i="38"/>
  <c r="H280" i="38"/>
  <c r="J279" i="38"/>
  <c r="F279" i="38"/>
  <c r="H278" i="38"/>
  <c r="J277" i="38"/>
  <c r="F277" i="38"/>
  <c r="H276" i="38"/>
  <c r="J275" i="38"/>
  <c r="F275" i="38"/>
  <c r="H274" i="38"/>
  <c r="J273" i="38"/>
  <c r="F273" i="38"/>
  <c r="H272" i="38"/>
  <c r="J271" i="38"/>
  <c r="F271" i="38"/>
  <c r="H270" i="38"/>
  <c r="J269" i="38"/>
  <c r="F269" i="38"/>
  <c r="H268" i="38"/>
  <c r="J267" i="38"/>
  <c r="F267" i="38"/>
  <c r="H266" i="38"/>
  <c r="J265" i="38"/>
  <c r="F265" i="38"/>
  <c r="H264" i="38"/>
  <c r="J263" i="38"/>
  <c r="F263" i="38"/>
  <c r="H262" i="38"/>
  <c r="J261" i="38"/>
  <c r="F261" i="38"/>
  <c r="H260" i="38"/>
  <c r="J259" i="38"/>
  <c r="F259" i="38"/>
  <c r="H258" i="38"/>
  <c r="J257" i="38"/>
  <c r="F257" i="38"/>
  <c r="H256" i="38"/>
  <c r="J255" i="38"/>
  <c r="F255" i="38"/>
  <c r="H254" i="38"/>
  <c r="J253" i="38"/>
  <c r="F253" i="38"/>
  <c r="H252" i="38"/>
  <c r="J251" i="38"/>
  <c r="F251" i="38"/>
  <c r="H250" i="38"/>
  <c r="J249" i="38"/>
  <c r="F249" i="38"/>
  <c r="H248" i="38"/>
  <c r="J247" i="38"/>
  <c r="F247" i="38"/>
  <c r="H246" i="38"/>
  <c r="J245" i="38"/>
  <c r="F245" i="38"/>
  <c r="H244" i="38"/>
  <c r="J243" i="38"/>
  <c r="F243" i="38"/>
  <c r="H242" i="38"/>
  <c r="J241" i="38"/>
  <c r="F241" i="38"/>
  <c r="H240" i="38"/>
  <c r="J239" i="38"/>
  <c r="F239" i="38"/>
  <c r="H238" i="38"/>
  <c r="J237" i="38"/>
  <c r="F237" i="38"/>
  <c r="H236" i="38"/>
  <c r="J235" i="38"/>
  <c r="F235" i="38"/>
  <c r="H234" i="38"/>
  <c r="J233" i="38"/>
  <c r="F233" i="38"/>
  <c r="H232" i="38"/>
  <c r="J231" i="38"/>
  <c r="F231" i="38"/>
  <c r="H230" i="38"/>
  <c r="J229" i="38"/>
  <c r="F229" i="38"/>
  <c r="H228" i="38"/>
  <c r="J227" i="38"/>
  <c r="F227" i="38"/>
  <c r="H226" i="38"/>
  <c r="J225" i="38"/>
  <c r="F225" i="38"/>
  <c r="H224" i="38"/>
  <c r="J223" i="38"/>
  <c r="F223" i="38"/>
  <c r="H222" i="38"/>
  <c r="J221" i="38"/>
  <c r="F221" i="38"/>
  <c r="H220" i="38"/>
  <c r="J219" i="38"/>
  <c r="F219" i="38"/>
  <c r="H218" i="38"/>
  <c r="J217" i="38"/>
  <c r="F217" i="38"/>
  <c r="H216" i="38"/>
  <c r="J215" i="38"/>
  <c r="F215" i="38"/>
  <c r="H214" i="38"/>
  <c r="J213" i="38"/>
  <c r="F213" i="38"/>
  <c r="H212" i="38"/>
  <c r="J211" i="38"/>
  <c r="F211" i="38"/>
  <c r="K294" i="38"/>
  <c r="G294" i="38"/>
  <c r="I293" i="38"/>
  <c r="K292" i="38"/>
  <c r="G292" i="38"/>
  <c r="I291" i="38"/>
  <c r="K290" i="38"/>
  <c r="G290" i="38"/>
  <c r="I289" i="38"/>
  <c r="K288" i="38"/>
  <c r="G288" i="38"/>
  <c r="I287" i="38"/>
  <c r="K286" i="38"/>
  <c r="G286" i="38"/>
  <c r="I285" i="38"/>
  <c r="K284" i="38"/>
  <c r="G284" i="38"/>
  <c r="I283" i="38"/>
  <c r="K282" i="38"/>
  <c r="G282" i="38"/>
  <c r="I281" i="38"/>
  <c r="K280" i="38"/>
  <c r="G280" i="38"/>
  <c r="I279" i="38"/>
  <c r="K278" i="38"/>
  <c r="G278" i="38"/>
  <c r="I277" i="38"/>
  <c r="K276" i="38"/>
  <c r="G276" i="38"/>
  <c r="I275" i="38"/>
  <c r="K274" i="38"/>
  <c r="G274" i="38"/>
  <c r="I273" i="38"/>
  <c r="K272" i="38"/>
  <c r="G272" i="38"/>
  <c r="I271" i="38"/>
  <c r="K270" i="38"/>
  <c r="G270" i="38"/>
  <c r="I269" i="38"/>
  <c r="K268" i="38"/>
  <c r="G268" i="38"/>
  <c r="I267" i="38"/>
  <c r="K266" i="38"/>
  <c r="G266" i="38"/>
  <c r="I265" i="38"/>
  <c r="K264" i="38"/>
  <c r="G264" i="38"/>
  <c r="I263" i="38"/>
  <c r="K262" i="38"/>
  <c r="G262" i="38"/>
  <c r="I261" i="38"/>
  <c r="K260" i="38"/>
  <c r="G260" i="38"/>
  <c r="I259" i="38"/>
  <c r="K258" i="38"/>
  <c r="G258" i="38"/>
  <c r="I257" i="38"/>
  <c r="K256" i="38"/>
  <c r="G256" i="38"/>
  <c r="I255" i="38"/>
  <c r="K254" i="38"/>
  <c r="G254" i="38"/>
  <c r="I253" i="38"/>
  <c r="K252" i="38"/>
  <c r="G252" i="38"/>
  <c r="I251" i="38"/>
  <c r="K250" i="38"/>
  <c r="G250" i="38"/>
  <c r="I249" i="38"/>
  <c r="K248" i="38"/>
  <c r="G248" i="38"/>
  <c r="I247" i="38"/>
  <c r="K246" i="38"/>
  <c r="G246" i="38"/>
  <c r="I245" i="38"/>
  <c r="K244" i="38"/>
  <c r="G244" i="38"/>
  <c r="I243" i="38"/>
  <c r="K242" i="38"/>
  <c r="G242" i="38"/>
  <c r="I241" i="38"/>
  <c r="K240" i="38"/>
  <c r="G240" i="38"/>
  <c r="I239" i="38"/>
  <c r="K238" i="38"/>
  <c r="G238" i="38"/>
  <c r="I237" i="38"/>
  <c r="K236" i="38"/>
  <c r="G236" i="38"/>
  <c r="I235" i="38"/>
  <c r="K234" i="38"/>
  <c r="G234" i="38"/>
  <c r="I233" i="38"/>
  <c r="K232" i="38"/>
  <c r="G232" i="38"/>
  <c r="I231" i="38"/>
  <c r="K230" i="38"/>
  <c r="G230" i="38"/>
  <c r="I229" i="38"/>
  <c r="K228" i="38"/>
  <c r="G228" i="38"/>
  <c r="I227" i="38"/>
  <c r="K226" i="38"/>
  <c r="G226" i="38"/>
  <c r="I225" i="38"/>
  <c r="K224" i="38"/>
  <c r="G224" i="38"/>
  <c r="I223" i="38"/>
  <c r="K222" i="38"/>
  <c r="G222" i="38"/>
  <c r="I221" i="38"/>
  <c r="K220" i="38"/>
  <c r="G220" i="38"/>
  <c r="I219" i="38"/>
  <c r="K218" i="38"/>
  <c r="G218" i="38"/>
  <c r="I217" i="38"/>
  <c r="K216" i="38"/>
  <c r="G216" i="38"/>
  <c r="I215" i="38"/>
  <c r="K214" i="38"/>
  <c r="G214" i="38"/>
  <c r="I213" i="38"/>
  <c r="K212" i="38"/>
  <c r="G212" i="38"/>
  <c r="I211" i="38"/>
  <c r="K210" i="38"/>
  <c r="J294" i="38"/>
  <c r="F294" i="38"/>
  <c r="H293" i="38"/>
  <c r="J292" i="38"/>
  <c r="F292" i="38"/>
  <c r="H291" i="38"/>
  <c r="J290" i="38"/>
  <c r="F290" i="38"/>
  <c r="H289" i="38"/>
  <c r="J288" i="38"/>
  <c r="F288" i="38"/>
  <c r="H287" i="38"/>
  <c r="J286" i="38"/>
  <c r="F286" i="38"/>
  <c r="H285" i="38"/>
  <c r="J284" i="38"/>
  <c r="F284" i="38"/>
  <c r="H283" i="38"/>
  <c r="J282" i="38"/>
  <c r="F282" i="38"/>
  <c r="H281" i="38"/>
  <c r="J280" i="38"/>
  <c r="F280" i="38"/>
  <c r="H279" i="38"/>
  <c r="J278" i="38"/>
  <c r="F278" i="38"/>
  <c r="H277" i="38"/>
  <c r="J276" i="38"/>
  <c r="F276" i="38"/>
  <c r="H275" i="38"/>
  <c r="J274" i="38"/>
  <c r="F274" i="38"/>
  <c r="H273" i="38"/>
  <c r="J272" i="38"/>
  <c r="F272" i="38"/>
  <c r="H271" i="38"/>
  <c r="J270" i="38"/>
  <c r="F270" i="38"/>
  <c r="H269" i="38"/>
  <c r="J268" i="38"/>
  <c r="F268" i="38"/>
  <c r="H267" i="38"/>
  <c r="J266" i="38"/>
  <c r="F266" i="38"/>
  <c r="H265" i="38"/>
  <c r="J264" i="38"/>
  <c r="F264" i="38"/>
  <c r="H263" i="38"/>
  <c r="J262" i="38"/>
  <c r="F262" i="38"/>
  <c r="H261" i="38"/>
  <c r="J260" i="38"/>
  <c r="F260" i="38"/>
  <c r="H259" i="38"/>
  <c r="J258" i="38"/>
  <c r="F258" i="38"/>
  <c r="H257" i="38"/>
  <c r="J256" i="38"/>
  <c r="F256" i="38"/>
  <c r="H255" i="38"/>
  <c r="J254" i="38"/>
  <c r="F254" i="38"/>
  <c r="H253" i="38"/>
  <c r="J252" i="38"/>
  <c r="F252" i="38"/>
  <c r="H251" i="38"/>
  <c r="J250" i="38"/>
  <c r="F250" i="38"/>
  <c r="H249" i="38"/>
  <c r="J248" i="38"/>
  <c r="F248" i="38"/>
  <c r="H247" i="38"/>
  <c r="J246" i="38"/>
  <c r="F246" i="38"/>
  <c r="H245" i="38"/>
  <c r="J244" i="38"/>
  <c r="F244" i="38"/>
  <c r="H243" i="38"/>
  <c r="J242" i="38"/>
  <c r="F242" i="38"/>
  <c r="H241" i="38"/>
  <c r="J240" i="38"/>
  <c r="F240" i="38"/>
  <c r="H239" i="38"/>
  <c r="J238" i="38"/>
  <c r="F238" i="38"/>
  <c r="H237" i="38"/>
  <c r="J236" i="38"/>
  <c r="F236" i="38"/>
  <c r="H235" i="38"/>
  <c r="J234" i="38"/>
  <c r="F234" i="38"/>
  <c r="H233" i="38"/>
  <c r="J232" i="38"/>
  <c r="F232" i="38"/>
  <c r="H231" i="38"/>
  <c r="J230" i="38"/>
  <c r="F230" i="38"/>
  <c r="H229" i="38"/>
  <c r="J228" i="38"/>
  <c r="F228" i="38"/>
  <c r="H227" i="38"/>
  <c r="J226" i="38"/>
  <c r="F226" i="38"/>
  <c r="H225" i="38"/>
  <c r="J224" i="38"/>
  <c r="F224" i="38"/>
  <c r="H223" i="38"/>
  <c r="J222" i="38"/>
  <c r="F222" i="38"/>
  <c r="H221" i="38"/>
  <c r="J220" i="38"/>
  <c r="F220" i="38"/>
  <c r="H219" i="38"/>
  <c r="J218" i="38"/>
  <c r="F218" i="38"/>
  <c r="H217" i="38"/>
  <c r="J216" i="38"/>
  <c r="F216" i="38"/>
  <c r="H215" i="38"/>
  <c r="J214" i="38"/>
  <c r="F214" i="38"/>
  <c r="H213" i="38"/>
  <c r="J212" i="38"/>
  <c r="F212" i="38"/>
  <c r="H211" i="38"/>
  <c r="J210" i="38"/>
  <c r="H210" i="38"/>
  <c r="J209" i="38"/>
  <c r="F209" i="38"/>
  <c r="H208" i="38"/>
  <c r="J207" i="38"/>
  <c r="F207" i="38"/>
  <c r="H206" i="38"/>
  <c r="J205" i="38"/>
  <c r="F205" i="38"/>
  <c r="H204" i="38"/>
  <c r="J203" i="38"/>
  <c r="F203" i="38"/>
  <c r="H202" i="38"/>
  <c r="J201" i="38"/>
  <c r="F201" i="38"/>
  <c r="H200" i="38"/>
  <c r="J199" i="38"/>
  <c r="F199" i="38"/>
  <c r="H198" i="38"/>
  <c r="J197" i="38"/>
  <c r="F197" i="38"/>
  <c r="H196" i="38"/>
  <c r="J195" i="38"/>
  <c r="F195" i="38"/>
  <c r="H194" i="38"/>
  <c r="J193" i="38"/>
  <c r="F193" i="38"/>
  <c r="H192" i="38"/>
  <c r="J191" i="38"/>
  <c r="F191" i="38"/>
  <c r="H190" i="38"/>
  <c r="J189" i="38"/>
  <c r="F189" i="38"/>
  <c r="H188" i="38"/>
  <c r="J187" i="38"/>
  <c r="F187" i="38"/>
  <c r="H186" i="38"/>
  <c r="J185" i="38"/>
  <c r="F185" i="38"/>
  <c r="H184" i="38"/>
  <c r="J183" i="38"/>
  <c r="F183" i="38"/>
  <c r="H182" i="38"/>
  <c r="J181" i="38"/>
  <c r="F181" i="38"/>
  <c r="H180" i="38"/>
  <c r="J179" i="38"/>
  <c r="F179" i="38"/>
  <c r="H178" i="38"/>
  <c r="J177" i="38"/>
  <c r="F177" i="38"/>
  <c r="H176" i="38"/>
  <c r="J175" i="38"/>
  <c r="F175" i="38"/>
  <c r="H174" i="38"/>
  <c r="J173" i="38"/>
  <c r="F173" i="38"/>
  <c r="H172" i="38"/>
  <c r="J171" i="38"/>
  <c r="F171" i="38"/>
  <c r="H170" i="38"/>
  <c r="J169" i="38"/>
  <c r="F169" i="38"/>
  <c r="H168" i="38"/>
  <c r="J167" i="38"/>
  <c r="F167" i="38"/>
  <c r="H166" i="38"/>
  <c r="J165" i="38"/>
  <c r="F165" i="38"/>
  <c r="H164" i="38"/>
  <c r="J163" i="38"/>
  <c r="F163" i="38"/>
  <c r="H162" i="38"/>
  <c r="J161" i="38"/>
  <c r="F161" i="38"/>
  <c r="H160" i="38"/>
  <c r="J159" i="38"/>
  <c r="F159" i="38"/>
  <c r="H158" i="38"/>
  <c r="J157" i="38"/>
  <c r="F157" i="38"/>
  <c r="H156" i="38"/>
  <c r="J155" i="38"/>
  <c r="F155" i="38"/>
  <c r="H154" i="38"/>
  <c r="J153" i="38"/>
  <c r="F153" i="38"/>
  <c r="H152" i="38"/>
  <c r="J151" i="38"/>
  <c r="F151" i="38"/>
  <c r="H150" i="38"/>
  <c r="J149" i="38"/>
  <c r="F149" i="38"/>
  <c r="H148" i="38"/>
  <c r="J147" i="38"/>
  <c r="F147" i="38"/>
  <c r="H146" i="38"/>
  <c r="J145" i="38"/>
  <c r="F145" i="38"/>
  <c r="H144" i="38"/>
  <c r="J143" i="38"/>
  <c r="F143" i="38"/>
  <c r="H142" i="38"/>
  <c r="J141" i="38"/>
  <c r="F141" i="38"/>
  <c r="H140" i="38"/>
  <c r="J139" i="38"/>
  <c r="F139" i="38"/>
  <c r="H138" i="38"/>
  <c r="J137" i="38"/>
  <c r="F137" i="38"/>
  <c r="H136" i="38"/>
  <c r="J135" i="38"/>
  <c r="F135" i="38"/>
  <c r="H134" i="38"/>
  <c r="J133" i="38"/>
  <c r="F133" i="38"/>
  <c r="H132" i="38"/>
  <c r="J131" i="38"/>
  <c r="F131" i="38"/>
  <c r="H130" i="38"/>
  <c r="J129" i="38"/>
  <c r="F129" i="38"/>
  <c r="H128" i="38"/>
  <c r="J127" i="38"/>
  <c r="F127" i="38"/>
  <c r="H126" i="38"/>
  <c r="J125" i="38"/>
  <c r="G210" i="38"/>
  <c r="I209" i="38"/>
  <c r="K208" i="38"/>
  <c r="G208" i="38"/>
  <c r="I207" i="38"/>
  <c r="K206" i="38"/>
  <c r="G206" i="38"/>
  <c r="I205" i="38"/>
  <c r="K204" i="38"/>
  <c r="G204" i="38"/>
  <c r="I203" i="38"/>
  <c r="K202" i="38"/>
  <c r="G202" i="38"/>
  <c r="I201" i="38"/>
  <c r="K200" i="38"/>
  <c r="G200" i="38"/>
  <c r="I199" i="38"/>
  <c r="K198" i="38"/>
  <c r="G198" i="38"/>
  <c r="I197" i="38"/>
  <c r="K196" i="38"/>
  <c r="G196" i="38"/>
  <c r="I195" i="38"/>
  <c r="K194" i="38"/>
  <c r="G194" i="38"/>
  <c r="I193" i="38"/>
  <c r="K192" i="38"/>
  <c r="G192" i="38"/>
  <c r="I191" i="38"/>
  <c r="K190" i="38"/>
  <c r="G190" i="38"/>
  <c r="I189" i="38"/>
  <c r="K188" i="38"/>
  <c r="G188" i="38"/>
  <c r="I187" i="38"/>
  <c r="K186" i="38"/>
  <c r="G186" i="38"/>
  <c r="I185" i="38"/>
  <c r="K184" i="38"/>
  <c r="G184" i="38"/>
  <c r="I183" i="38"/>
  <c r="K182" i="38"/>
  <c r="G182" i="38"/>
  <c r="I181" i="38"/>
  <c r="K180" i="38"/>
  <c r="G180" i="38"/>
  <c r="I179" i="38"/>
  <c r="K178" i="38"/>
  <c r="G178" i="38"/>
  <c r="I177" i="38"/>
  <c r="K176" i="38"/>
  <c r="G176" i="38"/>
  <c r="I175" i="38"/>
  <c r="K174" i="38"/>
  <c r="G174" i="38"/>
  <c r="I173" i="38"/>
  <c r="K172" i="38"/>
  <c r="G172" i="38"/>
  <c r="I171" i="38"/>
  <c r="K170" i="38"/>
  <c r="G170" i="38"/>
  <c r="I169" i="38"/>
  <c r="K168" i="38"/>
  <c r="G168" i="38"/>
  <c r="I167" i="38"/>
  <c r="K166" i="38"/>
  <c r="G166" i="38"/>
  <c r="I165" i="38"/>
  <c r="K164" i="38"/>
  <c r="G164" i="38"/>
  <c r="I163" i="38"/>
  <c r="K162" i="38"/>
  <c r="G162" i="38"/>
  <c r="I161" i="38"/>
  <c r="K160" i="38"/>
  <c r="G160" i="38"/>
  <c r="I159" i="38"/>
  <c r="K158" i="38"/>
  <c r="G158" i="38"/>
  <c r="I157" i="38"/>
  <c r="K156" i="38"/>
  <c r="G156" i="38"/>
  <c r="I155" i="38"/>
  <c r="K154" i="38"/>
  <c r="G154" i="38"/>
  <c r="I153" i="38"/>
  <c r="K152" i="38"/>
  <c r="G152" i="38"/>
  <c r="I151" i="38"/>
  <c r="K150" i="38"/>
  <c r="G150" i="38"/>
  <c r="I149" i="38"/>
  <c r="K148" i="38"/>
  <c r="G148" i="38"/>
  <c r="I147" i="38"/>
  <c r="K146" i="38"/>
  <c r="G146" i="38"/>
  <c r="I145" i="38"/>
  <c r="K144" i="38"/>
  <c r="G144" i="38"/>
  <c r="I143" i="38"/>
  <c r="K142" i="38"/>
  <c r="G142" i="38"/>
  <c r="I141" i="38"/>
  <c r="K140" i="38"/>
  <c r="G140" i="38"/>
  <c r="I139" i="38"/>
  <c r="K138" i="38"/>
  <c r="G138" i="38"/>
  <c r="I137" i="38"/>
  <c r="K136" i="38"/>
  <c r="G136" i="38"/>
  <c r="I135" i="38"/>
  <c r="K134" i="38"/>
  <c r="G134" i="38"/>
  <c r="I133" i="38"/>
  <c r="K132" i="38"/>
  <c r="G132" i="38"/>
  <c r="I131" i="38"/>
  <c r="K130" i="38"/>
  <c r="G130" i="38"/>
  <c r="I129" i="38"/>
  <c r="K128" i="38"/>
  <c r="G128" i="38"/>
  <c r="I127" i="38"/>
  <c r="K126" i="38"/>
  <c r="G126" i="38"/>
  <c r="I125" i="38"/>
  <c r="F210" i="38"/>
  <c r="H209" i="38"/>
  <c r="J208" i="38"/>
  <c r="F208" i="38"/>
  <c r="H207" i="38"/>
  <c r="J206" i="38"/>
  <c r="F206" i="38"/>
  <c r="H205" i="38"/>
  <c r="J204" i="38"/>
  <c r="F204" i="38"/>
  <c r="H203" i="38"/>
  <c r="J202" i="38"/>
  <c r="F202" i="38"/>
  <c r="H201" i="38"/>
  <c r="J200" i="38"/>
  <c r="F200" i="38"/>
  <c r="H199" i="38"/>
  <c r="J198" i="38"/>
  <c r="F198" i="38"/>
  <c r="H197" i="38"/>
  <c r="J196" i="38"/>
  <c r="F196" i="38"/>
  <c r="H195" i="38"/>
  <c r="J194" i="38"/>
  <c r="F194" i="38"/>
  <c r="H193" i="38"/>
  <c r="J192" i="38"/>
  <c r="F192" i="38"/>
  <c r="H191" i="38"/>
  <c r="J190" i="38"/>
  <c r="F190" i="38"/>
  <c r="H189" i="38"/>
  <c r="J188" i="38"/>
  <c r="F188" i="38"/>
  <c r="H187" i="38"/>
  <c r="J186" i="38"/>
  <c r="F186" i="38"/>
  <c r="H185" i="38"/>
  <c r="J184" i="38"/>
  <c r="F184" i="38"/>
  <c r="H183" i="38"/>
  <c r="J182" i="38"/>
  <c r="F182" i="38"/>
  <c r="H181" i="38"/>
  <c r="J180" i="38"/>
  <c r="F180" i="38"/>
  <c r="H179" i="38"/>
  <c r="J178" i="38"/>
  <c r="F178" i="38"/>
  <c r="H177" i="38"/>
  <c r="J176" i="38"/>
  <c r="F176" i="38"/>
  <c r="H175" i="38"/>
  <c r="J174" i="38"/>
  <c r="F174" i="38"/>
  <c r="H173" i="38"/>
  <c r="J172" i="38"/>
  <c r="F172" i="38"/>
  <c r="H171" i="38"/>
  <c r="J170" i="38"/>
  <c r="F170" i="38"/>
  <c r="H169" i="38"/>
  <c r="J168" i="38"/>
  <c r="F168" i="38"/>
  <c r="H167" i="38"/>
  <c r="J166" i="38"/>
  <c r="F166" i="38"/>
  <c r="H165" i="38"/>
  <c r="J164" i="38"/>
  <c r="F164" i="38"/>
  <c r="H163" i="38"/>
  <c r="J162" i="38"/>
  <c r="F162" i="38"/>
  <c r="H161" i="38"/>
  <c r="J160" i="38"/>
  <c r="F160" i="38"/>
  <c r="H159" i="38"/>
  <c r="J158" i="38"/>
  <c r="F158" i="38"/>
  <c r="H157" i="38"/>
  <c r="J156" i="38"/>
  <c r="F156" i="38"/>
  <c r="H155" i="38"/>
  <c r="J154" i="38"/>
  <c r="F154" i="38"/>
  <c r="H153" i="38"/>
  <c r="J152" i="38"/>
  <c r="F152" i="38"/>
  <c r="H151" i="38"/>
  <c r="J150" i="38"/>
  <c r="F150" i="38"/>
  <c r="H149" i="38"/>
  <c r="J148" i="38"/>
  <c r="F148" i="38"/>
  <c r="H147" i="38"/>
  <c r="J146" i="38"/>
  <c r="F146" i="38"/>
  <c r="H145" i="38"/>
  <c r="J144" i="38"/>
  <c r="F144" i="38"/>
  <c r="H143" i="38"/>
  <c r="J142" i="38"/>
  <c r="F142" i="38"/>
  <c r="H141" i="38"/>
  <c r="J140" i="38"/>
  <c r="F140" i="38"/>
  <c r="H139" i="38"/>
  <c r="J138" i="38"/>
  <c r="F138" i="38"/>
  <c r="H137" i="38"/>
  <c r="J136" i="38"/>
  <c r="F136" i="38"/>
  <c r="H135" i="38"/>
  <c r="J134" i="38"/>
  <c r="F134" i="38"/>
  <c r="H133" i="38"/>
  <c r="J132" i="38"/>
  <c r="F132" i="38"/>
  <c r="H131" i="38"/>
  <c r="J130" i="38"/>
  <c r="F130" i="38"/>
  <c r="H129" i="38"/>
  <c r="J128" i="38"/>
  <c r="F128" i="38"/>
  <c r="H127" i="38"/>
  <c r="J126" i="38"/>
  <c r="F126" i="38"/>
  <c r="K209" i="38"/>
  <c r="G209" i="38"/>
  <c r="I208" i="38"/>
  <c r="K207" i="38"/>
  <c r="G207" i="38"/>
  <c r="I206" i="38"/>
  <c r="K205" i="38"/>
  <c r="G205" i="38"/>
  <c r="I204" i="38"/>
  <c r="K203" i="38"/>
  <c r="G203" i="38"/>
  <c r="I202" i="38"/>
  <c r="K201" i="38"/>
  <c r="G201" i="38"/>
  <c r="I200" i="38"/>
  <c r="K199" i="38"/>
  <c r="G199" i="38"/>
  <c r="I198" i="38"/>
  <c r="K197" i="38"/>
  <c r="G197" i="38"/>
  <c r="I196" i="38"/>
  <c r="K195" i="38"/>
  <c r="G195" i="38"/>
  <c r="I194" i="38"/>
  <c r="K193" i="38"/>
  <c r="G193" i="38"/>
  <c r="I192" i="38"/>
  <c r="K191" i="38"/>
  <c r="G191" i="38"/>
  <c r="I190" i="38"/>
  <c r="K189" i="38"/>
  <c r="G189" i="38"/>
  <c r="I188" i="38"/>
  <c r="K187" i="38"/>
  <c r="G187" i="38"/>
  <c r="I186" i="38"/>
  <c r="K185" i="38"/>
  <c r="G185" i="38"/>
  <c r="I184" i="38"/>
  <c r="K183" i="38"/>
  <c r="G183" i="38"/>
  <c r="I182" i="38"/>
  <c r="K181" i="38"/>
  <c r="G181" i="38"/>
  <c r="I180" i="38"/>
  <c r="K179" i="38"/>
  <c r="G179" i="38"/>
  <c r="I178" i="38"/>
  <c r="K177" i="38"/>
  <c r="G177" i="38"/>
  <c r="I176" i="38"/>
  <c r="K175" i="38"/>
  <c r="G175" i="38"/>
  <c r="I174" i="38"/>
  <c r="K173" i="38"/>
  <c r="G173" i="38"/>
  <c r="I172" i="38"/>
  <c r="K171" i="38"/>
  <c r="G171" i="38"/>
  <c r="I170" i="38"/>
  <c r="K169" i="38"/>
  <c r="G169" i="38"/>
  <c r="I168" i="38"/>
  <c r="K167" i="38"/>
  <c r="G167" i="38"/>
  <c r="I166" i="38"/>
  <c r="K165" i="38"/>
  <c r="G165" i="38"/>
  <c r="I164" i="38"/>
  <c r="K163" i="38"/>
  <c r="G163" i="38"/>
  <c r="I162" i="38"/>
  <c r="K161" i="38"/>
  <c r="G161" i="38"/>
  <c r="I160" i="38"/>
  <c r="K159" i="38"/>
  <c r="G159" i="38"/>
  <c r="I158" i="38"/>
  <c r="K157" i="38"/>
  <c r="G157" i="38"/>
  <c r="I156" i="38"/>
  <c r="K155" i="38"/>
  <c r="G155" i="38"/>
  <c r="I154" i="38"/>
  <c r="K153" i="38"/>
  <c r="G153" i="38"/>
  <c r="I152" i="38"/>
  <c r="K151" i="38"/>
  <c r="G151" i="38"/>
  <c r="I150" i="38"/>
  <c r="K149" i="38"/>
  <c r="G149" i="38"/>
  <c r="I148" i="38"/>
  <c r="K147" i="38"/>
  <c r="G147" i="38"/>
  <c r="I146" i="38"/>
  <c r="K145" i="38"/>
  <c r="G145" i="38"/>
  <c r="I144" i="38"/>
  <c r="K143" i="38"/>
  <c r="G143" i="38"/>
  <c r="I142" i="38"/>
  <c r="K141" i="38"/>
  <c r="G141" i="38"/>
  <c r="I140" i="38"/>
  <c r="K139" i="38"/>
  <c r="G139" i="38"/>
  <c r="I138" i="38"/>
  <c r="K137" i="38"/>
  <c r="G137" i="38"/>
  <c r="I136" i="38"/>
  <c r="K135" i="38"/>
  <c r="G135" i="38"/>
  <c r="I134" i="38"/>
  <c r="K133" i="38"/>
  <c r="G133" i="38"/>
  <c r="I132" i="38"/>
  <c r="K131" i="38"/>
  <c r="G131" i="38"/>
  <c r="I130" i="38"/>
  <c r="K129" i="38"/>
  <c r="G129" i="38"/>
  <c r="I128" i="38"/>
  <c r="K127" i="38"/>
  <c r="G127" i="38"/>
  <c r="I126" i="38"/>
  <c r="K125" i="38"/>
  <c r="H125" i="38"/>
  <c r="J124" i="38"/>
  <c r="F124" i="38"/>
  <c r="H123" i="38"/>
  <c r="J122" i="38"/>
  <c r="F122" i="38"/>
  <c r="H121" i="38"/>
  <c r="J120" i="38"/>
  <c r="F120" i="38"/>
  <c r="H119" i="38"/>
  <c r="J118" i="38"/>
  <c r="F118" i="38"/>
  <c r="H117" i="38"/>
  <c r="J116" i="38"/>
  <c r="F116" i="38"/>
  <c r="H115" i="38"/>
  <c r="J114" i="38"/>
  <c r="F114" i="38"/>
  <c r="H113" i="38"/>
  <c r="J112" i="38"/>
  <c r="F112" i="38"/>
  <c r="H111" i="38"/>
  <c r="J110" i="38"/>
  <c r="F110" i="38"/>
  <c r="H109" i="38"/>
  <c r="J108" i="38"/>
  <c r="F108" i="38"/>
  <c r="H107" i="38"/>
  <c r="J106" i="38"/>
  <c r="F106" i="38"/>
  <c r="H105" i="38"/>
  <c r="J104" i="38"/>
  <c r="F104" i="38"/>
  <c r="H103" i="38"/>
  <c r="J102" i="38"/>
  <c r="F102" i="38"/>
  <c r="H101" i="38"/>
  <c r="J100" i="38"/>
  <c r="F100" i="38"/>
  <c r="H99" i="38"/>
  <c r="J98" i="38"/>
  <c r="F98" i="38"/>
  <c r="H97" i="38"/>
  <c r="J96" i="38"/>
  <c r="F96" i="38"/>
  <c r="H95" i="38"/>
  <c r="J94" i="38"/>
  <c r="F94" i="38"/>
  <c r="H93" i="38"/>
  <c r="J92" i="38"/>
  <c r="F92" i="38"/>
  <c r="H91" i="38"/>
  <c r="J90" i="38"/>
  <c r="F90" i="38"/>
  <c r="H89" i="38"/>
  <c r="J88" i="38"/>
  <c r="F88" i="38"/>
  <c r="H87" i="38"/>
  <c r="J86" i="38"/>
  <c r="F86" i="38"/>
  <c r="H85" i="38"/>
  <c r="J84" i="38"/>
  <c r="F84" i="38"/>
  <c r="H83" i="38"/>
  <c r="J82" i="38"/>
  <c r="F82" i="38"/>
  <c r="H81" i="38"/>
  <c r="J80" i="38"/>
  <c r="F80" i="38"/>
  <c r="H79" i="38"/>
  <c r="J78" i="38"/>
  <c r="F78" i="38"/>
  <c r="H77" i="38"/>
  <c r="J76" i="38"/>
  <c r="F76" i="38"/>
  <c r="H75" i="38"/>
  <c r="J74" i="38"/>
  <c r="F74" i="38"/>
  <c r="H73" i="38"/>
  <c r="J72" i="38"/>
  <c r="F72" i="38"/>
  <c r="H71" i="38"/>
  <c r="J70" i="38"/>
  <c r="F70" i="38"/>
  <c r="H69" i="38"/>
  <c r="J68" i="38"/>
  <c r="F68" i="38"/>
  <c r="H67" i="38"/>
  <c r="H66" i="38"/>
  <c r="H65" i="38"/>
  <c r="H64" i="38"/>
  <c r="H63" i="38"/>
  <c r="H62" i="38"/>
  <c r="H61" i="38"/>
  <c r="H60" i="38"/>
  <c r="H59" i="38"/>
  <c r="H58" i="38"/>
  <c r="H57" i="38"/>
  <c r="H56" i="38"/>
  <c r="H55" i="38"/>
  <c r="H54" i="38"/>
  <c r="H53" i="38"/>
  <c r="H52" i="38"/>
  <c r="H51" i="38"/>
  <c r="H50" i="38"/>
  <c r="H49" i="38"/>
  <c r="H48" i="38"/>
  <c r="H47" i="38"/>
  <c r="H46" i="38"/>
  <c r="H45" i="38"/>
  <c r="H44" i="38"/>
  <c r="H43" i="38"/>
  <c r="H42" i="38"/>
  <c r="H41" i="38"/>
  <c r="H40" i="38"/>
  <c r="H39" i="38"/>
  <c r="H38" i="38"/>
  <c r="H37" i="38"/>
  <c r="H36" i="38"/>
  <c r="H35" i="38"/>
  <c r="H34" i="38"/>
  <c r="H33" i="38"/>
  <c r="H32" i="38"/>
  <c r="H31" i="38"/>
  <c r="H30" i="38"/>
  <c r="H29" i="38"/>
  <c r="H28" i="38"/>
  <c r="H27" i="38"/>
  <c r="H26" i="38"/>
  <c r="G125" i="38"/>
  <c r="I124" i="38"/>
  <c r="K123" i="38"/>
  <c r="G123" i="38"/>
  <c r="I122" i="38"/>
  <c r="K121" i="38"/>
  <c r="G121" i="38"/>
  <c r="I120" i="38"/>
  <c r="K119" i="38"/>
  <c r="G119" i="38"/>
  <c r="I118" i="38"/>
  <c r="K117" i="38"/>
  <c r="G117" i="38"/>
  <c r="I116" i="38"/>
  <c r="K115" i="38"/>
  <c r="G115" i="38"/>
  <c r="I114" i="38"/>
  <c r="K113" i="38"/>
  <c r="G113" i="38"/>
  <c r="I112" i="38"/>
  <c r="K111" i="38"/>
  <c r="G111" i="38"/>
  <c r="I110" i="38"/>
  <c r="K109" i="38"/>
  <c r="G109" i="38"/>
  <c r="I108" i="38"/>
  <c r="K107" i="38"/>
  <c r="G107" i="38"/>
  <c r="I106" i="38"/>
  <c r="K105" i="38"/>
  <c r="G105" i="38"/>
  <c r="I104" i="38"/>
  <c r="K103" i="38"/>
  <c r="G103" i="38"/>
  <c r="I102" i="38"/>
  <c r="K101" i="38"/>
  <c r="G101" i="38"/>
  <c r="I100" i="38"/>
  <c r="K99" i="38"/>
  <c r="G99" i="38"/>
  <c r="I98" i="38"/>
  <c r="K97" i="38"/>
  <c r="G97" i="38"/>
  <c r="I96" i="38"/>
  <c r="K95" i="38"/>
  <c r="G95" i="38"/>
  <c r="I94" i="38"/>
  <c r="K93" i="38"/>
  <c r="G93" i="38"/>
  <c r="I92" i="38"/>
  <c r="K91" i="38"/>
  <c r="G91" i="38"/>
  <c r="I90" i="38"/>
  <c r="K89" i="38"/>
  <c r="G89" i="38"/>
  <c r="I88" i="38"/>
  <c r="K87" i="38"/>
  <c r="G87" i="38"/>
  <c r="I86" i="38"/>
  <c r="K85" i="38"/>
  <c r="G85" i="38"/>
  <c r="I84" i="38"/>
  <c r="K83" i="38"/>
  <c r="G83" i="38"/>
  <c r="I82" i="38"/>
  <c r="K81" i="38"/>
  <c r="G81" i="38"/>
  <c r="I80" i="38"/>
  <c r="K79" i="38"/>
  <c r="G79" i="38"/>
  <c r="I78" i="38"/>
  <c r="K77" i="38"/>
  <c r="G77" i="38"/>
  <c r="I76" i="38"/>
  <c r="K75" i="38"/>
  <c r="G75" i="38"/>
  <c r="I74" i="38"/>
  <c r="K73" i="38"/>
  <c r="G73" i="38"/>
  <c r="I72" i="38"/>
  <c r="K71" i="38"/>
  <c r="G71" i="38"/>
  <c r="I70" i="38"/>
  <c r="K69" i="38"/>
  <c r="G69" i="38"/>
  <c r="I68" i="38"/>
  <c r="K67" i="38"/>
  <c r="K66" i="38"/>
  <c r="K65" i="38"/>
  <c r="K64" i="38"/>
  <c r="K63" i="38"/>
  <c r="K62" i="38"/>
  <c r="K61" i="38"/>
  <c r="K60" i="38"/>
  <c r="K59" i="38"/>
  <c r="K58" i="38"/>
  <c r="K57" i="38"/>
  <c r="K56" i="38"/>
  <c r="K55" i="38"/>
  <c r="K54" i="38"/>
  <c r="K53" i="38"/>
  <c r="K52" i="38"/>
  <c r="K51" i="38"/>
  <c r="K50" i="38"/>
  <c r="K49" i="38"/>
  <c r="K48" i="38"/>
  <c r="K47" i="38"/>
  <c r="K46" i="38"/>
  <c r="K45" i="38"/>
  <c r="K44" i="38"/>
  <c r="K43" i="38"/>
  <c r="K42" i="38"/>
  <c r="K41" i="38"/>
  <c r="K40" i="38"/>
  <c r="K39" i="38"/>
  <c r="K38" i="38"/>
  <c r="K37" i="38"/>
  <c r="K36" i="38"/>
  <c r="K35" i="38"/>
  <c r="K34" i="38"/>
  <c r="K33" i="38"/>
  <c r="K32" i="38"/>
  <c r="K31" i="38"/>
  <c r="K30" i="38"/>
  <c r="K29" i="38"/>
  <c r="K28" i="38"/>
  <c r="K27" i="38"/>
  <c r="K26" i="38"/>
  <c r="F125" i="38"/>
  <c r="H124" i="38"/>
  <c r="J123" i="38"/>
  <c r="F123" i="38"/>
  <c r="H122" i="38"/>
  <c r="J121" i="38"/>
  <c r="F121" i="38"/>
  <c r="H120" i="38"/>
  <c r="J119" i="38"/>
  <c r="F119" i="38"/>
  <c r="H118" i="38"/>
  <c r="J117" i="38"/>
  <c r="F117" i="38"/>
  <c r="H116" i="38"/>
  <c r="J115" i="38"/>
  <c r="F115" i="38"/>
  <c r="H114" i="38"/>
  <c r="J113" i="38"/>
  <c r="F113" i="38"/>
  <c r="H112" i="38"/>
  <c r="J111" i="38"/>
  <c r="F111" i="38"/>
  <c r="H110" i="38"/>
  <c r="J109" i="38"/>
  <c r="F109" i="38"/>
  <c r="H108" i="38"/>
  <c r="J107" i="38"/>
  <c r="F107" i="38"/>
  <c r="H106" i="38"/>
  <c r="J105" i="38"/>
  <c r="F105" i="38"/>
  <c r="H104" i="38"/>
  <c r="J103" i="38"/>
  <c r="F103" i="38"/>
  <c r="H102" i="38"/>
  <c r="J101" i="38"/>
  <c r="F101" i="38"/>
  <c r="H100" i="38"/>
  <c r="J99" i="38"/>
  <c r="F99" i="38"/>
  <c r="H98" i="38"/>
  <c r="J97" i="38"/>
  <c r="F97" i="38"/>
  <c r="H96" i="38"/>
  <c r="J95" i="38"/>
  <c r="F95" i="38"/>
  <c r="H94" i="38"/>
  <c r="J93" i="38"/>
  <c r="F93" i="38"/>
  <c r="H92" i="38"/>
  <c r="J91" i="38"/>
  <c r="F91" i="38"/>
  <c r="H90" i="38"/>
  <c r="J89" i="38"/>
  <c r="F89" i="38"/>
  <c r="H88" i="38"/>
  <c r="J87" i="38"/>
  <c r="F87" i="38"/>
  <c r="H86" i="38"/>
  <c r="J85" i="38"/>
  <c r="F85" i="38"/>
  <c r="H84" i="38"/>
  <c r="J83" i="38"/>
  <c r="F83" i="38"/>
  <c r="H82" i="38"/>
  <c r="J81" i="38"/>
  <c r="F81" i="38"/>
  <c r="H80" i="38"/>
  <c r="J79" i="38"/>
  <c r="F79" i="38"/>
  <c r="H78" i="38"/>
  <c r="J77" i="38"/>
  <c r="F77" i="38"/>
  <c r="H76" i="38"/>
  <c r="J75" i="38"/>
  <c r="F75" i="38"/>
  <c r="H74" i="38"/>
  <c r="J73" i="38"/>
  <c r="F73" i="38"/>
  <c r="H72" i="38"/>
  <c r="J71" i="38"/>
  <c r="F71" i="38"/>
  <c r="H70" i="38"/>
  <c r="J69" i="38"/>
  <c r="F69" i="38"/>
  <c r="H68" i="38"/>
  <c r="J67" i="38"/>
  <c r="J66" i="38"/>
  <c r="J65" i="38"/>
  <c r="J64" i="38"/>
  <c r="J63" i="38"/>
  <c r="J62" i="38"/>
  <c r="J61" i="38"/>
  <c r="J60" i="38"/>
  <c r="J59" i="38"/>
  <c r="J58" i="38"/>
  <c r="J57" i="38"/>
  <c r="J56" i="38"/>
  <c r="J55" i="38"/>
  <c r="J54" i="38"/>
  <c r="J53" i="38"/>
  <c r="J52" i="38"/>
  <c r="J51" i="38"/>
  <c r="J50" i="38"/>
  <c r="J49" i="38"/>
  <c r="J48" i="38"/>
  <c r="J47" i="38"/>
  <c r="J46" i="38"/>
  <c r="J45" i="38"/>
  <c r="J44" i="38"/>
  <c r="J43" i="38"/>
  <c r="J42" i="38"/>
  <c r="J41" i="38"/>
  <c r="J40" i="38"/>
  <c r="J39" i="38"/>
  <c r="J38" i="38"/>
  <c r="J37" i="38"/>
  <c r="J36" i="38"/>
  <c r="J35" i="38"/>
  <c r="J34" i="38"/>
  <c r="J33" i="38"/>
  <c r="J32" i="38"/>
  <c r="J31" i="38"/>
  <c r="J30" i="38"/>
  <c r="J29" i="38"/>
  <c r="J28" i="38"/>
  <c r="J27" i="38"/>
  <c r="J26" i="38"/>
  <c r="K124" i="38"/>
  <c r="G124" i="38"/>
  <c r="I123" i="38"/>
  <c r="K122" i="38"/>
  <c r="G122" i="38"/>
  <c r="I121" i="38"/>
  <c r="K120" i="38"/>
  <c r="G120" i="38"/>
  <c r="I119" i="38"/>
  <c r="K118" i="38"/>
  <c r="G118" i="38"/>
  <c r="I117" i="38"/>
  <c r="K116" i="38"/>
  <c r="G116" i="38"/>
  <c r="I115" i="38"/>
  <c r="K114" i="38"/>
  <c r="G114" i="38"/>
  <c r="I113" i="38"/>
  <c r="K112" i="38"/>
  <c r="G112" i="38"/>
  <c r="I111" i="38"/>
  <c r="K110" i="38"/>
  <c r="G110" i="38"/>
  <c r="I109" i="38"/>
  <c r="K108" i="38"/>
  <c r="G108" i="38"/>
  <c r="I107" i="38"/>
  <c r="K106" i="38"/>
  <c r="G106" i="38"/>
  <c r="I105" i="38"/>
  <c r="K104" i="38"/>
  <c r="G104" i="38"/>
  <c r="I103" i="38"/>
  <c r="K102" i="38"/>
  <c r="G102" i="38"/>
  <c r="I101" i="38"/>
  <c r="K100" i="38"/>
  <c r="G100" i="38"/>
  <c r="I99" i="38"/>
  <c r="K98" i="38"/>
  <c r="G98" i="38"/>
  <c r="I97" i="38"/>
  <c r="K96" i="38"/>
  <c r="G96" i="38"/>
  <c r="I95" i="38"/>
  <c r="K94" i="38"/>
  <c r="G94" i="38"/>
  <c r="I93" i="38"/>
  <c r="K92" i="38"/>
  <c r="G92" i="38"/>
  <c r="I91" i="38"/>
  <c r="K90" i="38"/>
  <c r="G90" i="38"/>
  <c r="I89" i="38"/>
  <c r="K88" i="38"/>
  <c r="G88" i="38"/>
  <c r="I87" i="38"/>
  <c r="K86" i="38"/>
  <c r="G86" i="38"/>
  <c r="I85" i="38"/>
  <c r="K84" i="38"/>
  <c r="G84" i="38"/>
  <c r="I83" i="38"/>
  <c r="K82" i="38"/>
  <c r="G82" i="38"/>
  <c r="I81" i="38"/>
  <c r="K80" i="38"/>
  <c r="G80" i="38"/>
  <c r="I79" i="38"/>
  <c r="K78" i="38"/>
  <c r="G78" i="38"/>
  <c r="I77" i="38"/>
  <c r="K76" i="38"/>
  <c r="G76" i="38"/>
  <c r="I75" i="38"/>
  <c r="K74" i="38"/>
  <c r="G74" i="38"/>
  <c r="I73" i="38"/>
  <c r="K72" i="38"/>
  <c r="G72" i="38"/>
  <c r="I71" i="38"/>
  <c r="K70" i="38"/>
  <c r="G70" i="38"/>
  <c r="I69" i="38"/>
  <c r="K68" i="38"/>
  <c r="G68" i="38"/>
  <c r="I67" i="38"/>
  <c r="I66" i="38"/>
  <c r="I65" i="38"/>
  <c r="I64" i="38"/>
  <c r="I63" i="38"/>
  <c r="I62" i="38"/>
  <c r="I61" i="38"/>
  <c r="I60" i="38"/>
  <c r="I59" i="38"/>
  <c r="I58" i="38"/>
  <c r="I57" i="38"/>
  <c r="I56" i="38"/>
  <c r="I55" i="38"/>
  <c r="I54" i="38"/>
  <c r="I53" i="38"/>
  <c r="I52" i="38"/>
  <c r="I51" i="38"/>
  <c r="I50" i="38"/>
  <c r="I49" i="38"/>
  <c r="I48" i="38"/>
  <c r="I47" i="38"/>
  <c r="I46" i="38"/>
  <c r="I45" i="38"/>
  <c r="I44" i="38"/>
  <c r="I43" i="38"/>
  <c r="I42" i="38"/>
  <c r="I41" i="38"/>
  <c r="I40" i="38"/>
  <c r="I39" i="38"/>
  <c r="I38" i="38"/>
  <c r="I37" i="38"/>
  <c r="I36" i="38"/>
  <c r="I35" i="38"/>
  <c r="I34" i="38"/>
  <c r="I33" i="38"/>
  <c r="I32" i="38"/>
  <c r="I31" i="38"/>
  <c r="I30" i="38"/>
  <c r="I29" i="38"/>
  <c r="I28" i="38"/>
  <c r="I27" i="38"/>
  <c r="I26" i="38"/>
  <c r="H25" i="38"/>
  <c r="H24" i="38"/>
  <c r="H23" i="38"/>
  <c r="H22" i="38"/>
  <c r="H21" i="38"/>
  <c r="H20" i="38"/>
  <c r="H19" i="38"/>
  <c r="H18" i="38"/>
  <c r="H17" i="38"/>
  <c r="H16" i="38"/>
  <c r="H15" i="38"/>
  <c r="H14" i="38"/>
  <c r="H13" i="38"/>
  <c r="H12" i="38"/>
  <c r="H11" i="38"/>
  <c r="H10" i="38"/>
  <c r="H9" i="38"/>
  <c r="H8" i="38"/>
  <c r="H7" i="38"/>
  <c r="H6" i="38"/>
  <c r="H5" i="38"/>
  <c r="H4" i="38"/>
  <c r="H3" i="38"/>
  <c r="K25" i="38"/>
  <c r="K24" i="38"/>
  <c r="K23" i="38"/>
  <c r="K22" i="38"/>
  <c r="K21" i="38"/>
  <c r="K20" i="38"/>
  <c r="K19" i="38"/>
  <c r="K18" i="38"/>
  <c r="K17" i="38"/>
  <c r="K16" i="38"/>
  <c r="K15" i="38"/>
  <c r="K14" i="38"/>
  <c r="K13" i="38"/>
  <c r="K12" i="38"/>
  <c r="K11" i="38"/>
  <c r="K10" i="38"/>
  <c r="K9" i="38"/>
  <c r="K8" i="38"/>
  <c r="K7" i="38"/>
  <c r="K6" i="38"/>
  <c r="K5" i="38"/>
  <c r="K4" i="38"/>
  <c r="K3" i="38"/>
  <c r="J25" i="38"/>
  <c r="J24" i="38"/>
  <c r="J23" i="38"/>
  <c r="J22" i="38"/>
  <c r="J21" i="38"/>
  <c r="J20" i="38"/>
  <c r="J19" i="38"/>
  <c r="J18" i="38"/>
  <c r="J17" i="38"/>
  <c r="J16" i="38"/>
  <c r="J15" i="38"/>
  <c r="J14" i="38"/>
  <c r="J13" i="38"/>
  <c r="J12" i="38"/>
  <c r="J11" i="38"/>
  <c r="J10" i="38"/>
  <c r="J9" i="38"/>
  <c r="J8" i="38"/>
  <c r="J7" i="38"/>
  <c r="J6" i="38"/>
  <c r="J5" i="38"/>
  <c r="J4" i="38"/>
  <c r="J3" i="38"/>
  <c r="I25" i="38"/>
  <c r="I24" i="38"/>
  <c r="I23" i="38"/>
  <c r="I22" i="38"/>
  <c r="I21" i="38"/>
  <c r="I20" i="38"/>
  <c r="I19" i="38"/>
  <c r="I18" i="38"/>
  <c r="I17" i="38"/>
  <c r="I16" i="38"/>
  <c r="I15" i="38"/>
  <c r="I14" i="38"/>
  <c r="I13" i="38"/>
  <c r="I12" i="38"/>
  <c r="I11" i="38"/>
  <c r="I10" i="38"/>
  <c r="I9" i="38"/>
  <c r="I8" i="38"/>
  <c r="I7" i="38"/>
  <c r="I6" i="38"/>
  <c r="I5" i="38"/>
  <c r="I4" i="38"/>
  <c r="I3" i="38"/>
  <c r="E21" i="37" l="1"/>
  <c r="E22" i="37"/>
  <c r="E23" i="37"/>
  <c r="E24" i="37"/>
  <c r="G21" i="37"/>
  <c r="G22" i="37"/>
  <c r="G23" i="37"/>
  <c r="G24" i="37"/>
  <c r="F377" i="35"/>
  <c r="F378" i="35"/>
  <c r="F379" i="35"/>
  <c r="I377" i="35"/>
  <c r="I378" i="35"/>
  <c r="I379" i="35"/>
  <c r="F363" i="35"/>
  <c r="F364" i="35"/>
  <c r="F365" i="35"/>
  <c r="F366" i="35"/>
  <c r="F367" i="35"/>
  <c r="F368" i="35"/>
  <c r="F369" i="35"/>
  <c r="F370" i="35"/>
  <c r="F371" i="35"/>
  <c r="F372" i="35"/>
  <c r="F373" i="35"/>
  <c r="F374" i="35"/>
  <c r="F375" i="35"/>
  <c r="F376" i="35"/>
  <c r="I363" i="35"/>
  <c r="I364" i="35"/>
  <c r="I365" i="35"/>
  <c r="I366" i="35"/>
  <c r="I367" i="35"/>
  <c r="I368" i="35"/>
  <c r="I369" i="35"/>
  <c r="I370" i="35"/>
  <c r="I371" i="35"/>
  <c r="I372" i="35"/>
  <c r="I373" i="35"/>
  <c r="I374" i="35"/>
  <c r="I375" i="35"/>
  <c r="I376" i="35"/>
  <c r="A3" i="34" l="1"/>
  <c r="A4" i="34"/>
  <c r="A5" i="34"/>
  <c r="A6" i="34"/>
  <c r="A7" i="34"/>
  <c r="F7" i="34" s="1"/>
  <c r="A8" i="34"/>
  <c r="A9" i="34"/>
  <c r="A10" i="34"/>
  <c r="A11" i="34"/>
  <c r="F11" i="34" s="1"/>
  <c r="A12" i="34"/>
  <c r="A13" i="34"/>
  <c r="A14" i="34"/>
  <c r="A15" i="34"/>
  <c r="F15" i="34" s="1"/>
  <c r="A16" i="34"/>
  <c r="A17" i="34"/>
  <c r="A18" i="34"/>
  <c r="A19" i="34"/>
  <c r="F19" i="34" s="1"/>
  <c r="A20" i="34"/>
  <c r="A21" i="34"/>
  <c r="A22" i="34"/>
  <c r="A23" i="34"/>
  <c r="F23" i="34" s="1"/>
  <c r="A24" i="34"/>
  <c r="A25" i="34"/>
  <c r="A26" i="34"/>
  <c r="A27" i="34"/>
  <c r="F27" i="34" s="1"/>
  <c r="A28" i="34"/>
  <c r="A29" i="34"/>
  <c r="A30" i="34"/>
  <c r="A31" i="34"/>
  <c r="F31" i="34" s="1"/>
  <c r="A32" i="34"/>
  <c r="A33" i="34"/>
  <c r="A34" i="34"/>
  <c r="A35" i="34"/>
  <c r="F35" i="34" s="1"/>
  <c r="A36" i="34"/>
  <c r="A37" i="34"/>
  <c r="A38" i="34"/>
  <c r="A39" i="34"/>
  <c r="F39" i="34" s="1"/>
  <c r="A40" i="34"/>
  <c r="A41" i="34"/>
  <c r="A42" i="34"/>
  <c r="A43" i="34"/>
  <c r="F43" i="34" s="1"/>
  <c r="A44" i="34"/>
  <c r="A45" i="34"/>
  <c r="A46" i="34"/>
  <c r="A47" i="34"/>
  <c r="F47" i="34" s="1"/>
  <c r="A48" i="34"/>
  <c r="A49" i="34"/>
  <c r="A50" i="34"/>
  <c r="A51" i="34"/>
  <c r="F51" i="34" s="1"/>
  <c r="A52" i="34"/>
  <c r="A53" i="34"/>
  <c r="A54" i="34"/>
  <c r="A55" i="34"/>
  <c r="F55" i="34" s="1"/>
  <c r="A56" i="34"/>
  <c r="A57" i="34"/>
  <c r="A58" i="34"/>
  <c r="A59" i="34"/>
  <c r="F59" i="34" s="1"/>
  <c r="A60" i="34"/>
  <c r="A61" i="34"/>
  <c r="A62" i="34"/>
  <c r="A63" i="34"/>
  <c r="F63" i="34" s="1"/>
  <c r="A64" i="34"/>
  <c r="A65" i="34"/>
  <c r="A66" i="34"/>
  <c r="A67" i="34"/>
  <c r="F67" i="34" s="1"/>
  <c r="A68" i="34"/>
  <c r="A69" i="34"/>
  <c r="A70" i="34"/>
  <c r="A71" i="34"/>
  <c r="F71" i="34" s="1"/>
  <c r="A72" i="34"/>
  <c r="A73" i="34"/>
  <c r="A74" i="34"/>
  <c r="A75" i="34"/>
  <c r="F75" i="34" s="1"/>
  <c r="A76" i="34"/>
  <c r="A77" i="34"/>
  <c r="A78" i="34"/>
  <c r="A79" i="34"/>
  <c r="F79" i="34" s="1"/>
  <c r="A80" i="34"/>
  <c r="A81" i="34"/>
  <c r="A82" i="34"/>
  <c r="A83" i="34"/>
  <c r="F83" i="34" s="1"/>
  <c r="A84" i="34"/>
  <c r="A85" i="34"/>
  <c r="A86" i="34"/>
  <c r="A87" i="34"/>
  <c r="F87" i="34" s="1"/>
  <c r="A88" i="34"/>
  <c r="A89" i="34"/>
  <c r="A90" i="34"/>
  <c r="A91" i="34"/>
  <c r="F91" i="34" s="1"/>
  <c r="A92" i="34"/>
  <c r="A93" i="34"/>
  <c r="A94" i="34"/>
  <c r="A95" i="34"/>
  <c r="F95" i="34" s="1"/>
  <c r="A96" i="34"/>
  <c r="A97" i="34"/>
  <c r="A98" i="34"/>
  <c r="A99" i="34"/>
  <c r="F99" i="34" s="1"/>
  <c r="A100" i="34"/>
  <c r="A101" i="34"/>
  <c r="A102" i="34"/>
  <c r="A103" i="34"/>
  <c r="F103" i="34" s="1"/>
  <c r="A104" i="34"/>
  <c r="A105" i="34"/>
  <c r="A106" i="34"/>
  <c r="A107" i="34"/>
  <c r="F107" i="34" s="1"/>
  <c r="A108" i="34"/>
  <c r="A109" i="34"/>
  <c r="A110" i="34"/>
  <c r="A111" i="34"/>
  <c r="F111" i="34" s="1"/>
  <c r="A112" i="34"/>
  <c r="A113" i="34"/>
  <c r="A114" i="34"/>
  <c r="A115" i="34"/>
  <c r="A116" i="34"/>
  <c r="F116" i="34" s="1"/>
  <c r="A117" i="34"/>
  <c r="A118" i="34"/>
  <c r="A119" i="34"/>
  <c r="F119" i="34" s="1"/>
  <c r="A120" i="34"/>
  <c r="A121" i="34"/>
  <c r="A122" i="34"/>
  <c r="A123" i="34"/>
  <c r="A124" i="34"/>
  <c r="A125" i="34"/>
  <c r="A126" i="34"/>
  <c r="A127" i="34"/>
  <c r="A128" i="34"/>
  <c r="A129" i="34"/>
  <c r="A130" i="34"/>
  <c r="A131" i="34"/>
  <c r="A132" i="34"/>
  <c r="A133" i="34"/>
  <c r="A134" i="34"/>
  <c r="A135" i="34"/>
  <c r="F135" i="34" s="1"/>
  <c r="A136" i="34"/>
  <c r="A137" i="34"/>
  <c r="A138" i="34"/>
  <c r="A139" i="34"/>
  <c r="F139" i="34" s="1"/>
  <c r="A140" i="34"/>
  <c r="A141" i="34"/>
  <c r="A142" i="34"/>
  <c r="A143" i="34"/>
  <c r="A144" i="34"/>
  <c r="A145" i="34"/>
  <c r="A146" i="34"/>
  <c r="A147" i="34"/>
  <c r="F147" i="34" s="1"/>
  <c r="A148" i="34"/>
  <c r="A149" i="34"/>
  <c r="A150" i="34"/>
  <c r="A151" i="34"/>
  <c r="A152" i="34"/>
  <c r="A153" i="34"/>
  <c r="A154" i="34"/>
  <c r="A155" i="34"/>
  <c r="F155" i="34" s="1"/>
  <c r="A156" i="34"/>
  <c r="A157" i="34"/>
  <c r="A158" i="34"/>
  <c r="A159" i="34"/>
  <c r="A160" i="34"/>
  <c r="A161" i="34"/>
  <c r="A162" i="34"/>
  <c r="A163" i="34"/>
  <c r="F163" i="34" s="1"/>
  <c r="A164" i="34"/>
  <c r="A165" i="34"/>
  <c r="A166" i="34"/>
  <c r="A167" i="34"/>
  <c r="A168" i="34"/>
  <c r="A169" i="34"/>
  <c r="A170" i="34"/>
  <c r="A171" i="34"/>
  <c r="F171" i="34" s="1"/>
  <c r="A172" i="34"/>
  <c r="A173" i="34"/>
  <c r="A174" i="34"/>
  <c r="A175" i="34"/>
  <c r="F175" i="34" s="1"/>
  <c r="A176" i="34"/>
  <c r="A177" i="34"/>
  <c r="A178" i="34"/>
  <c r="A179" i="34"/>
  <c r="A180" i="34"/>
  <c r="A181" i="34"/>
  <c r="A182" i="34"/>
  <c r="A183" i="34"/>
  <c r="A184" i="34"/>
  <c r="A185" i="34"/>
  <c r="A186" i="34"/>
  <c r="A187" i="34"/>
  <c r="A188" i="34"/>
  <c r="A189" i="34"/>
  <c r="A190" i="34"/>
  <c r="A191" i="34"/>
  <c r="F191" i="34" s="1"/>
  <c r="A192" i="34"/>
  <c r="A193" i="34"/>
  <c r="A194" i="34"/>
  <c r="A195" i="34"/>
  <c r="A196" i="34"/>
  <c r="A197" i="34"/>
  <c r="A198" i="34"/>
  <c r="A199" i="34"/>
  <c r="A200" i="34"/>
  <c r="A201" i="34"/>
  <c r="A202" i="34"/>
  <c r="A203" i="34"/>
  <c r="F203" i="34" s="1"/>
  <c r="A204" i="34"/>
  <c r="A205" i="34"/>
  <c r="A206" i="34"/>
  <c r="A207" i="34"/>
  <c r="A208" i="34"/>
  <c r="A209" i="34"/>
  <c r="A210" i="34"/>
  <c r="A211" i="34"/>
  <c r="F211" i="34" s="1"/>
  <c r="A212" i="34"/>
  <c r="A213" i="34"/>
  <c r="A214" i="34"/>
  <c r="A215" i="34"/>
  <c r="A216" i="34"/>
  <c r="A217" i="34"/>
  <c r="A218" i="34"/>
  <c r="A219" i="34"/>
  <c r="F219" i="34" s="1"/>
  <c r="A220" i="34"/>
  <c r="A221" i="34"/>
  <c r="A222" i="34"/>
  <c r="A223" i="34"/>
  <c r="A224" i="34"/>
  <c r="A225" i="34"/>
  <c r="A226" i="34"/>
  <c r="A227" i="34"/>
  <c r="F227" i="34" s="1"/>
  <c r="A228" i="34"/>
  <c r="A229" i="34"/>
  <c r="A230" i="34"/>
  <c r="A231" i="34"/>
  <c r="A232" i="34"/>
  <c r="A233" i="34"/>
  <c r="A234" i="34"/>
  <c r="A235" i="34"/>
  <c r="A236" i="34"/>
  <c r="A237" i="34"/>
  <c r="A238" i="34"/>
  <c r="A239" i="34"/>
  <c r="A240" i="34"/>
  <c r="A241" i="34"/>
  <c r="A242" i="34"/>
  <c r="A243" i="34"/>
  <c r="A244" i="34"/>
  <c r="A245" i="34"/>
  <c r="A246" i="34"/>
  <c r="A247" i="34"/>
  <c r="A248" i="34"/>
  <c r="A249" i="34"/>
  <c r="A250" i="34"/>
  <c r="A251" i="34"/>
  <c r="A252" i="34"/>
  <c r="A253" i="34"/>
  <c r="A254" i="34"/>
  <c r="A255" i="34"/>
  <c r="A256" i="34"/>
  <c r="A257" i="34"/>
  <c r="A258" i="34"/>
  <c r="A259" i="34"/>
  <c r="A260" i="34"/>
  <c r="A261" i="34"/>
  <c r="A262" i="34"/>
  <c r="A263" i="34"/>
  <c r="A264" i="34"/>
  <c r="A265" i="34"/>
  <c r="A266" i="34"/>
  <c r="A267" i="34"/>
  <c r="A268" i="34"/>
  <c r="A269" i="34"/>
  <c r="A270" i="34"/>
  <c r="A271" i="34"/>
  <c r="A272" i="34"/>
  <c r="A273" i="34"/>
  <c r="A274" i="34"/>
  <c r="A275" i="34"/>
  <c r="A276" i="34"/>
  <c r="A277" i="34"/>
  <c r="A278" i="34"/>
  <c r="A279" i="34"/>
  <c r="A280" i="34"/>
  <c r="A281" i="34"/>
  <c r="A282" i="34"/>
  <c r="A283" i="34"/>
  <c r="A284" i="34"/>
  <c r="A285" i="34"/>
  <c r="A286" i="34"/>
  <c r="A287" i="34"/>
  <c r="A288" i="34"/>
  <c r="A289" i="34"/>
  <c r="A290" i="34"/>
  <c r="A291" i="34"/>
  <c r="A292" i="34"/>
  <c r="A293" i="34"/>
  <c r="A294" i="34"/>
  <c r="A295" i="34"/>
  <c r="A296" i="34"/>
  <c r="A297" i="34"/>
  <c r="A298" i="34"/>
  <c r="A299" i="34"/>
  <c r="A300" i="34"/>
  <c r="A301" i="34"/>
  <c r="A302" i="34"/>
  <c r="A303" i="34"/>
  <c r="A304" i="34"/>
  <c r="A305" i="34"/>
  <c r="A306" i="34"/>
  <c r="A307" i="34"/>
  <c r="A308" i="34"/>
  <c r="A309" i="34"/>
  <c r="A310" i="34"/>
  <c r="A311" i="34"/>
  <c r="A312" i="34"/>
  <c r="A313" i="34"/>
  <c r="A314" i="34"/>
  <c r="A315" i="34"/>
  <c r="A316" i="34"/>
  <c r="A317" i="34"/>
  <c r="A318" i="34"/>
  <c r="A319" i="34"/>
  <c r="A320" i="34"/>
  <c r="A321" i="34"/>
  <c r="A322" i="34"/>
  <c r="A323" i="34"/>
  <c r="A324" i="34"/>
  <c r="A325" i="34"/>
  <c r="A326" i="34"/>
  <c r="A327" i="34"/>
  <c r="A328" i="34"/>
  <c r="A329" i="34"/>
  <c r="A330" i="34"/>
  <c r="A331" i="34"/>
  <c r="A332" i="34"/>
  <c r="A333" i="34"/>
  <c r="A334" i="34"/>
  <c r="A335" i="34"/>
  <c r="A336" i="34"/>
  <c r="A337" i="34"/>
  <c r="A338" i="34"/>
  <c r="A339" i="34"/>
  <c r="A340" i="34"/>
  <c r="A341" i="34"/>
  <c r="A342" i="34"/>
  <c r="A343" i="34"/>
  <c r="A344" i="34"/>
  <c r="A345" i="34"/>
  <c r="A346" i="34"/>
  <c r="A347" i="34"/>
  <c r="A348" i="34"/>
  <c r="A349" i="34"/>
  <c r="A350" i="34"/>
  <c r="A351" i="34"/>
  <c r="A352" i="34"/>
  <c r="A353" i="34"/>
  <c r="A354" i="34"/>
  <c r="A355" i="34"/>
  <c r="A356" i="34"/>
  <c r="A357" i="34"/>
  <c r="A358" i="34"/>
  <c r="A359" i="34"/>
  <c r="A360" i="34"/>
  <c r="A361" i="34"/>
  <c r="A362" i="34"/>
  <c r="A363" i="34"/>
  <c r="A364" i="34"/>
  <c r="A365" i="34"/>
  <c r="A366" i="34"/>
  <c r="A367" i="34"/>
  <c r="A368" i="34"/>
  <c r="A369" i="34"/>
  <c r="A370" i="34"/>
  <c r="A371" i="34"/>
  <c r="A372" i="34"/>
  <c r="A373" i="34"/>
  <c r="A374" i="34"/>
  <c r="A375" i="34"/>
  <c r="A376" i="34"/>
  <c r="A377" i="34"/>
  <c r="A378" i="34"/>
  <c r="A379" i="34"/>
  <c r="A380" i="34"/>
  <c r="A381" i="34"/>
  <c r="A382" i="34"/>
  <c r="A383" i="34"/>
  <c r="A384" i="34"/>
  <c r="A385" i="34"/>
  <c r="A386" i="34"/>
  <c r="A387" i="34"/>
  <c r="A388" i="34"/>
  <c r="A389" i="34"/>
  <c r="A390" i="34"/>
  <c r="A391" i="34"/>
  <c r="A392" i="34"/>
  <c r="A393" i="34"/>
  <c r="A394" i="34"/>
  <c r="A395" i="34"/>
  <c r="A396" i="34"/>
  <c r="E396" i="34" s="1"/>
  <c r="A397" i="34"/>
  <c r="A398" i="34"/>
  <c r="A399" i="34"/>
  <c r="A400" i="34"/>
  <c r="A401" i="34"/>
  <c r="A402" i="34"/>
  <c r="A403" i="34"/>
  <c r="A404" i="34"/>
  <c r="E404" i="34" s="1"/>
  <c r="A405" i="34"/>
  <c r="A406" i="34"/>
  <c r="A407" i="34"/>
  <c r="A408" i="34"/>
  <c r="A409" i="34"/>
  <c r="A410" i="34"/>
  <c r="A411" i="34"/>
  <c r="A412" i="34"/>
  <c r="A413" i="34"/>
  <c r="A414" i="34"/>
  <c r="A415" i="34"/>
  <c r="E408" i="34" l="1"/>
  <c r="F408" i="34"/>
  <c r="E392" i="34"/>
  <c r="F392" i="34"/>
  <c r="E380" i="34"/>
  <c r="F380" i="34"/>
  <c r="F368" i="34"/>
  <c r="E368" i="34"/>
  <c r="E356" i="34"/>
  <c r="F356" i="34"/>
  <c r="E344" i="34"/>
  <c r="F344" i="34"/>
  <c r="E324" i="34"/>
  <c r="F324" i="34"/>
  <c r="E296" i="34"/>
  <c r="F296" i="34"/>
  <c r="E407" i="34"/>
  <c r="E395" i="34"/>
  <c r="F395" i="34"/>
  <c r="E383" i="34"/>
  <c r="F383" i="34"/>
  <c r="E371" i="34"/>
  <c r="F371" i="34"/>
  <c r="E363" i="34"/>
  <c r="F363" i="34"/>
  <c r="E351" i="34"/>
  <c r="F351" i="34"/>
  <c r="E343" i="34"/>
  <c r="F343" i="34"/>
  <c r="E331" i="34"/>
  <c r="F331" i="34"/>
  <c r="E323" i="34"/>
  <c r="F323" i="34"/>
  <c r="E311" i="34"/>
  <c r="F311" i="34"/>
  <c r="E307" i="34"/>
  <c r="F307" i="34"/>
  <c r="E295" i="34"/>
  <c r="F295" i="34"/>
  <c r="E287" i="34"/>
  <c r="F287" i="34"/>
  <c r="E271" i="34"/>
  <c r="F271" i="34"/>
  <c r="E263" i="34"/>
  <c r="F263" i="34"/>
  <c r="E247" i="34"/>
  <c r="F247" i="34"/>
  <c r="E231" i="34"/>
  <c r="E223" i="34"/>
  <c r="E207" i="34"/>
  <c r="E195" i="34"/>
  <c r="E187" i="34"/>
  <c r="E179" i="34"/>
  <c r="E167" i="34"/>
  <c r="E159" i="34"/>
  <c r="E143" i="34"/>
  <c r="E131" i="34"/>
  <c r="E123" i="34"/>
  <c r="E413" i="34"/>
  <c r="F413" i="34"/>
  <c r="E409" i="34"/>
  <c r="F409" i="34"/>
  <c r="E405" i="34"/>
  <c r="F405" i="34"/>
  <c r="E401" i="34"/>
  <c r="F401" i="34"/>
  <c r="E397" i="34"/>
  <c r="F397" i="34"/>
  <c r="E393" i="34"/>
  <c r="E389" i="34"/>
  <c r="F389" i="34"/>
  <c r="E385" i="34"/>
  <c r="F385" i="34"/>
  <c r="E381" i="34"/>
  <c r="F381" i="34"/>
  <c r="E377" i="34"/>
  <c r="F377" i="34"/>
  <c r="E373" i="34"/>
  <c r="F373" i="34"/>
  <c r="E369" i="34"/>
  <c r="F369" i="34"/>
  <c r="E365" i="34"/>
  <c r="F365" i="34"/>
  <c r="E361" i="34"/>
  <c r="F361" i="34"/>
  <c r="E357" i="34"/>
  <c r="F357" i="34"/>
  <c r="E353" i="34"/>
  <c r="F353" i="34"/>
  <c r="E349" i="34"/>
  <c r="F349" i="34"/>
  <c r="E345" i="34"/>
  <c r="F345" i="34"/>
  <c r="E341" i="34"/>
  <c r="F341" i="34"/>
  <c r="E337" i="34"/>
  <c r="F337" i="34"/>
  <c r="E333" i="34"/>
  <c r="F333" i="34"/>
  <c r="E329" i="34"/>
  <c r="F329" i="34"/>
  <c r="E325" i="34"/>
  <c r="F325" i="34"/>
  <c r="E321" i="34"/>
  <c r="F321" i="34"/>
  <c r="E317" i="34"/>
  <c r="F317" i="34"/>
  <c r="E313" i="34"/>
  <c r="F313" i="34"/>
  <c r="E309" i="34"/>
  <c r="F309" i="34"/>
  <c r="E305" i="34"/>
  <c r="F305" i="34"/>
  <c r="E301" i="34"/>
  <c r="F301" i="34"/>
  <c r="E297" i="34"/>
  <c r="F297" i="34"/>
  <c r="E293" i="34"/>
  <c r="F293" i="34"/>
  <c r="E289" i="34"/>
  <c r="F289" i="34"/>
  <c r="E285" i="34"/>
  <c r="F285" i="34"/>
  <c r="E281" i="34"/>
  <c r="F281" i="34"/>
  <c r="E277" i="34"/>
  <c r="F277" i="34"/>
  <c r="E273" i="34"/>
  <c r="F273" i="34"/>
  <c r="E269" i="34"/>
  <c r="F269" i="34"/>
  <c r="E265" i="34"/>
  <c r="F265" i="34"/>
  <c r="E261" i="34"/>
  <c r="F261" i="34"/>
  <c r="E257" i="34"/>
  <c r="F257" i="34"/>
  <c r="E253" i="34"/>
  <c r="F253" i="34"/>
  <c r="E249" i="34"/>
  <c r="F249" i="34"/>
  <c r="E245" i="34"/>
  <c r="F245" i="34"/>
  <c r="E241" i="34"/>
  <c r="F241" i="34"/>
  <c r="E237" i="34"/>
  <c r="F237" i="34"/>
  <c r="E233" i="34"/>
  <c r="F233" i="34"/>
  <c r="E229" i="34"/>
  <c r="F229" i="34"/>
  <c r="E225" i="34"/>
  <c r="F225" i="34"/>
  <c r="E221" i="34"/>
  <c r="F221" i="34"/>
  <c r="E217" i="34"/>
  <c r="F217" i="34"/>
  <c r="E213" i="34"/>
  <c r="F213" i="34"/>
  <c r="E209" i="34"/>
  <c r="F209" i="34"/>
  <c r="E205" i="34"/>
  <c r="F205" i="34"/>
  <c r="E201" i="34"/>
  <c r="F201" i="34"/>
  <c r="E197" i="34"/>
  <c r="F197" i="34"/>
  <c r="E193" i="34"/>
  <c r="F193" i="34"/>
  <c r="E189" i="34"/>
  <c r="F189" i="34"/>
  <c r="E185" i="34"/>
  <c r="F185" i="34"/>
  <c r="E181" i="34"/>
  <c r="F181" i="34"/>
  <c r="E177" i="34"/>
  <c r="F177" i="34"/>
  <c r="E173" i="34"/>
  <c r="F173" i="34"/>
  <c r="E169" i="34"/>
  <c r="F169" i="34"/>
  <c r="E165" i="34"/>
  <c r="F165" i="34"/>
  <c r="E161" i="34"/>
  <c r="F161" i="34"/>
  <c r="E157" i="34"/>
  <c r="F157" i="34"/>
  <c r="E153" i="34"/>
  <c r="F153" i="34"/>
  <c r="E149" i="34"/>
  <c r="F149" i="34"/>
  <c r="E145" i="34"/>
  <c r="F145" i="34"/>
  <c r="E141" i="34"/>
  <c r="F141" i="34"/>
  <c r="E137" i="34"/>
  <c r="F137" i="34"/>
  <c r="E133" i="34"/>
  <c r="F133" i="34"/>
  <c r="E129" i="34"/>
  <c r="F129" i="34"/>
  <c r="E125" i="34"/>
  <c r="F125" i="34"/>
  <c r="E121" i="34"/>
  <c r="F121" i="34"/>
  <c r="E117" i="34"/>
  <c r="E113" i="34"/>
  <c r="E109" i="34"/>
  <c r="E105" i="34"/>
  <c r="E101" i="34"/>
  <c r="E97" i="34"/>
  <c r="E93" i="34"/>
  <c r="E89" i="34"/>
  <c r="E85" i="34"/>
  <c r="E81" i="34"/>
  <c r="E77" i="34"/>
  <c r="E73" i="34"/>
  <c r="E69" i="34"/>
  <c r="E65" i="34"/>
  <c r="E61" i="34"/>
  <c r="E57" i="34"/>
  <c r="E53" i="34"/>
  <c r="E49" i="34"/>
  <c r="E45" i="34"/>
  <c r="E41" i="34"/>
  <c r="E37" i="34"/>
  <c r="E33" i="34"/>
  <c r="E29" i="34"/>
  <c r="E25" i="34"/>
  <c r="E21" i="34"/>
  <c r="E17" i="34"/>
  <c r="E13" i="34"/>
  <c r="E9" i="34"/>
  <c r="E5" i="34"/>
  <c r="F123" i="34"/>
  <c r="F131" i="34"/>
  <c r="F187" i="34"/>
  <c r="F384" i="34"/>
  <c r="E384" i="34"/>
  <c r="E364" i="34"/>
  <c r="F364" i="34"/>
  <c r="E340" i="34"/>
  <c r="F340" i="34"/>
  <c r="F320" i="34"/>
  <c r="E320" i="34"/>
  <c r="E308" i="34"/>
  <c r="F308" i="34"/>
  <c r="E300" i="34"/>
  <c r="F300" i="34"/>
  <c r="F288" i="34"/>
  <c r="E288" i="34"/>
  <c r="E284" i="34"/>
  <c r="F284" i="34"/>
  <c r="E280" i="34"/>
  <c r="F280" i="34"/>
  <c r="E276" i="34"/>
  <c r="F276" i="34"/>
  <c r="F272" i="34"/>
  <c r="E272" i="34"/>
  <c r="E268" i="34"/>
  <c r="F268" i="34"/>
  <c r="E264" i="34"/>
  <c r="F264" i="34"/>
  <c r="E260" i="34"/>
  <c r="F260" i="34"/>
  <c r="F256" i="34"/>
  <c r="E256" i="34"/>
  <c r="E252" i="34"/>
  <c r="F252" i="34"/>
  <c r="E248" i="34"/>
  <c r="F248" i="34"/>
  <c r="E244" i="34"/>
  <c r="F244" i="34"/>
  <c r="F240" i="34"/>
  <c r="E240" i="34"/>
  <c r="E236" i="34"/>
  <c r="F236" i="34"/>
  <c r="E232" i="34"/>
  <c r="F232" i="34"/>
  <c r="E228" i="34"/>
  <c r="F228" i="34"/>
  <c r="F224" i="34"/>
  <c r="E224" i="34"/>
  <c r="E220" i="34"/>
  <c r="F220" i="34"/>
  <c r="E216" i="34"/>
  <c r="F216" i="34"/>
  <c r="E212" i="34"/>
  <c r="F212" i="34"/>
  <c r="F208" i="34"/>
  <c r="E208" i="34"/>
  <c r="E204" i="34"/>
  <c r="F204" i="34"/>
  <c r="E200" i="34"/>
  <c r="F200" i="34"/>
  <c r="E196" i="34"/>
  <c r="F196" i="34"/>
  <c r="F192" i="34"/>
  <c r="E192" i="34"/>
  <c r="E188" i="34"/>
  <c r="F188" i="34"/>
  <c r="E184" i="34"/>
  <c r="F184" i="34"/>
  <c r="E180" i="34"/>
  <c r="F180" i="34"/>
  <c r="F176" i="34"/>
  <c r="E176" i="34"/>
  <c r="E172" i="34"/>
  <c r="F172" i="34"/>
  <c r="E168" i="34"/>
  <c r="F168" i="34"/>
  <c r="E164" i="34"/>
  <c r="F164" i="34"/>
  <c r="F160" i="34"/>
  <c r="E160" i="34"/>
  <c r="E156" i="34"/>
  <c r="F156" i="34"/>
  <c r="E152" i="34"/>
  <c r="F152" i="34"/>
  <c r="E148" i="34"/>
  <c r="F148" i="34"/>
  <c r="F144" i="34"/>
  <c r="E144" i="34"/>
  <c r="E140" i="34"/>
  <c r="F140" i="34"/>
  <c r="E136" i="34"/>
  <c r="E132" i="34"/>
  <c r="E128" i="34"/>
  <c r="E124" i="34"/>
  <c r="E120" i="34"/>
  <c r="E116" i="34"/>
  <c r="E112" i="34"/>
  <c r="E108" i="34"/>
  <c r="E104" i="34"/>
  <c r="E100" i="34"/>
  <c r="E96" i="34"/>
  <c r="E92" i="34"/>
  <c r="E88" i="34"/>
  <c r="E84" i="34"/>
  <c r="E80" i="34"/>
  <c r="E76" i="34"/>
  <c r="E72" i="34"/>
  <c r="E68" i="34"/>
  <c r="E64" i="34"/>
  <c r="E60" i="34"/>
  <c r="E56" i="34"/>
  <c r="E52" i="34"/>
  <c r="E48" i="34"/>
  <c r="E44" i="34"/>
  <c r="E40" i="34"/>
  <c r="E36" i="34"/>
  <c r="E32" i="34"/>
  <c r="E28" i="34"/>
  <c r="E24" i="34"/>
  <c r="E20" i="34"/>
  <c r="E16" i="34"/>
  <c r="E12" i="34"/>
  <c r="E8" i="34"/>
  <c r="E4" i="34"/>
  <c r="F4" i="34"/>
  <c r="F8" i="34"/>
  <c r="F12" i="34"/>
  <c r="F16" i="34"/>
  <c r="F20" i="34"/>
  <c r="F24" i="34"/>
  <c r="F28" i="34"/>
  <c r="F32" i="34"/>
  <c r="F36" i="34"/>
  <c r="F40" i="34"/>
  <c r="F44" i="34"/>
  <c r="F48" i="34"/>
  <c r="F52" i="34"/>
  <c r="F56" i="34"/>
  <c r="F60" i="34"/>
  <c r="F64" i="34"/>
  <c r="F68" i="34"/>
  <c r="F72" i="34"/>
  <c r="F76" i="34"/>
  <c r="F80" i="34"/>
  <c r="F84" i="34"/>
  <c r="F88" i="34"/>
  <c r="F92" i="34"/>
  <c r="F96" i="34"/>
  <c r="F100" i="34"/>
  <c r="F104" i="34"/>
  <c r="F108" i="34"/>
  <c r="F112" i="34"/>
  <c r="F117" i="34"/>
  <c r="F124" i="34"/>
  <c r="F132" i="34"/>
  <c r="F143" i="34"/>
  <c r="F159" i="34"/>
  <c r="F207" i="34"/>
  <c r="F223" i="34"/>
  <c r="E376" i="34"/>
  <c r="F376" i="34"/>
  <c r="F352" i="34"/>
  <c r="E352" i="34"/>
  <c r="E332" i="34"/>
  <c r="F332" i="34"/>
  <c r="E316" i="34"/>
  <c r="F316" i="34"/>
  <c r="F304" i="34"/>
  <c r="E304" i="34"/>
  <c r="E292" i="34"/>
  <c r="F292" i="34"/>
  <c r="E399" i="34"/>
  <c r="F399" i="34"/>
  <c r="E379" i="34"/>
  <c r="F379" i="34"/>
  <c r="E359" i="34"/>
  <c r="F359" i="34"/>
  <c r="E339" i="34"/>
  <c r="F339" i="34"/>
  <c r="E319" i="34"/>
  <c r="F319" i="34"/>
  <c r="E299" i="34"/>
  <c r="F299" i="34"/>
  <c r="E279" i="34"/>
  <c r="F279" i="34"/>
  <c r="E267" i="34"/>
  <c r="F267" i="34"/>
  <c r="E255" i="34"/>
  <c r="F255" i="34"/>
  <c r="E243" i="34"/>
  <c r="F243" i="34"/>
  <c r="E239" i="34"/>
  <c r="F239" i="34"/>
  <c r="E235" i="34"/>
  <c r="F235" i="34"/>
  <c r="E215" i="34"/>
  <c r="E203" i="34"/>
  <c r="E183" i="34"/>
  <c r="E171" i="34"/>
  <c r="E151" i="34"/>
  <c r="E139" i="34"/>
  <c r="E127" i="34"/>
  <c r="E115" i="34"/>
  <c r="E111" i="34"/>
  <c r="E107" i="34"/>
  <c r="E103" i="34"/>
  <c r="E99" i="34"/>
  <c r="E95" i="34"/>
  <c r="E91" i="34"/>
  <c r="E87" i="34"/>
  <c r="E83" i="34"/>
  <c r="E79" i="34"/>
  <c r="E75" i="34"/>
  <c r="E71" i="34"/>
  <c r="E67" i="34"/>
  <c r="E63" i="34"/>
  <c r="E59" i="34"/>
  <c r="E55" i="34"/>
  <c r="E51" i="34"/>
  <c r="E47" i="34"/>
  <c r="E43" i="34"/>
  <c r="E39" i="34"/>
  <c r="E35" i="34"/>
  <c r="E31" i="34"/>
  <c r="E27" i="34"/>
  <c r="E23" i="34"/>
  <c r="E19" i="34"/>
  <c r="E15" i="34"/>
  <c r="E11" i="34"/>
  <c r="E7" i="34"/>
  <c r="F5" i="34"/>
  <c r="F9" i="34"/>
  <c r="F13" i="34"/>
  <c r="F17" i="34"/>
  <c r="F21" i="34"/>
  <c r="F25" i="34"/>
  <c r="F29" i="34"/>
  <c r="F33" i="34"/>
  <c r="F37" i="34"/>
  <c r="F41" i="34"/>
  <c r="F45" i="34"/>
  <c r="F49" i="34"/>
  <c r="F53" i="34"/>
  <c r="F57" i="34"/>
  <c r="F61" i="34"/>
  <c r="F65" i="34"/>
  <c r="F69" i="34"/>
  <c r="F73" i="34"/>
  <c r="F77" i="34"/>
  <c r="F81" i="34"/>
  <c r="F85" i="34"/>
  <c r="F89" i="34"/>
  <c r="F93" i="34"/>
  <c r="F97" i="34"/>
  <c r="F101" i="34"/>
  <c r="F105" i="34"/>
  <c r="F109" i="34"/>
  <c r="F113" i="34"/>
  <c r="F127" i="34"/>
  <c r="F179" i="34"/>
  <c r="F195" i="34"/>
  <c r="E412" i="34"/>
  <c r="F412" i="34"/>
  <c r="F400" i="34"/>
  <c r="E400" i="34"/>
  <c r="E388" i="34"/>
  <c r="F388" i="34"/>
  <c r="E372" i="34"/>
  <c r="F372" i="34"/>
  <c r="E360" i="34"/>
  <c r="F360" i="34"/>
  <c r="E348" i="34"/>
  <c r="F348" i="34"/>
  <c r="F336" i="34"/>
  <c r="E336" i="34"/>
  <c r="E328" i="34"/>
  <c r="F328" i="34"/>
  <c r="E312" i="34"/>
  <c r="F312" i="34"/>
  <c r="E415" i="34"/>
  <c r="E411" i="34"/>
  <c r="F411" i="34"/>
  <c r="E403" i="34"/>
  <c r="F403" i="34"/>
  <c r="E391" i="34"/>
  <c r="F391" i="34"/>
  <c r="E387" i="34"/>
  <c r="F387" i="34"/>
  <c r="E375" i="34"/>
  <c r="F375" i="34"/>
  <c r="E367" i="34"/>
  <c r="F367" i="34"/>
  <c r="E355" i="34"/>
  <c r="F355" i="34"/>
  <c r="E347" i="34"/>
  <c r="F347" i="34"/>
  <c r="E335" i="34"/>
  <c r="F335" i="34"/>
  <c r="E327" i="34"/>
  <c r="F327" i="34"/>
  <c r="E315" i="34"/>
  <c r="F315" i="34"/>
  <c r="E303" i="34"/>
  <c r="F303" i="34"/>
  <c r="E291" i="34"/>
  <c r="F291" i="34"/>
  <c r="E283" i="34"/>
  <c r="F283" i="34"/>
  <c r="E275" i="34"/>
  <c r="F275" i="34"/>
  <c r="E259" i="34"/>
  <c r="F259" i="34"/>
  <c r="E251" i="34"/>
  <c r="F251" i="34"/>
  <c r="E227" i="34"/>
  <c r="E219" i="34"/>
  <c r="E211" i="34"/>
  <c r="E199" i="34"/>
  <c r="E191" i="34"/>
  <c r="E175" i="34"/>
  <c r="E163" i="34"/>
  <c r="E155" i="34"/>
  <c r="E147" i="34"/>
  <c r="E135" i="34"/>
  <c r="E119" i="34"/>
  <c r="E414" i="34"/>
  <c r="F414" i="34"/>
  <c r="E410" i="34"/>
  <c r="F410" i="34"/>
  <c r="E406" i="34"/>
  <c r="F406" i="34"/>
  <c r="E402" i="34"/>
  <c r="F402" i="34"/>
  <c r="E398" i="34"/>
  <c r="F398" i="34"/>
  <c r="E394" i="34"/>
  <c r="F394" i="34"/>
  <c r="E390" i="34"/>
  <c r="F390" i="34"/>
  <c r="E386" i="34"/>
  <c r="F386" i="34"/>
  <c r="E382" i="34"/>
  <c r="F382" i="34"/>
  <c r="E378" i="34"/>
  <c r="F378" i="34"/>
  <c r="E374" i="34"/>
  <c r="F374" i="34"/>
  <c r="E370" i="34"/>
  <c r="F370" i="34"/>
  <c r="E366" i="34"/>
  <c r="F366" i="34"/>
  <c r="E362" i="34"/>
  <c r="F362" i="34"/>
  <c r="E358" i="34"/>
  <c r="F358" i="34"/>
  <c r="E354" i="34"/>
  <c r="F354" i="34"/>
  <c r="E350" i="34"/>
  <c r="F350" i="34"/>
  <c r="E346" i="34"/>
  <c r="F346" i="34"/>
  <c r="E342" i="34"/>
  <c r="F342" i="34"/>
  <c r="E338" i="34"/>
  <c r="F338" i="34"/>
  <c r="E334" i="34"/>
  <c r="F334" i="34"/>
  <c r="E330" i="34"/>
  <c r="F330" i="34"/>
  <c r="E326" i="34"/>
  <c r="F326" i="34"/>
  <c r="E322" i="34"/>
  <c r="F322" i="34"/>
  <c r="E318" i="34"/>
  <c r="F318" i="34"/>
  <c r="E314" i="34"/>
  <c r="F314" i="34"/>
  <c r="E310" i="34"/>
  <c r="F310" i="34"/>
  <c r="E306" i="34"/>
  <c r="F306" i="34"/>
  <c r="E302" i="34"/>
  <c r="F302" i="34"/>
  <c r="E298" i="34"/>
  <c r="F298" i="34"/>
  <c r="E294" i="34"/>
  <c r="F294" i="34"/>
  <c r="E290" i="34"/>
  <c r="F290" i="34"/>
  <c r="E286" i="34"/>
  <c r="F286" i="34"/>
  <c r="E282" i="34"/>
  <c r="F282" i="34"/>
  <c r="E278" i="34"/>
  <c r="F278" i="34"/>
  <c r="E274" i="34"/>
  <c r="F274" i="34"/>
  <c r="E270" i="34"/>
  <c r="F270" i="34"/>
  <c r="E266" i="34"/>
  <c r="F266" i="34"/>
  <c r="E262" i="34"/>
  <c r="F262" i="34"/>
  <c r="E258" i="34"/>
  <c r="F258" i="34"/>
  <c r="E254" i="34"/>
  <c r="F254" i="34"/>
  <c r="E250" i="34"/>
  <c r="F250" i="34"/>
  <c r="E246" i="34"/>
  <c r="F246" i="34"/>
  <c r="E242" i="34"/>
  <c r="F242" i="34"/>
  <c r="E238" i="34"/>
  <c r="F238" i="34"/>
  <c r="E234" i="34"/>
  <c r="F234" i="34"/>
  <c r="E230" i="34"/>
  <c r="F230" i="34"/>
  <c r="E226" i="34"/>
  <c r="F226" i="34"/>
  <c r="E222" i="34"/>
  <c r="F222" i="34"/>
  <c r="E218" i="34"/>
  <c r="F218" i="34"/>
  <c r="E214" i="34"/>
  <c r="F214" i="34"/>
  <c r="E210" i="34"/>
  <c r="F210" i="34"/>
  <c r="E206" i="34"/>
  <c r="F206" i="34"/>
  <c r="E202" i="34"/>
  <c r="F202" i="34"/>
  <c r="E198" i="34"/>
  <c r="F198" i="34"/>
  <c r="E194" i="34"/>
  <c r="F194" i="34"/>
  <c r="E190" i="34"/>
  <c r="F190" i="34"/>
  <c r="E186" i="34"/>
  <c r="F186" i="34"/>
  <c r="E182" i="34"/>
  <c r="F182" i="34"/>
  <c r="E178" i="34"/>
  <c r="F178" i="34"/>
  <c r="E174" i="34"/>
  <c r="F174" i="34"/>
  <c r="E170" i="34"/>
  <c r="F170" i="34"/>
  <c r="E166" i="34"/>
  <c r="F166" i="34"/>
  <c r="E162" i="34"/>
  <c r="F162" i="34"/>
  <c r="E158" i="34"/>
  <c r="F158" i="34"/>
  <c r="E154" i="34"/>
  <c r="F154" i="34"/>
  <c r="E150" i="34"/>
  <c r="F150" i="34"/>
  <c r="E146" i="34"/>
  <c r="F146" i="34"/>
  <c r="E142" i="34"/>
  <c r="F142" i="34"/>
  <c r="E138" i="34"/>
  <c r="F138" i="34"/>
  <c r="E134" i="34"/>
  <c r="F134" i="34"/>
  <c r="E130" i="34"/>
  <c r="F130" i="34"/>
  <c r="E126" i="34"/>
  <c r="F126" i="34"/>
  <c r="E122" i="34"/>
  <c r="F122" i="34"/>
  <c r="E118" i="34"/>
  <c r="F118" i="34"/>
  <c r="E114" i="34"/>
  <c r="F114" i="34"/>
  <c r="E110" i="34"/>
  <c r="E106" i="34"/>
  <c r="E102" i="34"/>
  <c r="E98" i="34"/>
  <c r="E94" i="34"/>
  <c r="E90" i="34"/>
  <c r="E86" i="34"/>
  <c r="E82" i="34"/>
  <c r="E78" i="34"/>
  <c r="E74" i="34"/>
  <c r="E70" i="34"/>
  <c r="E66" i="34"/>
  <c r="E62" i="34"/>
  <c r="E58" i="34"/>
  <c r="E54" i="34"/>
  <c r="E50" i="34"/>
  <c r="E46" i="34"/>
  <c r="E42" i="34"/>
  <c r="E38" i="34"/>
  <c r="E34" i="34"/>
  <c r="E30" i="34"/>
  <c r="E26" i="34"/>
  <c r="E22" i="34"/>
  <c r="E18" i="34"/>
  <c r="E14" i="34"/>
  <c r="E10" i="34"/>
  <c r="E6" i="34"/>
  <c r="F6" i="34"/>
  <c r="F10" i="34"/>
  <c r="F14" i="34"/>
  <c r="F18" i="34"/>
  <c r="F22" i="34"/>
  <c r="F26" i="34"/>
  <c r="F30" i="34"/>
  <c r="F34" i="34"/>
  <c r="F38" i="34"/>
  <c r="F42" i="34"/>
  <c r="F46" i="34"/>
  <c r="F50" i="34"/>
  <c r="F54" i="34"/>
  <c r="F58" i="34"/>
  <c r="F62" i="34"/>
  <c r="F66" i="34"/>
  <c r="F70" i="34"/>
  <c r="F74" i="34"/>
  <c r="F78" i="34"/>
  <c r="F82" i="34"/>
  <c r="F86" i="34"/>
  <c r="F90" i="34"/>
  <c r="F94" i="34"/>
  <c r="F98" i="34"/>
  <c r="F102" i="34"/>
  <c r="F106" i="34"/>
  <c r="F110" i="34"/>
  <c r="F115" i="34"/>
  <c r="F120" i="34"/>
  <c r="F128" i="34"/>
  <c r="F136" i="34"/>
  <c r="F151" i="34"/>
  <c r="F167" i="34"/>
  <c r="F183" i="34"/>
  <c r="F199" i="34"/>
  <c r="F215" i="34"/>
  <c r="F231" i="34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38" i="36"/>
  <c r="I37" i="36"/>
  <c r="I36" i="36"/>
  <c r="I35" i="36"/>
  <c r="I34" i="36"/>
  <c r="I33" i="36"/>
  <c r="I32" i="36"/>
  <c r="I31" i="36"/>
  <c r="I30" i="36"/>
  <c r="I29" i="36"/>
  <c r="I28" i="36"/>
  <c r="I27" i="36"/>
  <c r="I26" i="36"/>
  <c r="I25" i="36"/>
  <c r="I24" i="36"/>
  <c r="I23" i="36"/>
  <c r="I22" i="36"/>
  <c r="I21" i="36"/>
  <c r="I20" i="36"/>
  <c r="I19" i="36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50" i="8"/>
  <c r="I49" i="8"/>
  <c r="I48" i="8"/>
  <c r="I47" i="8"/>
  <c r="I46" i="8"/>
  <c r="I45" i="8"/>
  <c r="I44" i="8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K67" i="14"/>
  <c r="J67" i="14"/>
  <c r="K57" i="14"/>
  <c r="J57" i="14"/>
  <c r="K37" i="14"/>
  <c r="J37" i="14"/>
  <c r="I88" i="14"/>
  <c r="I87" i="14"/>
  <c r="I86" i="14"/>
  <c r="I85" i="14"/>
  <c r="I84" i="14"/>
  <c r="I83" i="14"/>
  <c r="I82" i="14"/>
  <c r="I81" i="14"/>
  <c r="I80" i="14"/>
  <c r="I79" i="14"/>
  <c r="I78" i="14"/>
  <c r="I77" i="14"/>
  <c r="I76" i="14"/>
  <c r="I75" i="14"/>
  <c r="I74" i="14"/>
  <c r="I73" i="14"/>
  <c r="I72" i="14"/>
  <c r="I71" i="14"/>
  <c r="I70" i="14"/>
  <c r="I69" i="14"/>
  <c r="I68" i="14"/>
  <c r="I67" i="14"/>
  <c r="I66" i="14"/>
  <c r="I65" i="14"/>
  <c r="I64" i="14"/>
  <c r="I63" i="14"/>
  <c r="I62" i="14"/>
  <c r="I61" i="14"/>
  <c r="I60" i="14"/>
  <c r="I59" i="14"/>
  <c r="I58" i="14"/>
  <c r="I57" i="14"/>
  <c r="I56" i="14"/>
  <c r="I55" i="14"/>
  <c r="I54" i="14"/>
  <c r="I53" i="14"/>
  <c r="I52" i="14"/>
  <c r="I51" i="14"/>
  <c r="I50" i="14"/>
  <c r="I49" i="14"/>
  <c r="I48" i="14"/>
  <c r="I47" i="14"/>
  <c r="I46" i="14"/>
  <c r="I45" i="14"/>
  <c r="I44" i="14"/>
  <c r="I43" i="14"/>
  <c r="I42" i="14"/>
  <c r="I41" i="14"/>
  <c r="I40" i="14"/>
  <c r="I39" i="14"/>
  <c r="I38" i="14"/>
  <c r="I37" i="14"/>
  <c r="I36" i="14"/>
  <c r="I35" i="14"/>
  <c r="I34" i="14"/>
  <c r="I33" i="14"/>
  <c r="I32" i="14"/>
  <c r="I31" i="14"/>
  <c r="I30" i="14"/>
  <c r="I29" i="14"/>
  <c r="I28" i="14"/>
  <c r="I27" i="14"/>
  <c r="I26" i="14"/>
  <c r="I25" i="14"/>
  <c r="I24" i="14"/>
  <c r="I23" i="14"/>
  <c r="I22" i="14"/>
  <c r="I21" i="14"/>
  <c r="I20" i="14"/>
  <c r="I19" i="14"/>
  <c r="M113" i="1" l="1"/>
  <c r="M109" i="1"/>
  <c r="M102" i="1"/>
  <c r="M92" i="1"/>
  <c r="M91" i="1" s="1"/>
  <c r="L102" i="1"/>
  <c r="L92" i="1"/>
  <c r="L109" i="1"/>
  <c r="F340" i="35" l="1"/>
  <c r="I340" i="35"/>
  <c r="F272" i="35"/>
  <c r="I272" i="35"/>
  <c r="F249" i="35"/>
  <c r="I249" i="35"/>
  <c r="F246" i="35"/>
  <c r="I246" i="35"/>
  <c r="F222" i="35"/>
  <c r="I222" i="35"/>
  <c r="F219" i="35"/>
  <c r="I219" i="35"/>
  <c r="F216" i="35"/>
  <c r="I216" i="35"/>
  <c r="F194" i="35"/>
  <c r="I194" i="35"/>
  <c r="F171" i="35"/>
  <c r="I171" i="35"/>
  <c r="F157" i="35"/>
  <c r="I157" i="35"/>
  <c r="F128" i="35"/>
  <c r="I128" i="35"/>
  <c r="F66" i="35"/>
  <c r="I66" i="35"/>
  <c r="G40" i="31" l="1"/>
  <c r="H40" i="31"/>
  <c r="F40" i="31"/>
  <c r="C12" i="33"/>
  <c r="K102" i="2"/>
  <c r="K92" i="2"/>
  <c r="K113" i="2" s="1"/>
  <c r="K78" i="2"/>
  <c r="K67" i="2"/>
  <c r="K58" i="2"/>
  <c r="K51" i="2"/>
  <c r="K42" i="2"/>
  <c r="K38" i="2"/>
  <c r="K25" i="2"/>
  <c r="K21" i="2"/>
  <c r="K27" i="36"/>
  <c r="K35" i="36" s="1"/>
  <c r="K20" i="36"/>
  <c r="M140" i="1"/>
  <c r="M135" i="1"/>
  <c r="M134" i="1" s="1"/>
  <c r="M126" i="1"/>
  <c r="M116" i="1"/>
  <c r="L84" i="1"/>
  <c r="L82" i="1"/>
  <c r="L80" i="1"/>
  <c r="L79" i="1"/>
  <c r="L78" i="1"/>
  <c r="L77" i="1"/>
  <c r="L76" i="1"/>
  <c r="L74" i="1"/>
  <c r="L73" i="1"/>
  <c r="L72" i="1"/>
  <c r="L71" i="1"/>
  <c r="L70" i="1"/>
  <c r="L69" i="1"/>
  <c r="L68" i="1"/>
  <c r="L67" i="1"/>
  <c r="L65" i="1"/>
  <c r="L64" i="1"/>
  <c r="L63" i="1"/>
  <c r="L62" i="1"/>
  <c r="L61" i="1"/>
  <c r="L60" i="1"/>
  <c r="L57" i="1"/>
  <c r="L56" i="1"/>
  <c r="L55" i="1"/>
  <c r="L54" i="1"/>
  <c r="L53" i="1"/>
  <c r="L52" i="1"/>
  <c r="L49" i="1"/>
  <c r="L48" i="1"/>
  <c r="L47" i="1"/>
  <c r="L46" i="1"/>
  <c r="L45" i="1"/>
  <c r="L44" i="1"/>
  <c r="L43" i="1"/>
  <c r="L42" i="1"/>
  <c r="L41" i="1"/>
  <c r="L39" i="1"/>
  <c r="L38" i="1"/>
  <c r="L37" i="1"/>
  <c r="L36" i="1"/>
  <c r="L35" i="1"/>
  <c r="L33" i="1"/>
  <c r="L32" i="1"/>
  <c r="L31" i="1"/>
  <c r="L30" i="1"/>
  <c r="L29" i="1"/>
  <c r="L28" i="1"/>
  <c r="L26" i="1"/>
  <c r="L25" i="1"/>
  <c r="L24" i="1"/>
  <c r="L23" i="1"/>
  <c r="L22" i="1"/>
  <c r="K53" i="8"/>
  <c r="K61" i="8" s="1"/>
  <c r="K48" i="8"/>
  <c r="K40" i="8"/>
  <c r="K33" i="8"/>
  <c r="K45" i="8"/>
  <c r="K24" i="8"/>
  <c r="K20" i="8"/>
  <c r="K46" i="8"/>
  <c r="J27" i="36"/>
  <c r="J35" i="36" s="1"/>
  <c r="J20" i="36"/>
  <c r="F355" i="35"/>
  <c r="F356" i="35"/>
  <c r="F357" i="35"/>
  <c r="F358" i="35"/>
  <c r="F359" i="35"/>
  <c r="F360" i="35"/>
  <c r="F361" i="35"/>
  <c r="F362" i="35"/>
  <c r="I355" i="35"/>
  <c r="I356" i="35"/>
  <c r="I357" i="35"/>
  <c r="I358" i="35"/>
  <c r="I359" i="35"/>
  <c r="I360" i="35"/>
  <c r="I361" i="35"/>
  <c r="I362" i="35"/>
  <c r="J53" i="8"/>
  <c r="J48" i="8"/>
  <c r="J61" i="8" s="1"/>
  <c r="J40" i="8"/>
  <c r="J33" i="8"/>
  <c r="J45" i="8" s="1"/>
  <c r="J24" i="8"/>
  <c r="J20" i="8"/>
  <c r="J30" i="8" s="1"/>
  <c r="J92" i="2"/>
  <c r="J78" i="2"/>
  <c r="J67" i="2"/>
  <c r="J58" i="2"/>
  <c r="J51" i="2"/>
  <c r="J38" i="2"/>
  <c r="J42" i="2"/>
  <c r="J25" i="2"/>
  <c r="J21" i="2"/>
  <c r="L140" i="1"/>
  <c r="L135" i="1"/>
  <c r="L126" i="1"/>
  <c r="L113" i="1"/>
  <c r="L91" i="1" s="1"/>
  <c r="L116" i="1"/>
  <c r="M75" i="1"/>
  <c r="K75" i="1"/>
  <c r="M66" i="1"/>
  <c r="K66" i="1"/>
  <c r="M59" i="1"/>
  <c r="K59" i="1"/>
  <c r="K58" i="1" s="1"/>
  <c r="M51" i="1"/>
  <c r="K51" i="1"/>
  <c r="M40" i="1"/>
  <c r="K40" i="1"/>
  <c r="M34" i="1"/>
  <c r="K34" i="1"/>
  <c r="L34" i="1" s="1"/>
  <c r="M27" i="1"/>
  <c r="K27" i="1"/>
  <c r="M21" i="1"/>
  <c r="K21" i="1"/>
  <c r="J75" i="1"/>
  <c r="J66" i="1"/>
  <c r="J59" i="1"/>
  <c r="J51" i="1"/>
  <c r="J40" i="1"/>
  <c r="J34" i="1"/>
  <c r="J27" i="1"/>
  <c r="J21" i="1"/>
  <c r="Y10" i="32"/>
  <c r="Z10" i="32" s="1"/>
  <c r="Y8" i="32"/>
  <c r="Z8" i="32" s="1"/>
  <c r="AA10" i="32"/>
  <c r="AA8" i="32"/>
  <c r="B69" i="32"/>
  <c r="F94" i="31"/>
  <c r="G94" i="31"/>
  <c r="H94" i="31"/>
  <c r="AA37" i="32"/>
  <c r="AB37" i="32" s="1"/>
  <c r="AA35" i="32"/>
  <c r="AB35" i="32" s="1"/>
  <c r="AA33" i="32"/>
  <c r="AB33" i="32" s="1"/>
  <c r="AA31" i="32"/>
  <c r="AA29" i="32"/>
  <c r="AA27" i="32"/>
  <c r="Y27" i="32" s="1"/>
  <c r="C1" i="33"/>
  <c r="H1" i="33"/>
  <c r="H5" i="37" s="1"/>
  <c r="Y1" i="33"/>
  <c r="V3" i="33"/>
  <c r="U3" i="33"/>
  <c r="X1" i="33"/>
  <c r="H3" i="33"/>
  <c r="H4" i="33"/>
  <c r="H5" i="33"/>
  <c r="H6" i="33"/>
  <c r="V1" i="33"/>
  <c r="W1" i="33"/>
  <c r="AA54" i="32"/>
  <c r="Y54" i="32" s="1"/>
  <c r="AB54" i="32" s="1"/>
  <c r="AA52" i="32"/>
  <c r="Y52" i="32" s="1"/>
  <c r="AB52" i="32" s="1"/>
  <c r="AA49" i="32"/>
  <c r="Y49" i="32" s="1"/>
  <c r="AA47" i="32"/>
  <c r="Y47" i="32" s="1"/>
  <c r="AA45" i="32"/>
  <c r="Y45" i="32" s="1"/>
  <c r="AA40" i="32"/>
  <c r="Y40" i="32" s="1"/>
  <c r="AA22" i="32"/>
  <c r="AA20" i="32"/>
  <c r="Y20" i="32" s="1"/>
  <c r="AA17" i="32"/>
  <c r="Y17" i="32" s="1"/>
  <c r="F20" i="31"/>
  <c r="B12" i="32" s="1"/>
  <c r="G20" i="31"/>
  <c r="H20" i="31"/>
  <c r="F25" i="31"/>
  <c r="G25" i="31"/>
  <c r="H25" i="31"/>
  <c r="U1" i="33"/>
  <c r="W4" i="33"/>
  <c r="X4" i="33" s="1"/>
  <c r="W5" i="33"/>
  <c r="X5" i="33" s="1"/>
  <c r="W6" i="33"/>
  <c r="X6" i="33" s="1"/>
  <c r="F32" i="31"/>
  <c r="B76" i="32" s="1"/>
  <c r="G32" i="31"/>
  <c r="H32" i="31"/>
  <c r="F17" i="31"/>
  <c r="B7" i="32" s="1"/>
  <c r="G17" i="31"/>
  <c r="H17" i="31"/>
  <c r="F95" i="31"/>
  <c r="F3" i="33"/>
  <c r="F1" i="33" s="1"/>
  <c r="F96" i="31"/>
  <c r="F4" i="33"/>
  <c r="F97" i="31"/>
  <c r="F5" i="33"/>
  <c r="F98" i="31"/>
  <c r="F6" i="33"/>
  <c r="G95" i="31"/>
  <c r="G96" i="31"/>
  <c r="G97" i="31"/>
  <c r="G98" i="31"/>
  <c r="H95" i="31"/>
  <c r="H96" i="31"/>
  <c r="H97" i="31"/>
  <c r="H98" i="31"/>
  <c r="F92" i="31"/>
  <c r="B64" i="32"/>
  <c r="F93" i="31"/>
  <c r="B66" i="32"/>
  <c r="G92" i="31"/>
  <c r="G93" i="31"/>
  <c r="H92" i="31"/>
  <c r="H93" i="31"/>
  <c r="F91" i="31"/>
  <c r="B62" i="32" s="1"/>
  <c r="G91" i="31"/>
  <c r="H91" i="31"/>
  <c r="F37" i="31"/>
  <c r="B47" i="32" s="1"/>
  <c r="G37" i="31"/>
  <c r="H37" i="31"/>
  <c r="F8" i="31"/>
  <c r="D7" i="32" s="1"/>
  <c r="F9" i="31"/>
  <c r="G7" i="32" s="1"/>
  <c r="F10" i="31"/>
  <c r="J42" i="32" s="1"/>
  <c r="G8" i="31"/>
  <c r="G9" i="31"/>
  <c r="G10" i="31"/>
  <c r="H8" i="31"/>
  <c r="H9" i="31"/>
  <c r="H10" i="31"/>
  <c r="F6" i="31"/>
  <c r="B27" i="32" s="1"/>
  <c r="G6" i="31"/>
  <c r="H6" i="31"/>
  <c r="G2" i="31"/>
  <c r="AA67" i="32"/>
  <c r="Y67" i="32"/>
  <c r="AB67" i="32" s="1"/>
  <c r="AA74" i="32"/>
  <c r="Y74" i="32" s="1"/>
  <c r="AA72" i="32"/>
  <c r="Y72" i="32" s="1"/>
  <c r="AB72" i="32" s="1"/>
  <c r="AA70" i="32"/>
  <c r="Y70" i="32" s="1"/>
  <c r="AB70" i="32" s="1"/>
  <c r="AA60" i="32"/>
  <c r="Y60" i="32" s="1"/>
  <c r="AB60" i="32" s="1"/>
  <c r="AA58" i="32"/>
  <c r="Y58" i="32" s="1"/>
  <c r="AA56" i="32"/>
  <c r="Y56" i="32" s="1"/>
  <c r="Y43" i="32"/>
  <c r="Y37" i="32"/>
  <c r="AA15" i="32"/>
  <c r="Y15" i="32" s="1"/>
  <c r="AA24" i="32"/>
  <c r="Y24" i="32" s="1"/>
  <c r="Y22" i="32"/>
  <c r="F90" i="31"/>
  <c r="G90" i="31"/>
  <c r="H90" i="31"/>
  <c r="F89" i="31"/>
  <c r="G89" i="31"/>
  <c r="H89" i="31"/>
  <c r="F2" i="31"/>
  <c r="F3" i="31"/>
  <c r="B39" i="32" s="1"/>
  <c r="F4" i="31"/>
  <c r="F5" i="31"/>
  <c r="B26" i="32" s="1"/>
  <c r="F7" i="31"/>
  <c r="F11" i="31"/>
  <c r="B52" i="32" s="1"/>
  <c r="F12" i="31"/>
  <c r="B54" i="32" s="1"/>
  <c r="F13" i="31"/>
  <c r="B56" i="32" s="1"/>
  <c r="F14" i="31"/>
  <c r="B58" i="32" s="1"/>
  <c r="F15" i="31"/>
  <c r="B60" i="32" s="1"/>
  <c r="F16" i="31"/>
  <c r="B5" i="32" s="1"/>
  <c r="F18" i="31"/>
  <c r="B8" i="32" s="1"/>
  <c r="F19" i="31"/>
  <c r="B10" i="32" s="1"/>
  <c r="F21" i="31"/>
  <c r="F22" i="31"/>
  <c r="J4" i="33" s="1"/>
  <c r="F23" i="31"/>
  <c r="J5" i="33" s="1"/>
  <c r="F24" i="31"/>
  <c r="J6" i="33" s="1"/>
  <c r="F26" i="31"/>
  <c r="B119" i="32"/>
  <c r="B67" i="32"/>
  <c r="F27" i="31"/>
  <c r="F28" i="31"/>
  <c r="B121" i="32"/>
  <c r="F29" i="31"/>
  <c r="C10" i="8" s="1"/>
  <c r="B124" i="32"/>
  <c r="B72" i="32"/>
  <c r="F30" i="31"/>
  <c r="C11" i="1" s="1"/>
  <c r="B126" i="32"/>
  <c r="F31" i="31"/>
  <c r="M5" i="10" s="1"/>
  <c r="F33" i="31"/>
  <c r="B118" i="32"/>
  <c r="F34" i="31"/>
  <c r="B40" i="32" s="1"/>
  <c r="F35" i="31"/>
  <c r="F36" i="31"/>
  <c r="B45" i="32" s="1"/>
  <c r="F38" i="31"/>
  <c r="F39" i="31"/>
  <c r="G159" i="1" s="1"/>
  <c r="F41" i="31"/>
  <c r="F42" i="31"/>
  <c r="C13" i="1" s="1"/>
  <c r="F43" i="31"/>
  <c r="F44" i="31"/>
  <c r="C13" i="2" s="1"/>
  <c r="F45" i="31"/>
  <c r="F46" i="31"/>
  <c r="C13" i="36" s="1"/>
  <c r="F47" i="31"/>
  <c r="F48" i="31"/>
  <c r="C13" i="8" s="1"/>
  <c r="F49" i="31"/>
  <c r="F50" i="31"/>
  <c r="C13" i="14" s="1"/>
  <c r="F51" i="31"/>
  <c r="F58" i="31"/>
  <c r="F59" i="31"/>
  <c r="F60" i="31"/>
  <c r="F61" i="31"/>
  <c r="F62" i="31"/>
  <c r="F63" i="31"/>
  <c r="F64" i="31"/>
  <c r="F65" i="31"/>
  <c r="F66" i="31"/>
  <c r="C16" i="36" s="1"/>
  <c r="F67" i="31"/>
  <c r="F68" i="31"/>
  <c r="F69" i="31"/>
  <c r="C15" i="10" s="1"/>
  <c r="F70" i="31"/>
  <c r="J16" i="1" s="1"/>
  <c r="F71" i="31"/>
  <c r="J17" i="1" s="1"/>
  <c r="F72" i="31"/>
  <c r="K17" i="1" s="1"/>
  <c r="F73" i="31"/>
  <c r="L17" i="1" s="1"/>
  <c r="F74" i="31"/>
  <c r="M87" i="1" s="1"/>
  <c r="F75" i="31"/>
  <c r="J16" i="14" s="1"/>
  <c r="F76" i="31"/>
  <c r="J17" i="14" s="1"/>
  <c r="F77" i="31"/>
  <c r="K17" i="36" s="1"/>
  <c r="F78" i="31"/>
  <c r="K15" i="14" s="1"/>
  <c r="F79" i="31"/>
  <c r="G15" i="10" s="1"/>
  <c r="F80" i="31"/>
  <c r="D15" i="10" s="1"/>
  <c r="F81" i="31"/>
  <c r="H16" i="10" s="1"/>
  <c r="F82" i="31"/>
  <c r="I16" i="10" s="1"/>
  <c r="F83" i="31"/>
  <c r="J16" i="10" s="1"/>
  <c r="F84" i="31"/>
  <c r="K16" i="10" s="1"/>
  <c r="F85" i="31"/>
  <c r="L16" i="10" s="1"/>
  <c r="F86" i="31"/>
  <c r="M16" i="10" s="1"/>
  <c r="F87" i="31"/>
  <c r="N15" i="10" s="1"/>
  <c r="F88" i="31"/>
  <c r="O15" i="10" s="1"/>
  <c r="I21" i="10"/>
  <c r="I29" i="10" s="1"/>
  <c r="I32" i="10" s="1"/>
  <c r="E2" i="37"/>
  <c r="E3" i="37"/>
  <c r="E4" i="37"/>
  <c r="E5" i="37"/>
  <c r="E6" i="37"/>
  <c r="E7" i="37"/>
  <c r="E8" i="37"/>
  <c r="E9" i="37"/>
  <c r="E10" i="37"/>
  <c r="E11" i="37"/>
  <c r="E12" i="37"/>
  <c r="E13" i="37"/>
  <c r="E14" i="37"/>
  <c r="E15" i="37"/>
  <c r="E16" i="37"/>
  <c r="E17" i="37"/>
  <c r="E18" i="37"/>
  <c r="E19" i="37"/>
  <c r="E20" i="37"/>
  <c r="F2" i="35"/>
  <c r="F3" i="35"/>
  <c r="F4" i="35"/>
  <c r="F5" i="35"/>
  <c r="F6" i="35"/>
  <c r="F7" i="35"/>
  <c r="F8" i="35"/>
  <c r="F9" i="35"/>
  <c r="F10" i="35"/>
  <c r="F11" i="35"/>
  <c r="F12" i="35"/>
  <c r="F13" i="35"/>
  <c r="F14" i="35"/>
  <c r="F15" i="35"/>
  <c r="F16" i="35"/>
  <c r="F17" i="35"/>
  <c r="F18" i="35"/>
  <c r="F19" i="35"/>
  <c r="F20" i="35"/>
  <c r="F21" i="35"/>
  <c r="F22" i="35"/>
  <c r="F23" i="35"/>
  <c r="F24" i="35"/>
  <c r="F25" i="35"/>
  <c r="F26" i="35"/>
  <c r="F27" i="35"/>
  <c r="F28" i="35"/>
  <c r="F29" i="35"/>
  <c r="F30" i="35"/>
  <c r="F31" i="35"/>
  <c r="F32" i="35"/>
  <c r="F33" i="35"/>
  <c r="F34" i="35"/>
  <c r="F35" i="35"/>
  <c r="F36" i="35"/>
  <c r="F37" i="35"/>
  <c r="F38" i="35"/>
  <c r="F39" i="35"/>
  <c r="F40" i="35"/>
  <c r="F41" i="35"/>
  <c r="F42" i="35"/>
  <c r="F43" i="35"/>
  <c r="F44" i="35"/>
  <c r="F45" i="35"/>
  <c r="F46" i="35"/>
  <c r="F47" i="35"/>
  <c r="F48" i="35"/>
  <c r="F49" i="35"/>
  <c r="F50" i="35"/>
  <c r="F51" i="35"/>
  <c r="F52" i="35"/>
  <c r="F53" i="35"/>
  <c r="F54" i="35"/>
  <c r="F55" i="35"/>
  <c r="F56" i="35"/>
  <c r="F57" i="35"/>
  <c r="F58" i="35"/>
  <c r="F59" i="35"/>
  <c r="F60" i="35"/>
  <c r="F61" i="35"/>
  <c r="F62" i="35"/>
  <c r="F63" i="35"/>
  <c r="F64" i="35"/>
  <c r="F65" i="35"/>
  <c r="F67" i="35"/>
  <c r="F68" i="35"/>
  <c r="F69" i="35"/>
  <c r="F70" i="35"/>
  <c r="F71" i="35"/>
  <c r="F72" i="35"/>
  <c r="F73" i="35"/>
  <c r="F74" i="35"/>
  <c r="F75" i="35"/>
  <c r="F76" i="35"/>
  <c r="F77" i="35"/>
  <c r="F78" i="35"/>
  <c r="F79" i="35"/>
  <c r="F80" i="35"/>
  <c r="F81" i="35"/>
  <c r="F82" i="35"/>
  <c r="F83" i="35"/>
  <c r="F84" i="35"/>
  <c r="F85" i="35"/>
  <c r="F86" i="35"/>
  <c r="F87" i="35"/>
  <c r="F88" i="35"/>
  <c r="F89" i="35"/>
  <c r="F90" i="35"/>
  <c r="F91" i="35"/>
  <c r="F92" i="35"/>
  <c r="F93" i="35"/>
  <c r="F94" i="35"/>
  <c r="F95" i="35"/>
  <c r="F96" i="35"/>
  <c r="F97" i="35"/>
  <c r="F98" i="35"/>
  <c r="F99" i="35"/>
  <c r="F100" i="35"/>
  <c r="F101" i="35"/>
  <c r="F102" i="35"/>
  <c r="F103" i="35"/>
  <c r="F104" i="35"/>
  <c r="F105" i="35"/>
  <c r="F106" i="35"/>
  <c r="F107" i="35"/>
  <c r="F108" i="35"/>
  <c r="F109" i="35"/>
  <c r="F110" i="35"/>
  <c r="F111" i="35"/>
  <c r="F112" i="35"/>
  <c r="F113" i="35"/>
  <c r="F114" i="35"/>
  <c r="F115" i="35"/>
  <c r="F116" i="35"/>
  <c r="F117" i="35"/>
  <c r="F118" i="35"/>
  <c r="F119" i="35"/>
  <c r="F120" i="35"/>
  <c r="F121" i="35"/>
  <c r="F122" i="35"/>
  <c r="F123" i="35"/>
  <c r="F124" i="35"/>
  <c r="F125" i="35"/>
  <c r="F126" i="35"/>
  <c r="F127" i="35"/>
  <c r="F129" i="35"/>
  <c r="F130" i="35"/>
  <c r="F131" i="35"/>
  <c r="F132" i="35"/>
  <c r="F133" i="35"/>
  <c r="F134" i="35"/>
  <c r="F135" i="35"/>
  <c r="F136" i="35"/>
  <c r="F137" i="35"/>
  <c r="F138" i="35"/>
  <c r="F139" i="35"/>
  <c r="F140" i="35"/>
  <c r="F141" i="35"/>
  <c r="F142" i="35"/>
  <c r="F143" i="35"/>
  <c r="F144" i="35"/>
  <c r="F145" i="35"/>
  <c r="F146" i="35"/>
  <c r="F147" i="35"/>
  <c r="F148" i="35"/>
  <c r="F149" i="35"/>
  <c r="F150" i="35"/>
  <c r="F151" i="35"/>
  <c r="F152" i="35"/>
  <c r="F153" i="35"/>
  <c r="F154" i="35"/>
  <c r="F155" i="35"/>
  <c r="F156" i="35"/>
  <c r="F158" i="35"/>
  <c r="F159" i="35"/>
  <c r="F160" i="35"/>
  <c r="F161" i="35"/>
  <c r="F162" i="35"/>
  <c r="F163" i="35"/>
  <c r="F164" i="35"/>
  <c r="F165" i="35"/>
  <c r="F166" i="35"/>
  <c r="F167" i="35"/>
  <c r="F168" i="35"/>
  <c r="F169" i="35"/>
  <c r="F170" i="35"/>
  <c r="F172" i="35"/>
  <c r="F173" i="35"/>
  <c r="F174" i="35"/>
  <c r="F175" i="35"/>
  <c r="F176" i="35"/>
  <c r="F177" i="35"/>
  <c r="F178" i="35"/>
  <c r="F179" i="35"/>
  <c r="F180" i="35"/>
  <c r="F181" i="35"/>
  <c r="F182" i="35"/>
  <c r="F183" i="35"/>
  <c r="F184" i="35"/>
  <c r="F185" i="35"/>
  <c r="F186" i="35"/>
  <c r="F187" i="35"/>
  <c r="F188" i="35"/>
  <c r="F189" i="35"/>
  <c r="F190" i="35"/>
  <c r="F191" i="35"/>
  <c r="F192" i="35"/>
  <c r="F193" i="35"/>
  <c r="F195" i="35"/>
  <c r="F196" i="35"/>
  <c r="F197" i="35"/>
  <c r="F198" i="35"/>
  <c r="F199" i="35"/>
  <c r="F200" i="35"/>
  <c r="F201" i="35"/>
  <c r="F202" i="35"/>
  <c r="F203" i="35"/>
  <c r="F204" i="35"/>
  <c r="F205" i="35"/>
  <c r="F206" i="35"/>
  <c r="F207" i="35"/>
  <c r="F208" i="35"/>
  <c r="F209" i="35"/>
  <c r="F210" i="35"/>
  <c r="F211" i="35"/>
  <c r="F212" i="35"/>
  <c r="F213" i="35"/>
  <c r="F214" i="35"/>
  <c r="F215" i="35"/>
  <c r="F217" i="35"/>
  <c r="F218" i="35"/>
  <c r="F220" i="35"/>
  <c r="F221" i="35"/>
  <c r="F223" i="35"/>
  <c r="F224" i="35"/>
  <c r="F225" i="35"/>
  <c r="F226" i="35"/>
  <c r="F227" i="35"/>
  <c r="F228" i="35"/>
  <c r="F229" i="35"/>
  <c r="F230" i="35"/>
  <c r="F231" i="35"/>
  <c r="F232" i="35"/>
  <c r="F233" i="35"/>
  <c r="F234" i="35"/>
  <c r="F235" i="35"/>
  <c r="F236" i="35"/>
  <c r="F237" i="35"/>
  <c r="F238" i="35"/>
  <c r="F239" i="35"/>
  <c r="F240" i="35"/>
  <c r="F241" i="35"/>
  <c r="F242" i="35"/>
  <c r="F243" i="35"/>
  <c r="F244" i="35"/>
  <c r="F245" i="35"/>
  <c r="F247" i="35"/>
  <c r="F248" i="35"/>
  <c r="F250" i="35"/>
  <c r="F251" i="35"/>
  <c r="F252" i="35"/>
  <c r="F253" i="35"/>
  <c r="F254" i="35"/>
  <c r="F255" i="35"/>
  <c r="F256" i="35"/>
  <c r="F257" i="35"/>
  <c r="F258" i="35"/>
  <c r="F259" i="35"/>
  <c r="F260" i="35"/>
  <c r="F261" i="35"/>
  <c r="F262" i="35"/>
  <c r="F263" i="35"/>
  <c r="F264" i="35"/>
  <c r="F265" i="35"/>
  <c r="F266" i="35"/>
  <c r="F267" i="35"/>
  <c r="F268" i="35"/>
  <c r="F269" i="35"/>
  <c r="F270" i="35"/>
  <c r="F271" i="35"/>
  <c r="F273" i="35"/>
  <c r="F274" i="35"/>
  <c r="F275" i="35"/>
  <c r="F276" i="35"/>
  <c r="F277" i="35"/>
  <c r="F278" i="35"/>
  <c r="F279" i="35"/>
  <c r="F280" i="35"/>
  <c r="F281" i="35"/>
  <c r="F282" i="35"/>
  <c r="F283" i="35"/>
  <c r="F284" i="35"/>
  <c r="F285" i="35"/>
  <c r="F286" i="35"/>
  <c r="F287" i="35"/>
  <c r="F288" i="35"/>
  <c r="F289" i="35"/>
  <c r="F290" i="35"/>
  <c r="F291" i="35"/>
  <c r="F292" i="35"/>
  <c r="F293" i="35"/>
  <c r="F294" i="35"/>
  <c r="F295" i="35"/>
  <c r="F296" i="35"/>
  <c r="F297" i="35"/>
  <c r="F298" i="35"/>
  <c r="F299" i="35"/>
  <c r="F300" i="35"/>
  <c r="F301" i="35"/>
  <c r="F302" i="35"/>
  <c r="F303" i="35"/>
  <c r="F304" i="35"/>
  <c r="F305" i="35"/>
  <c r="F306" i="35"/>
  <c r="F307" i="35"/>
  <c r="F308" i="35"/>
  <c r="F309" i="35"/>
  <c r="F310" i="35"/>
  <c r="F311" i="35"/>
  <c r="F312" i="35"/>
  <c r="F313" i="35"/>
  <c r="F314" i="35"/>
  <c r="F315" i="35"/>
  <c r="F316" i="35"/>
  <c r="F317" i="35"/>
  <c r="F318" i="35"/>
  <c r="F319" i="35"/>
  <c r="F320" i="35"/>
  <c r="F321" i="35"/>
  <c r="F322" i="35"/>
  <c r="F323" i="35"/>
  <c r="F324" i="35"/>
  <c r="F325" i="35"/>
  <c r="F326" i="35"/>
  <c r="F327" i="35"/>
  <c r="F328" i="35"/>
  <c r="F329" i="35"/>
  <c r="F330" i="35"/>
  <c r="F331" i="35"/>
  <c r="F332" i="35"/>
  <c r="F333" i="35"/>
  <c r="F334" i="35"/>
  <c r="F335" i="35"/>
  <c r="F336" i="35"/>
  <c r="F337" i="35"/>
  <c r="F338" i="35"/>
  <c r="F339" i="35"/>
  <c r="F341" i="35"/>
  <c r="F342" i="35"/>
  <c r="F343" i="35"/>
  <c r="F344" i="35"/>
  <c r="F345" i="35"/>
  <c r="F346" i="35"/>
  <c r="F347" i="35"/>
  <c r="F348" i="35"/>
  <c r="F349" i="35"/>
  <c r="F350" i="35"/>
  <c r="F351" i="35"/>
  <c r="F352" i="35"/>
  <c r="F353" i="35"/>
  <c r="F354" i="35"/>
  <c r="G33" i="31"/>
  <c r="H33" i="31"/>
  <c r="M39" i="10"/>
  <c r="O39" i="10" s="1"/>
  <c r="M38" i="10"/>
  <c r="O38" i="10" s="1"/>
  <c r="M37" i="10"/>
  <c r="O37" i="10" s="1"/>
  <c r="M36" i="10"/>
  <c r="O36" i="10" s="1"/>
  <c r="M35" i="10"/>
  <c r="O35" i="10" s="1"/>
  <c r="M34" i="10"/>
  <c r="O34" i="10" s="1"/>
  <c r="M33" i="10"/>
  <c r="O33" i="10" s="1"/>
  <c r="M31" i="10"/>
  <c r="O31" i="10" s="1"/>
  <c r="M30" i="10"/>
  <c r="O30" i="10" s="1"/>
  <c r="M28" i="10"/>
  <c r="O28" i="10" s="1"/>
  <c r="M27" i="10"/>
  <c r="O27" i="10" s="1"/>
  <c r="M26" i="10"/>
  <c r="O26" i="10" s="1"/>
  <c r="M25" i="10"/>
  <c r="O25" i="10" s="1"/>
  <c r="M24" i="10"/>
  <c r="O24" i="10" s="1"/>
  <c r="M23" i="10"/>
  <c r="O23" i="10" s="1"/>
  <c r="M22" i="10"/>
  <c r="O22" i="10" s="1"/>
  <c r="M20" i="10"/>
  <c r="O20" i="10" s="1"/>
  <c r="M19" i="10"/>
  <c r="O19" i="10" s="1"/>
  <c r="N21" i="10"/>
  <c r="N29" i="10" s="1"/>
  <c r="N32" i="10" s="1"/>
  <c r="N40" i="10" s="1"/>
  <c r="L21" i="10"/>
  <c r="L29" i="10"/>
  <c r="L32" i="10" s="1"/>
  <c r="L40" i="10" s="1"/>
  <c r="K21" i="10"/>
  <c r="K29" i="10" s="1"/>
  <c r="K32" i="10" s="1"/>
  <c r="K40" i="10" s="1"/>
  <c r="J21" i="10"/>
  <c r="J29" i="10" s="1"/>
  <c r="J32" i="10" s="1"/>
  <c r="J40" i="10" s="1"/>
  <c r="M18" i="10"/>
  <c r="O18" i="10" s="1"/>
  <c r="H21" i="10"/>
  <c r="H29" i="10" s="1"/>
  <c r="G80" i="31"/>
  <c r="G81" i="31"/>
  <c r="G82" i="31"/>
  <c r="G83" i="31"/>
  <c r="G84" i="31"/>
  <c r="G85" i="31"/>
  <c r="G86" i="31"/>
  <c r="G87" i="31"/>
  <c r="G88" i="31"/>
  <c r="H80" i="31"/>
  <c r="H81" i="31"/>
  <c r="H82" i="31"/>
  <c r="H83" i="31"/>
  <c r="H84" i="31"/>
  <c r="H85" i="31"/>
  <c r="H86" i="31"/>
  <c r="H87" i="31"/>
  <c r="H88" i="31"/>
  <c r="G79" i="31"/>
  <c r="H79" i="31"/>
  <c r="G69" i="31"/>
  <c r="H69" i="31"/>
  <c r="G7" i="31"/>
  <c r="H7" i="31"/>
  <c r="G45" i="31"/>
  <c r="G46" i="31"/>
  <c r="H45" i="31"/>
  <c r="H46" i="31"/>
  <c r="G3" i="31"/>
  <c r="G4" i="31"/>
  <c r="G5" i="31"/>
  <c r="G11" i="31"/>
  <c r="G12" i="31"/>
  <c r="G13" i="31"/>
  <c r="G14" i="31"/>
  <c r="G15" i="31"/>
  <c r="G16" i="31"/>
  <c r="G18" i="31"/>
  <c r="G19" i="31"/>
  <c r="G21" i="31"/>
  <c r="G22" i="31"/>
  <c r="G23" i="31"/>
  <c r="G24" i="31"/>
  <c r="G26" i="31"/>
  <c r="G27" i="31"/>
  <c r="G28" i="31"/>
  <c r="G29" i="31"/>
  <c r="G30" i="31"/>
  <c r="G31" i="31"/>
  <c r="G34" i="31"/>
  <c r="G35" i="31"/>
  <c r="G36" i="31"/>
  <c r="G38" i="31"/>
  <c r="G39" i="31"/>
  <c r="G41" i="31"/>
  <c r="G42" i="31"/>
  <c r="G43" i="31"/>
  <c r="G44" i="31"/>
  <c r="G47" i="31"/>
  <c r="G48" i="31"/>
  <c r="G49" i="31"/>
  <c r="G50" i="31"/>
  <c r="G51" i="31"/>
  <c r="G52" i="31"/>
  <c r="G53" i="31"/>
  <c r="G54" i="31"/>
  <c r="G55" i="31"/>
  <c r="G56" i="31"/>
  <c r="G57" i="31"/>
  <c r="G58" i="31"/>
  <c r="G59" i="31"/>
  <c r="G60" i="31"/>
  <c r="G61" i="31"/>
  <c r="G62" i="31"/>
  <c r="G63" i="31"/>
  <c r="G64" i="31"/>
  <c r="G65" i="31"/>
  <c r="G66" i="31"/>
  <c r="G67" i="31"/>
  <c r="G68" i="31"/>
  <c r="G70" i="31"/>
  <c r="G71" i="31"/>
  <c r="G72" i="31"/>
  <c r="G73" i="31"/>
  <c r="G74" i="31"/>
  <c r="G75" i="31"/>
  <c r="G76" i="31"/>
  <c r="G77" i="31"/>
  <c r="G78" i="31"/>
  <c r="C19" i="14"/>
  <c r="C21" i="14"/>
  <c r="C27" i="14"/>
  <c r="C31" i="14"/>
  <c r="C33" i="14"/>
  <c r="C35" i="14"/>
  <c r="C39" i="14"/>
  <c r="C43" i="14"/>
  <c r="C76" i="14"/>
  <c r="D75" i="14"/>
  <c r="A2" i="34"/>
  <c r="J3" i="33"/>
  <c r="D16" i="36"/>
  <c r="G16" i="10"/>
  <c r="H21" i="31"/>
  <c r="H22" i="31"/>
  <c r="H23" i="31"/>
  <c r="H24" i="31"/>
  <c r="H14" i="31"/>
  <c r="H15" i="31"/>
  <c r="H11" i="31"/>
  <c r="H13" i="31"/>
  <c r="H12" i="31"/>
  <c r="H2" i="31"/>
  <c r="H3" i="31"/>
  <c r="H4" i="31"/>
  <c r="H5" i="31"/>
  <c r="H16" i="31"/>
  <c r="H18" i="31"/>
  <c r="H19" i="31"/>
  <c r="H26" i="31"/>
  <c r="H27" i="31"/>
  <c r="H28" i="31"/>
  <c r="H29" i="31"/>
  <c r="H30" i="31"/>
  <c r="H31" i="31"/>
  <c r="H34" i="31"/>
  <c r="H35" i="31"/>
  <c r="H36" i="31"/>
  <c r="H38" i="31"/>
  <c r="H39" i="31"/>
  <c r="H41" i="31"/>
  <c r="H42" i="31"/>
  <c r="H43" i="31"/>
  <c r="H44" i="31"/>
  <c r="H47" i="31"/>
  <c r="H48" i="31"/>
  <c r="H49" i="31"/>
  <c r="H50" i="31"/>
  <c r="H51" i="31"/>
  <c r="H52" i="31"/>
  <c r="H53" i="31"/>
  <c r="H54" i="31"/>
  <c r="H55" i="31"/>
  <c r="H56" i="31"/>
  <c r="H57" i="31"/>
  <c r="H58" i="31"/>
  <c r="H59" i="31"/>
  <c r="H60" i="31"/>
  <c r="H61" i="31"/>
  <c r="H62" i="31"/>
  <c r="H63" i="31"/>
  <c r="H64" i="31"/>
  <c r="H65" i="31"/>
  <c r="H66" i="31"/>
  <c r="H67" i="31"/>
  <c r="H68" i="31"/>
  <c r="H70" i="31"/>
  <c r="H71" i="31"/>
  <c r="H72" i="31"/>
  <c r="H73" i="31"/>
  <c r="H74" i="31"/>
  <c r="H75" i="31"/>
  <c r="H76" i="31"/>
  <c r="H77" i="31"/>
  <c r="H78" i="31"/>
  <c r="C31" i="8"/>
  <c r="C19" i="36"/>
  <c r="C54" i="8"/>
  <c r="D46" i="8"/>
  <c r="C46" i="8"/>
  <c r="C42" i="8"/>
  <c r="D38" i="8"/>
  <c r="C38" i="8"/>
  <c r="C34" i="8"/>
  <c r="D30" i="8"/>
  <c r="D26" i="8"/>
  <c r="C26" i="8"/>
  <c r="D22" i="8"/>
  <c r="C22" i="8"/>
  <c r="D38" i="36"/>
  <c r="D34" i="36"/>
  <c r="C34" i="36"/>
  <c r="D30" i="36"/>
  <c r="D26" i="36"/>
  <c r="C26" i="36"/>
  <c r="D22" i="36"/>
  <c r="D134" i="2"/>
  <c r="C134" i="2"/>
  <c r="D130" i="2"/>
  <c r="D126" i="2"/>
  <c r="C126" i="2"/>
  <c r="D122" i="2"/>
  <c r="D118" i="2"/>
  <c r="C118" i="2"/>
  <c r="D114" i="2"/>
  <c r="D110" i="2"/>
  <c r="C110" i="2"/>
  <c r="D106" i="2"/>
  <c r="D102" i="2"/>
  <c r="C102" i="2"/>
  <c r="D98" i="2"/>
  <c r="D94" i="2"/>
  <c r="C94" i="2"/>
  <c r="D90" i="2"/>
  <c r="D86" i="2"/>
  <c r="C86" i="2"/>
  <c r="D82" i="2"/>
  <c r="C82" i="2"/>
  <c r="D78" i="2"/>
  <c r="C78" i="2"/>
  <c r="C74" i="2"/>
  <c r="D70" i="2"/>
  <c r="C70" i="2"/>
  <c r="C66" i="2"/>
  <c r="D62" i="2"/>
  <c r="D58" i="2"/>
  <c r="C58" i="2"/>
  <c r="D54" i="2"/>
  <c r="D50" i="2"/>
  <c r="C50" i="2"/>
  <c r="C46" i="2"/>
  <c r="D42" i="2"/>
  <c r="C42" i="2"/>
  <c r="C38" i="2"/>
  <c r="D34" i="2"/>
  <c r="D30" i="2"/>
  <c r="C30" i="2"/>
  <c r="D26" i="2"/>
  <c r="D22" i="2"/>
  <c r="C22" i="2"/>
  <c r="C156" i="1"/>
  <c r="C152" i="1"/>
  <c r="C148" i="1"/>
  <c r="C132" i="1"/>
  <c r="C120" i="1"/>
  <c r="C116" i="1"/>
  <c r="C53" i="8"/>
  <c r="C45" i="8"/>
  <c r="C37" i="8"/>
  <c r="C29" i="8"/>
  <c r="C25" i="8"/>
  <c r="C33" i="36"/>
  <c r="C29" i="36"/>
  <c r="C25" i="36"/>
  <c r="C129" i="2"/>
  <c r="C125" i="2"/>
  <c r="C117" i="2"/>
  <c r="D21" i="14"/>
  <c r="D68" i="8"/>
  <c r="C64" i="8"/>
  <c r="C60" i="8"/>
  <c r="D56" i="8"/>
  <c r="C56" i="8"/>
  <c r="D52" i="8"/>
  <c r="C52" i="8"/>
  <c r="D48" i="8"/>
  <c r="C48" i="8"/>
  <c r="D44" i="8"/>
  <c r="C44" i="8"/>
  <c r="D40" i="8"/>
  <c r="C40" i="8"/>
  <c r="D36" i="8"/>
  <c r="C36" i="8"/>
  <c r="D32" i="8"/>
  <c r="C32" i="8"/>
  <c r="D28" i="8"/>
  <c r="C28" i="8"/>
  <c r="D24" i="8"/>
  <c r="C24" i="8"/>
  <c r="D20" i="8"/>
  <c r="C20" i="8"/>
  <c r="D36" i="36"/>
  <c r="C36" i="36"/>
  <c r="D32" i="36"/>
  <c r="C32" i="36"/>
  <c r="D28" i="36"/>
  <c r="C28" i="36"/>
  <c r="D24" i="36"/>
  <c r="C24" i="36"/>
  <c r="D20" i="36"/>
  <c r="C20" i="36"/>
  <c r="D132" i="2"/>
  <c r="C132" i="2"/>
  <c r="D128" i="2"/>
  <c r="C128" i="2"/>
  <c r="D124" i="2"/>
  <c r="C124" i="2"/>
  <c r="D120" i="2"/>
  <c r="C120" i="2"/>
  <c r="D116" i="2"/>
  <c r="C116" i="2"/>
  <c r="D112" i="2"/>
  <c r="C112" i="2"/>
  <c r="D108" i="2"/>
  <c r="C108" i="2"/>
  <c r="D104" i="2"/>
  <c r="C104" i="2"/>
  <c r="D100" i="2"/>
  <c r="C100" i="2"/>
  <c r="D96" i="2"/>
  <c r="C96" i="2"/>
  <c r="D92" i="2"/>
  <c r="C92" i="2"/>
  <c r="D88" i="2"/>
  <c r="C88" i="2"/>
  <c r="D84" i="2"/>
  <c r="C84" i="2"/>
  <c r="D80" i="2"/>
  <c r="C80" i="2"/>
  <c r="D76" i="2"/>
  <c r="C76" i="2"/>
  <c r="D72" i="2"/>
  <c r="C72" i="2"/>
  <c r="D68" i="2"/>
  <c r="C68" i="2"/>
  <c r="D64" i="2"/>
  <c r="C64" i="2"/>
  <c r="D60" i="2"/>
  <c r="C60" i="2"/>
  <c r="D56" i="2"/>
  <c r="C56" i="2"/>
  <c r="D52" i="2"/>
  <c r="C52" i="2"/>
  <c r="D48" i="2"/>
  <c r="C48" i="2"/>
  <c r="D44" i="2"/>
  <c r="C44" i="2"/>
  <c r="D40" i="2"/>
  <c r="C40" i="2"/>
  <c r="D36" i="2"/>
  <c r="C36" i="2"/>
  <c r="D32" i="2"/>
  <c r="C32" i="2"/>
  <c r="D28" i="2"/>
  <c r="C28" i="2"/>
  <c r="D24" i="2"/>
  <c r="C24" i="2"/>
  <c r="D20" i="2"/>
  <c r="C20" i="2"/>
  <c r="D154" i="1"/>
  <c r="C154" i="1"/>
  <c r="D150" i="1"/>
  <c r="C150" i="1"/>
  <c r="D146" i="1"/>
  <c r="C146" i="1"/>
  <c r="D142" i="1"/>
  <c r="C142" i="1"/>
  <c r="D138" i="1"/>
  <c r="C138" i="1"/>
  <c r="D134" i="1"/>
  <c r="C134" i="1"/>
  <c r="D130" i="1"/>
  <c r="C130" i="1"/>
  <c r="D126" i="1"/>
  <c r="C126" i="1"/>
  <c r="D122" i="1"/>
  <c r="C122" i="1"/>
  <c r="D118" i="1"/>
  <c r="C118" i="1"/>
  <c r="D114" i="1"/>
  <c r="C114" i="1"/>
  <c r="D110" i="1"/>
  <c r="C110" i="1"/>
  <c r="D106" i="1"/>
  <c r="C106" i="1"/>
  <c r="D102" i="1"/>
  <c r="C102" i="1"/>
  <c r="D98" i="1"/>
  <c r="C98" i="1"/>
  <c r="D94" i="1"/>
  <c r="C94" i="1"/>
  <c r="D90" i="1"/>
  <c r="C90" i="1"/>
  <c r="D82" i="1"/>
  <c r="C82" i="1"/>
  <c r="D78" i="1"/>
  <c r="C78" i="1"/>
  <c r="D74" i="1"/>
  <c r="C74" i="1"/>
  <c r="D70" i="1"/>
  <c r="C70" i="1"/>
  <c r="D66" i="1"/>
  <c r="C66" i="1"/>
  <c r="D62" i="1"/>
  <c r="C62" i="1"/>
  <c r="D58" i="1"/>
  <c r="C58" i="1"/>
  <c r="D54" i="1"/>
  <c r="C54" i="1"/>
  <c r="D50" i="1"/>
  <c r="C50" i="1"/>
  <c r="D46" i="1"/>
  <c r="C46" i="1"/>
  <c r="D42" i="1"/>
  <c r="C42" i="1"/>
  <c r="D38" i="1"/>
  <c r="C38" i="1"/>
  <c r="D34" i="1"/>
  <c r="C34" i="1"/>
  <c r="D30" i="1"/>
  <c r="C30" i="1"/>
  <c r="D26" i="1"/>
  <c r="C26" i="1"/>
  <c r="D22" i="1"/>
  <c r="C22" i="1"/>
  <c r="C84" i="1"/>
  <c r="D24" i="14"/>
  <c r="D67" i="8"/>
  <c r="D59" i="8"/>
  <c r="D55" i="8"/>
  <c r="D51" i="8"/>
  <c r="D47" i="8"/>
  <c r="D43" i="8"/>
  <c r="D39" i="8"/>
  <c r="D35" i="8"/>
  <c r="D31" i="8"/>
  <c r="D27" i="8"/>
  <c r="D23" i="8"/>
  <c r="D19" i="8"/>
  <c r="D35" i="36"/>
  <c r="D31" i="36"/>
  <c r="D27" i="36"/>
  <c r="D23" i="36"/>
  <c r="D19" i="36"/>
  <c r="D131" i="2"/>
  <c r="D127" i="2"/>
  <c r="D123" i="2"/>
  <c r="D119" i="2"/>
  <c r="D115" i="2"/>
  <c r="D111" i="2"/>
  <c r="D107" i="2"/>
  <c r="D103" i="2"/>
  <c r="D99" i="2"/>
  <c r="C99" i="2"/>
  <c r="D95" i="2"/>
  <c r="C95" i="2"/>
  <c r="D91" i="2"/>
  <c r="C91" i="2"/>
  <c r="D87" i="2"/>
  <c r="C87" i="2"/>
  <c r="D83" i="2"/>
  <c r="C83" i="2"/>
  <c r="D79" i="2"/>
  <c r="C79" i="2"/>
  <c r="D75" i="2"/>
  <c r="C75" i="2"/>
  <c r="D71" i="2"/>
  <c r="C71" i="2"/>
  <c r="D67" i="2"/>
  <c r="C67" i="2"/>
  <c r="D63" i="2"/>
  <c r="C63" i="2"/>
  <c r="D59" i="2"/>
  <c r="C59" i="2"/>
  <c r="D55" i="2"/>
  <c r="C55" i="2"/>
  <c r="D51" i="2"/>
  <c r="C51" i="2"/>
  <c r="D47" i="2"/>
  <c r="C47" i="2"/>
  <c r="D43" i="2"/>
  <c r="C43" i="2"/>
  <c r="D39" i="2"/>
  <c r="C39" i="2"/>
  <c r="D35" i="2"/>
  <c r="C35" i="2"/>
  <c r="D31" i="2"/>
  <c r="C31" i="2"/>
  <c r="D27" i="2"/>
  <c r="C27" i="2"/>
  <c r="D23" i="2"/>
  <c r="C23" i="2"/>
  <c r="D19" i="2"/>
  <c r="C19" i="2"/>
  <c r="D153" i="1"/>
  <c r="C153" i="1"/>
  <c r="D149" i="1"/>
  <c r="C149" i="1"/>
  <c r="D145" i="1"/>
  <c r="C145" i="1"/>
  <c r="D141" i="1"/>
  <c r="C141" i="1"/>
  <c r="D137" i="1"/>
  <c r="C137" i="1"/>
  <c r="D133" i="1"/>
  <c r="C133" i="1"/>
  <c r="D129" i="1"/>
  <c r="C129" i="1"/>
  <c r="D125" i="1"/>
  <c r="C125" i="1"/>
  <c r="D121" i="1"/>
  <c r="C121" i="1"/>
  <c r="D117" i="1"/>
  <c r="C117" i="1"/>
  <c r="D113" i="1"/>
  <c r="C113" i="1"/>
  <c r="D109" i="1"/>
  <c r="C109" i="1"/>
  <c r="D105" i="1"/>
  <c r="C105" i="1"/>
  <c r="D101" i="1"/>
  <c r="C101" i="1"/>
  <c r="D97" i="1"/>
  <c r="C97" i="1"/>
  <c r="D93" i="1"/>
  <c r="C93" i="1"/>
  <c r="D85" i="1"/>
  <c r="C85" i="1"/>
  <c r="D81" i="1"/>
  <c r="C81" i="1"/>
  <c r="D77" i="1"/>
  <c r="C77" i="1"/>
  <c r="D73" i="1"/>
  <c r="C73" i="1"/>
  <c r="D69" i="1"/>
  <c r="C69" i="1"/>
  <c r="D65" i="1"/>
  <c r="C65" i="1"/>
  <c r="D61" i="1"/>
  <c r="C61" i="1"/>
  <c r="D57" i="1"/>
  <c r="C57" i="1"/>
  <c r="D53" i="1"/>
  <c r="C53" i="1"/>
  <c r="D49" i="1"/>
  <c r="C49" i="1"/>
  <c r="D45" i="1"/>
  <c r="C45" i="1"/>
  <c r="D41" i="1"/>
  <c r="C41" i="1"/>
  <c r="D37" i="1"/>
  <c r="C37" i="1"/>
  <c r="D33" i="1"/>
  <c r="C33" i="1"/>
  <c r="C67" i="8"/>
  <c r="C51" i="8"/>
  <c r="C35" i="8"/>
  <c r="C19" i="8"/>
  <c r="C23" i="36"/>
  <c r="C123" i="2"/>
  <c r="C111" i="2"/>
  <c r="C103" i="2"/>
  <c r="C100" i="1"/>
  <c r="C80" i="1"/>
  <c r="D152" i="1"/>
  <c r="D148" i="1"/>
  <c r="D144" i="1"/>
  <c r="D140" i="1"/>
  <c r="D136" i="1"/>
  <c r="D132" i="1"/>
  <c r="D128" i="1"/>
  <c r="D124" i="1"/>
  <c r="D120" i="1"/>
  <c r="D116" i="1"/>
  <c r="D104" i="1"/>
  <c r="D92" i="1"/>
  <c r="D68" i="1"/>
  <c r="D64" i="1"/>
  <c r="D60" i="1"/>
  <c r="C60" i="1"/>
  <c r="D56" i="1"/>
  <c r="C56" i="1"/>
  <c r="D52" i="1"/>
  <c r="C52" i="1"/>
  <c r="D48" i="1"/>
  <c r="C48" i="1"/>
  <c r="D44" i="1"/>
  <c r="C44" i="1"/>
  <c r="D40" i="1"/>
  <c r="C40" i="1"/>
  <c r="D36" i="1"/>
  <c r="C36" i="1"/>
  <c r="D32" i="1"/>
  <c r="C32" i="1"/>
  <c r="D28" i="1"/>
  <c r="C28" i="1"/>
  <c r="D24" i="1"/>
  <c r="C24" i="1"/>
  <c r="C55" i="8"/>
  <c r="C39" i="8"/>
  <c r="C23" i="8"/>
  <c r="C27" i="36"/>
  <c r="C127" i="2"/>
  <c r="C144" i="1"/>
  <c r="C128" i="1"/>
  <c r="C112" i="1"/>
  <c r="C96" i="1"/>
  <c r="C76" i="1"/>
  <c r="D42" i="14"/>
  <c r="D38" i="14"/>
  <c r="D34" i="14"/>
  <c r="D30" i="14"/>
  <c r="D26" i="14"/>
  <c r="D22" i="14"/>
  <c r="D69" i="8"/>
  <c r="D65" i="8"/>
  <c r="D61" i="8"/>
  <c r="D57" i="8"/>
  <c r="D53" i="8"/>
  <c r="D49" i="8"/>
  <c r="D45" i="8"/>
  <c r="D41" i="8"/>
  <c r="D37" i="8"/>
  <c r="D33" i="8"/>
  <c r="D29" i="8"/>
  <c r="D25" i="8"/>
  <c r="D21" i="8"/>
  <c r="D37" i="36"/>
  <c r="D33" i="36"/>
  <c r="D29" i="36"/>
  <c r="D25" i="36"/>
  <c r="D21" i="36"/>
  <c r="D133" i="2"/>
  <c r="D129" i="2"/>
  <c r="D125" i="2"/>
  <c r="D121" i="2"/>
  <c r="D117" i="2"/>
  <c r="D113" i="2"/>
  <c r="C113" i="2"/>
  <c r="D109" i="2"/>
  <c r="C109" i="2"/>
  <c r="D105" i="2"/>
  <c r="C105" i="2"/>
  <c r="D101" i="2"/>
  <c r="C101" i="2"/>
  <c r="D97" i="2"/>
  <c r="C97" i="2"/>
  <c r="D93" i="2"/>
  <c r="C93" i="2"/>
  <c r="D89" i="2"/>
  <c r="C89" i="2"/>
  <c r="D85" i="2"/>
  <c r="C85" i="2"/>
  <c r="D81" i="2"/>
  <c r="C81" i="2"/>
  <c r="D77" i="2"/>
  <c r="C77" i="2"/>
  <c r="D73" i="2"/>
  <c r="C73" i="2"/>
  <c r="D69" i="2"/>
  <c r="C69" i="2"/>
  <c r="D65" i="2"/>
  <c r="C65" i="2"/>
  <c r="D61" i="2"/>
  <c r="C61" i="2"/>
  <c r="D57" i="2"/>
  <c r="C57" i="2"/>
  <c r="D53" i="2"/>
  <c r="C53" i="2"/>
  <c r="D49" i="2"/>
  <c r="C49" i="2"/>
  <c r="D45" i="2"/>
  <c r="C45" i="2"/>
  <c r="D41" i="2"/>
  <c r="C41" i="2"/>
  <c r="D37" i="2"/>
  <c r="C37" i="2"/>
  <c r="D33" i="2"/>
  <c r="C33" i="2"/>
  <c r="D29" i="2"/>
  <c r="C29" i="2"/>
  <c r="D25" i="2"/>
  <c r="C25" i="2"/>
  <c r="D21" i="2"/>
  <c r="C21" i="2"/>
  <c r="D155" i="1"/>
  <c r="C155" i="1"/>
  <c r="D151" i="1"/>
  <c r="C151" i="1"/>
  <c r="D147" i="1"/>
  <c r="C147" i="1"/>
  <c r="D143" i="1"/>
  <c r="C143" i="1"/>
  <c r="D139" i="1"/>
  <c r="C139" i="1"/>
  <c r="D135" i="1"/>
  <c r="C135" i="1"/>
  <c r="D131" i="1"/>
  <c r="C131" i="1"/>
  <c r="D127" i="1"/>
  <c r="C127" i="1"/>
  <c r="D123" i="1"/>
  <c r="C123" i="1"/>
  <c r="D119" i="1"/>
  <c r="C119" i="1"/>
  <c r="D115" i="1"/>
  <c r="C115" i="1"/>
  <c r="D111" i="1"/>
  <c r="C111" i="1"/>
  <c r="D107" i="1"/>
  <c r="C107" i="1"/>
  <c r="D103" i="1"/>
  <c r="C103" i="1"/>
  <c r="D99" i="1"/>
  <c r="C99" i="1"/>
  <c r="D95" i="1"/>
  <c r="C95" i="1"/>
  <c r="D91" i="1"/>
  <c r="C91" i="1"/>
  <c r="D83" i="1"/>
  <c r="C83" i="1"/>
  <c r="D79" i="1"/>
  <c r="C79" i="1"/>
  <c r="D75" i="1"/>
  <c r="C75" i="1"/>
  <c r="D71" i="1"/>
  <c r="C71" i="1"/>
  <c r="D67" i="1"/>
  <c r="C67" i="1"/>
  <c r="D63" i="1"/>
  <c r="C63" i="1"/>
  <c r="D59" i="1"/>
  <c r="C59" i="1"/>
  <c r="D55" i="1"/>
  <c r="C55" i="1"/>
  <c r="D51" i="1"/>
  <c r="C51" i="1"/>
  <c r="D47" i="1"/>
  <c r="C47" i="1"/>
  <c r="D43" i="1"/>
  <c r="C43" i="1"/>
  <c r="D39" i="1"/>
  <c r="C39" i="1"/>
  <c r="D35" i="1"/>
  <c r="C35" i="1"/>
  <c r="D31" i="1"/>
  <c r="C31" i="1"/>
  <c r="D27" i="1"/>
  <c r="C27" i="1"/>
  <c r="D23" i="1"/>
  <c r="C23" i="1"/>
  <c r="C65" i="8"/>
  <c r="C59" i="8"/>
  <c r="C49" i="8"/>
  <c r="C43" i="8"/>
  <c r="C33" i="8"/>
  <c r="C27" i="8"/>
  <c r="C37" i="36"/>
  <c r="C31" i="36"/>
  <c r="C21" i="36"/>
  <c r="C131" i="2"/>
  <c r="C121" i="2"/>
  <c r="C115" i="2"/>
  <c r="C107" i="2"/>
  <c r="C140" i="1"/>
  <c r="C124" i="1"/>
  <c r="C108" i="1"/>
  <c r="C92" i="1"/>
  <c r="C72" i="1"/>
  <c r="D29" i="1"/>
  <c r="D25" i="1"/>
  <c r="D21" i="1"/>
  <c r="C29" i="1"/>
  <c r="C25" i="1"/>
  <c r="C21" i="1"/>
  <c r="D16" i="1"/>
  <c r="D16" i="2"/>
  <c r="C16" i="1"/>
  <c r="D112" i="1"/>
  <c r="D100" i="1"/>
  <c r="D84" i="1"/>
  <c r="D76" i="1"/>
  <c r="C68" i="1"/>
  <c r="C64" i="1"/>
  <c r="D72" i="1"/>
  <c r="D96" i="1"/>
  <c r="D80" i="1"/>
  <c r="G18" i="10"/>
  <c r="G37" i="10"/>
  <c r="G33" i="10"/>
  <c r="G29" i="10"/>
  <c r="G25" i="10"/>
  <c r="G21" i="10"/>
  <c r="G40" i="10"/>
  <c r="G36" i="10"/>
  <c r="G32" i="10"/>
  <c r="G28" i="10"/>
  <c r="G24" i="10"/>
  <c r="G20" i="10"/>
  <c r="G39" i="10"/>
  <c r="G35" i="10"/>
  <c r="G31" i="10"/>
  <c r="G27" i="10"/>
  <c r="G23" i="10"/>
  <c r="G19" i="10"/>
  <c r="G38" i="10"/>
  <c r="G34" i="10"/>
  <c r="G30" i="10"/>
  <c r="G26" i="10"/>
  <c r="G22" i="10"/>
  <c r="I5" i="35"/>
  <c r="I9" i="35"/>
  <c r="I13" i="35"/>
  <c r="I17" i="35"/>
  <c r="I21" i="35"/>
  <c r="I25" i="35"/>
  <c r="I29" i="35"/>
  <c r="I33" i="35"/>
  <c r="I37" i="35"/>
  <c r="I41" i="35"/>
  <c r="I45" i="35"/>
  <c r="I49" i="35"/>
  <c r="I53" i="35"/>
  <c r="I57" i="35"/>
  <c r="I61" i="35"/>
  <c r="I65" i="35"/>
  <c r="I68" i="35"/>
  <c r="I2" i="35"/>
  <c r="I7" i="35"/>
  <c r="I12" i="35"/>
  <c r="I18" i="35"/>
  <c r="I23" i="35"/>
  <c r="I28" i="35"/>
  <c r="I34" i="35"/>
  <c r="I39" i="35"/>
  <c r="I44" i="35"/>
  <c r="I50" i="35"/>
  <c r="I55" i="35"/>
  <c r="I60" i="35"/>
  <c r="I67" i="35"/>
  <c r="I70" i="35"/>
  <c r="I74" i="35"/>
  <c r="I78" i="35"/>
  <c r="I82" i="35"/>
  <c r="I86" i="35"/>
  <c r="I90" i="35"/>
  <c r="I94" i="35"/>
  <c r="I98" i="35"/>
  <c r="I102" i="35"/>
  <c r="I106" i="35"/>
  <c r="I110" i="35"/>
  <c r="I114" i="35"/>
  <c r="I118" i="35"/>
  <c r="I122" i="35"/>
  <c r="I126" i="35"/>
  <c r="I3" i="35"/>
  <c r="I8" i="35"/>
  <c r="I14" i="35"/>
  <c r="I19" i="35"/>
  <c r="I24" i="35"/>
  <c r="I30" i="35"/>
  <c r="I35" i="35"/>
  <c r="I40" i="35"/>
  <c r="I46" i="35"/>
  <c r="I51" i="35"/>
  <c r="I56" i="35"/>
  <c r="I62" i="35"/>
  <c r="I71" i="35"/>
  <c r="I75" i="35"/>
  <c r="I79" i="35"/>
  <c r="I83" i="35"/>
  <c r="I87" i="35"/>
  <c r="I91" i="35"/>
  <c r="I95" i="35"/>
  <c r="I99" i="35"/>
  <c r="I103" i="35"/>
  <c r="I107" i="35"/>
  <c r="I111" i="35"/>
  <c r="I115" i="35"/>
  <c r="I119" i="35"/>
  <c r="I123" i="35"/>
  <c r="I127" i="35"/>
  <c r="I4" i="35"/>
  <c r="I10" i="35"/>
  <c r="I15" i="35"/>
  <c r="I20" i="35"/>
  <c r="I26" i="35"/>
  <c r="I31" i="35"/>
  <c r="I36" i="35"/>
  <c r="I42" i="35"/>
  <c r="I47" i="35"/>
  <c r="I52" i="35"/>
  <c r="I58" i="35"/>
  <c r="I63" i="35"/>
  <c r="I72" i="35"/>
  <c r="I76" i="35"/>
  <c r="I80" i="35"/>
  <c r="I84" i="35"/>
  <c r="I88" i="35"/>
  <c r="I92" i="35"/>
  <c r="I96" i="35"/>
  <c r="I100" i="35"/>
  <c r="I104" i="35"/>
  <c r="I108" i="35"/>
  <c r="I112" i="35"/>
  <c r="I116" i="35"/>
  <c r="I120" i="35"/>
  <c r="I124" i="35"/>
  <c r="I6" i="35"/>
  <c r="I11" i="35"/>
  <c r="I16" i="35"/>
  <c r="I22" i="35"/>
  <c r="I27" i="35"/>
  <c r="I32" i="35"/>
  <c r="I38" i="35"/>
  <c r="I43" i="35"/>
  <c r="I48" i="35"/>
  <c r="I54" i="35"/>
  <c r="I59" i="35"/>
  <c r="I64" i="35"/>
  <c r="I69" i="35"/>
  <c r="I73" i="35"/>
  <c r="I77" i="35"/>
  <c r="I81" i="35"/>
  <c r="I85" i="35"/>
  <c r="I89" i="35"/>
  <c r="I93" i="35"/>
  <c r="I97" i="35"/>
  <c r="I101" i="35"/>
  <c r="I105" i="35"/>
  <c r="I109" i="35"/>
  <c r="I113" i="35"/>
  <c r="I117" i="35"/>
  <c r="I121" i="35"/>
  <c r="I125" i="35"/>
  <c r="C7" i="14"/>
  <c r="C7" i="2"/>
  <c r="C7" i="8"/>
  <c r="J16" i="36"/>
  <c r="J16" i="8"/>
  <c r="C5" i="36"/>
  <c r="C5" i="1"/>
  <c r="C5" i="2"/>
  <c r="J16" i="2"/>
  <c r="C7" i="1"/>
  <c r="C5" i="8"/>
  <c r="C7" i="36"/>
  <c r="C5" i="14"/>
  <c r="I87" i="1"/>
  <c r="D16" i="14"/>
  <c r="I16" i="14"/>
  <c r="K17" i="14"/>
  <c r="D16" i="8"/>
  <c r="C6" i="36"/>
  <c r="D87" i="1"/>
  <c r="K17" i="8"/>
  <c r="P5" i="33" a="1"/>
  <c r="P5" i="33" s="1"/>
  <c r="C104" i="1"/>
  <c r="D76" i="14"/>
  <c r="D36" i="14"/>
  <c r="C35" i="36"/>
  <c r="C66" i="8"/>
  <c r="C58" i="8"/>
  <c r="C50" i="8"/>
  <c r="D40" i="14"/>
  <c r="D32" i="14"/>
  <c r="C47" i="8"/>
  <c r="C119" i="2"/>
  <c r="I5" i="14"/>
  <c r="I5" i="2"/>
  <c r="C11" i="2"/>
  <c r="J17" i="2"/>
  <c r="I321" i="35"/>
  <c r="I317" i="35"/>
  <c r="I313" i="35"/>
  <c r="I309" i="35"/>
  <c r="I305" i="35"/>
  <c r="I301" i="35"/>
  <c r="I297" i="35"/>
  <c r="I293" i="35"/>
  <c r="I289" i="35"/>
  <c r="I286" i="35"/>
  <c r="I282" i="35"/>
  <c r="I278" i="35"/>
  <c r="I275" i="35"/>
  <c r="I271" i="35"/>
  <c r="I267" i="35"/>
  <c r="I261" i="35"/>
  <c r="I257" i="35"/>
  <c r="I251" i="35"/>
  <c r="I245" i="35"/>
  <c r="I241" i="35"/>
  <c r="I237" i="35"/>
  <c r="I233" i="35"/>
  <c r="I230" i="35"/>
  <c r="I227" i="35"/>
  <c r="I225" i="35"/>
  <c r="I217" i="35"/>
  <c r="I212" i="35"/>
  <c r="I208" i="35"/>
  <c r="I204" i="35"/>
  <c r="I201" i="35"/>
  <c r="I198" i="35"/>
  <c r="I193" i="35"/>
  <c r="I189" i="35"/>
  <c r="I185" i="35"/>
  <c r="I181" i="35"/>
  <c r="I178" i="35"/>
  <c r="I175" i="35"/>
  <c r="I170" i="35"/>
  <c r="I166" i="35"/>
  <c r="I163" i="35"/>
  <c r="I160" i="35"/>
  <c r="I155" i="35"/>
  <c r="I151" i="35"/>
  <c r="I147" i="35"/>
  <c r="I143" i="35"/>
  <c r="I139" i="35"/>
  <c r="I135" i="35"/>
  <c r="I129" i="35"/>
  <c r="I354" i="35"/>
  <c r="I320" i="35"/>
  <c r="I316" i="35"/>
  <c r="I312" i="35"/>
  <c r="I308" i="35"/>
  <c r="I304" i="35"/>
  <c r="I300" i="35"/>
  <c r="I296" i="35"/>
  <c r="I292" i="35"/>
  <c r="I288" i="35"/>
  <c r="I285" i="35"/>
  <c r="I281" i="35"/>
  <c r="I277" i="35"/>
  <c r="I274" i="35"/>
  <c r="I270" i="35"/>
  <c r="I266" i="35"/>
  <c r="I263" i="35"/>
  <c r="I260" i="35"/>
  <c r="I256" i="35"/>
  <c r="I253" i="35"/>
  <c r="I250" i="35"/>
  <c r="I244" i="35"/>
  <c r="I240" i="35"/>
  <c r="I236" i="35"/>
  <c r="I232" i="35"/>
  <c r="I229" i="35"/>
  <c r="I224" i="35"/>
  <c r="I221" i="35"/>
  <c r="I215" i="35"/>
  <c r="I211" i="35"/>
  <c r="I207" i="35"/>
  <c r="I203" i="35"/>
  <c r="I200" i="35"/>
  <c r="I197" i="35"/>
  <c r="I192" i="35"/>
  <c r="I188" i="35"/>
  <c r="I184" i="35"/>
  <c r="I180" i="35"/>
  <c r="I177" i="35"/>
  <c r="I174" i="35"/>
  <c r="I169" i="35"/>
  <c r="I165" i="35"/>
  <c r="I162" i="35"/>
  <c r="I159" i="35"/>
  <c r="I154" i="35"/>
  <c r="I150" i="35"/>
  <c r="I146" i="35"/>
  <c r="I142" i="35"/>
  <c r="I138" i="35"/>
  <c r="I134" i="35"/>
  <c r="I132" i="35"/>
  <c r="I323" i="35"/>
  <c r="I319" i="35"/>
  <c r="I315" i="35"/>
  <c r="I311" i="35"/>
  <c r="I307" i="35"/>
  <c r="I303" i="35"/>
  <c r="I299" i="35"/>
  <c r="I295" i="35"/>
  <c r="I291" i="35"/>
  <c r="I284" i="35"/>
  <c r="I280" i="35"/>
  <c r="I269" i="35"/>
  <c r="I265" i="35"/>
  <c r="I262" i="35"/>
  <c r="I259" i="35"/>
  <c r="I255" i="35"/>
  <c r="I252" i="35"/>
  <c r="I248" i="35"/>
  <c r="I243" i="35"/>
  <c r="I239" i="35"/>
  <c r="I235" i="35"/>
  <c r="I220" i="35"/>
  <c r="I214" i="35"/>
  <c r="I210" i="35"/>
  <c r="I206" i="35"/>
  <c r="I199" i="35"/>
  <c r="I196" i="35"/>
  <c r="I191" i="35"/>
  <c r="I187" i="35"/>
  <c r="I183" i="35"/>
  <c r="I179" i="35"/>
  <c r="I176" i="35"/>
  <c r="I173" i="35"/>
  <c r="I168" i="35"/>
  <c r="I164" i="35"/>
  <c r="I158" i="35"/>
  <c r="I153" i="35"/>
  <c r="I149" i="35"/>
  <c r="I145" i="35"/>
  <c r="I141" i="35"/>
  <c r="I137" i="35"/>
  <c r="I131" i="35"/>
  <c r="I322" i="35"/>
  <c r="I318" i="35"/>
  <c r="I314" i="35"/>
  <c r="I310" i="35"/>
  <c r="I306" i="35"/>
  <c r="I302" i="35"/>
  <c r="I298" i="35"/>
  <c r="I294" i="35"/>
  <c r="I290" i="35"/>
  <c r="I287" i="35"/>
  <c r="I283" i="35"/>
  <c r="I279" i="35"/>
  <c r="I276" i="35"/>
  <c r="I273" i="35"/>
  <c r="I268" i="35"/>
  <c r="I264" i="35"/>
  <c r="I258" i="35"/>
  <c r="I254" i="35"/>
  <c r="I247" i="35"/>
  <c r="I242" i="35"/>
  <c r="I238" i="35"/>
  <c r="I234" i="35"/>
  <c r="I231" i="35"/>
  <c r="I228" i="35"/>
  <c r="I226" i="35"/>
  <c r="I223" i="35"/>
  <c r="I218" i="35"/>
  <c r="I213" i="35"/>
  <c r="I209" i="35"/>
  <c r="I205" i="35"/>
  <c r="I202" i="35"/>
  <c r="I195" i="35"/>
  <c r="I190" i="35"/>
  <c r="I186" i="35"/>
  <c r="I182" i="35"/>
  <c r="I172" i="35"/>
  <c r="I167" i="35"/>
  <c r="I161" i="35"/>
  <c r="I156" i="35"/>
  <c r="I152" i="35"/>
  <c r="I148" i="35"/>
  <c r="I144" i="35"/>
  <c r="I140" i="35"/>
  <c r="I136" i="35"/>
  <c r="I133" i="35"/>
  <c r="I130" i="35"/>
  <c r="G2" i="37"/>
  <c r="G3" i="37"/>
  <c r="G4" i="37"/>
  <c r="G5" i="37"/>
  <c r="G6" i="37"/>
  <c r="G7" i="37"/>
  <c r="G8" i="37"/>
  <c r="G9" i="37"/>
  <c r="G10" i="37"/>
  <c r="G11" i="37"/>
  <c r="G12" i="37"/>
  <c r="G13" i="37"/>
  <c r="G14" i="37"/>
  <c r="G15" i="37"/>
  <c r="G16" i="37"/>
  <c r="G17" i="37"/>
  <c r="G18" i="37"/>
  <c r="G19" i="37"/>
  <c r="D54" i="8"/>
  <c r="D44" i="14"/>
  <c r="D47" i="14"/>
  <c r="D46" i="14"/>
  <c r="C61" i="8"/>
  <c r="C21" i="8"/>
  <c r="C133" i="2"/>
  <c r="C41" i="8"/>
  <c r="D108" i="1"/>
  <c r="D35" i="14"/>
  <c r="C62" i="8"/>
  <c r="D50" i="8"/>
  <c r="D42" i="8"/>
  <c r="D34" i="8"/>
  <c r="C30" i="8"/>
  <c r="C38" i="36"/>
  <c r="C30" i="36"/>
  <c r="C22" i="36"/>
  <c r="C130" i="2"/>
  <c r="C122" i="2"/>
  <c r="C114" i="2"/>
  <c r="C106" i="2"/>
  <c r="C98" i="2"/>
  <c r="C90" i="2"/>
  <c r="D74" i="2"/>
  <c r="D66" i="2"/>
  <c r="C62" i="2"/>
  <c r="C54" i="2"/>
  <c r="D46" i="2"/>
  <c r="D38" i="2"/>
  <c r="C34" i="2"/>
  <c r="C26" i="2"/>
  <c r="D156" i="1"/>
  <c r="C136" i="1"/>
  <c r="D38" i="10"/>
  <c r="C68" i="8"/>
  <c r="M21" i="10"/>
  <c r="O21" i="10" s="1"/>
  <c r="J17" i="36"/>
  <c r="M16" i="1"/>
  <c r="J17" i="8"/>
  <c r="I5" i="36"/>
  <c r="I16" i="8"/>
  <c r="I16" i="2"/>
  <c r="C6" i="14"/>
  <c r="I16" i="1"/>
  <c r="C6" i="8"/>
  <c r="I5" i="8"/>
  <c r="C16" i="8"/>
  <c r="K5" i="1"/>
  <c r="I16" i="36"/>
  <c r="C6" i="1"/>
  <c r="C6" i="10"/>
  <c r="C10" i="36"/>
  <c r="D58" i="8"/>
  <c r="D66" i="8"/>
  <c r="D74" i="14"/>
  <c r="D70" i="14"/>
  <c r="D62" i="14"/>
  <c r="D49" i="14"/>
  <c r="D19" i="14"/>
  <c r="D61" i="14"/>
  <c r="D27" i="14"/>
  <c r="D43" i="14"/>
  <c r="C63" i="8"/>
  <c r="D39" i="14"/>
  <c r="D73" i="14"/>
  <c r="D65" i="14"/>
  <c r="D56" i="14"/>
  <c r="D48" i="14"/>
  <c r="I353" i="35"/>
  <c r="I352" i="35"/>
  <c r="I351" i="35"/>
  <c r="I350" i="35"/>
  <c r="I349" i="35"/>
  <c r="I348" i="35"/>
  <c r="I347" i="35"/>
  <c r="I346" i="35"/>
  <c r="I345" i="35"/>
  <c r="I344" i="35"/>
  <c r="I343" i="35"/>
  <c r="I342" i="35"/>
  <c r="I341" i="35"/>
  <c r="I339" i="35"/>
  <c r="I338" i="35"/>
  <c r="I337" i="35"/>
  <c r="I336" i="35"/>
  <c r="I335" i="35"/>
  <c r="I334" i="35"/>
  <c r="I333" i="35"/>
  <c r="I332" i="35"/>
  <c r="I331" i="35"/>
  <c r="I330" i="35"/>
  <c r="I329" i="35"/>
  <c r="I328" i="35"/>
  <c r="I327" i="35"/>
  <c r="I326" i="35"/>
  <c r="I325" i="35"/>
  <c r="I324" i="35"/>
  <c r="G20" i="37"/>
  <c r="B19" i="32"/>
  <c r="B15" i="32"/>
  <c r="B22" i="32"/>
  <c r="C5" i="10"/>
  <c r="C7" i="10"/>
  <c r="C6" i="2"/>
  <c r="B17" i="32"/>
  <c r="Z37" i="32"/>
  <c r="Z31" i="32"/>
  <c r="Z33" i="32"/>
  <c r="Z35" i="32"/>
  <c r="B106" i="32"/>
  <c r="B96" i="32"/>
  <c r="B86" i="32"/>
  <c r="B116" i="32"/>
  <c r="B79" i="32"/>
  <c r="B109" i="32"/>
  <c r="B99" i="32"/>
  <c r="B89" i="32"/>
  <c r="B114" i="32"/>
  <c r="B104" i="32"/>
  <c r="B94" i="32"/>
  <c r="B84" i="32"/>
  <c r="B78" i="32"/>
  <c r="B98" i="32"/>
  <c r="B88" i="32"/>
  <c r="B81" i="32"/>
  <c r="B111" i="32"/>
  <c r="B101" i="32"/>
  <c r="B91" i="32"/>
  <c r="B14" i="32"/>
  <c r="Z29" i="32"/>
  <c r="AB29" i="32" s="1"/>
  <c r="O14" i="10"/>
  <c r="K15" i="2"/>
  <c r="C87" i="1"/>
  <c r="AA64" i="32"/>
  <c r="Y64" i="32" s="1"/>
  <c r="J7" i="32"/>
  <c r="G42" i="32"/>
  <c r="H9" i="37"/>
  <c r="H13" i="37"/>
  <c r="H17" i="37"/>
  <c r="G6" i="35"/>
  <c r="G10" i="35"/>
  <c r="G14" i="35"/>
  <c r="G22" i="35"/>
  <c r="G26" i="35"/>
  <c r="G30" i="35"/>
  <c r="G38" i="35"/>
  <c r="G42" i="35"/>
  <c r="G46" i="35"/>
  <c r="G54" i="35"/>
  <c r="G58" i="35"/>
  <c r="G62" i="35"/>
  <c r="G69" i="35"/>
  <c r="G73" i="35"/>
  <c r="G77" i="35"/>
  <c r="G85" i="35"/>
  <c r="G89" i="35"/>
  <c r="G93" i="35"/>
  <c r="G101" i="35"/>
  <c r="G105" i="35"/>
  <c r="G109" i="35"/>
  <c r="G117" i="35"/>
  <c r="G121" i="35"/>
  <c r="G125" i="35"/>
  <c r="G133" i="35"/>
  <c r="G136" i="35"/>
  <c r="G140" i="35"/>
  <c r="G148" i="35"/>
  <c r="G152" i="35"/>
  <c r="G156" i="35"/>
  <c r="G167" i="35"/>
  <c r="G172" i="35"/>
  <c r="G182" i="35"/>
  <c r="G190" i="35"/>
  <c r="G195" i="35"/>
  <c r="G202" i="35"/>
  <c r="G209" i="35"/>
  <c r="G213" i="35"/>
  <c r="G218" i="35"/>
  <c r="G226" i="35"/>
  <c r="G228" i="35"/>
  <c r="G231" i="35"/>
  <c r="G238" i="35"/>
  <c r="G242" i="35"/>
  <c r="G247" i="35"/>
  <c r="G258" i="35"/>
  <c r="G264" i="35"/>
  <c r="G268" i="35"/>
  <c r="G276" i="35"/>
  <c r="G279" i="35"/>
  <c r="G283" i="35"/>
  <c r="G290" i="35"/>
  <c r="G294" i="35"/>
  <c r="G298" i="35"/>
  <c r="G306" i="35"/>
  <c r="H2" i="37"/>
  <c r="H6" i="37"/>
  <c r="H14" i="37"/>
  <c r="H18" i="37"/>
  <c r="G3" i="35"/>
  <c r="G11" i="35"/>
  <c r="G15" i="35"/>
  <c r="G19" i="35"/>
  <c r="G27" i="35"/>
  <c r="G31" i="35"/>
  <c r="G35" i="35"/>
  <c r="G43" i="35"/>
  <c r="G47" i="35"/>
  <c r="G51" i="35"/>
  <c r="G59" i="35"/>
  <c r="G63" i="35"/>
  <c r="G70" i="35"/>
  <c r="G78" i="35"/>
  <c r="G82" i="35"/>
  <c r="G86" i="35"/>
  <c r="G94" i="35"/>
  <c r="G98" i="35"/>
  <c r="G102" i="35"/>
  <c r="G110" i="35"/>
  <c r="G114" i="35"/>
  <c r="G118" i="35"/>
  <c r="G126" i="35"/>
  <c r="G131" i="35"/>
  <c r="G137" i="35"/>
  <c r="G145" i="35"/>
  <c r="G149" i="35"/>
  <c r="G153" i="35"/>
  <c r="G164" i="35"/>
  <c r="G168" i="35"/>
  <c r="G173" i="35"/>
  <c r="G179" i="35"/>
  <c r="G183" i="35"/>
  <c r="G187" i="35"/>
  <c r="G196" i="35"/>
  <c r="G199" i="35"/>
  <c r="G206" i="35"/>
  <c r="G214" i="35"/>
  <c r="G220" i="35"/>
  <c r="G235" i="35"/>
  <c r="G243" i="35"/>
  <c r="G248" i="35"/>
  <c r="G252" i="35"/>
  <c r="G259" i="35"/>
  <c r="G262" i="35"/>
  <c r="G265" i="35"/>
  <c r="G280" i="35"/>
  <c r="G284" i="35"/>
  <c r="G291" i="35"/>
  <c r="G299" i="35"/>
  <c r="G303" i="35"/>
  <c r="H3" i="37"/>
  <c r="H11" i="37"/>
  <c r="H15" i="37"/>
  <c r="H19" i="37"/>
  <c r="G8" i="35"/>
  <c r="G12" i="35"/>
  <c r="G16" i="35"/>
  <c r="G24" i="35"/>
  <c r="G28" i="35"/>
  <c r="G32" i="35"/>
  <c r="G40" i="35"/>
  <c r="G44" i="35"/>
  <c r="G48" i="35"/>
  <c r="G56" i="35"/>
  <c r="G60" i="35"/>
  <c r="G64" i="35"/>
  <c r="G75" i="35"/>
  <c r="G79" i="35"/>
  <c r="G83" i="35"/>
  <c r="G91" i="35"/>
  <c r="G95" i="35"/>
  <c r="G99" i="35"/>
  <c r="G107" i="35"/>
  <c r="G111" i="35"/>
  <c r="G115" i="35"/>
  <c r="G123" i="35"/>
  <c r="G127" i="35"/>
  <c r="G132" i="35"/>
  <c r="G138" i="35"/>
  <c r="G142" i="35"/>
  <c r="G146" i="35"/>
  <c r="G154" i="35"/>
  <c r="G159" i="35"/>
  <c r="G162" i="35"/>
  <c r="G169" i="35"/>
  <c r="G174" i="35"/>
  <c r="G177" i="35"/>
  <c r="G184" i="35"/>
  <c r="G188" i="35"/>
  <c r="G192" i="35"/>
  <c r="G200" i="35"/>
  <c r="G203" i="35"/>
  <c r="G207" i="35"/>
  <c r="G215" i="35"/>
  <c r="G221" i="35"/>
  <c r="G224" i="35"/>
  <c r="G232" i="35"/>
  <c r="G236" i="35"/>
  <c r="G240" i="35"/>
  <c r="G250" i="35"/>
  <c r="G253" i="35"/>
  <c r="G256" i="35"/>
  <c r="G263" i="35"/>
  <c r="G266" i="35"/>
  <c r="G270" i="35"/>
  <c r="G277" i="35"/>
  <c r="G281" i="35"/>
  <c r="G285" i="35"/>
  <c r="G292" i="35"/>
  <c r="G296" i="35"/>
  <c r="G300" i="35"/>
  <c r="H4" i="37"/>
  <c r="H8" i="37"/>
  <c r="H12" i="37"/>
  <c r="H20" i="37"/>
  <c r="G5" i="35"/>
  <c r="G9" i="35"/>
  <c r="G17" i="35"/>
  <c r="G21" i="35"/>
  <c r="G25" i="35"/>
  <c r="G33" i="35"/>
  <c r="G37" i="35"/>
  <c r="G41" i="35"/>
  <c r="G49" i="35"/>
  <c r="G53" i="35"/>
  <c r="G57" i="35"/>
  <c r="G65" i="35"/>
  <c r="G68" i="35"/>
  <c r="G72" i="35"/>
  <c r="G80" i="35"/>
  <c r="G84" i="35"/>
  <c r="G88" i="35"/>
  <c r="G96" i="35"/>
  <c r="G100" i="35"/>
  <c r="G104" i="35"/>
  <c r="G112" i="35"/>
  <c r="G116" i="35"/>
  <c r="G120" i="35"/>
  <c r="G129" i="35"/>
  <c r="G135" i="35"/>
  <c r="G139" i="35"/>
  <c r="G147" i="35"/>
  <c r="G151" i="35"/>
  <c r="G155" i="35"/>
  <c r="G163" i="35"/>
  <c r="G166" i="35"/>
  <c r="G170" i="35"/>
  <c r="G178" i="35"/>
  <c r="G181" i="35"/>
  <c r="G185" i="35"/>
  <c r="G193" i="35"/>
  <c r="G198" i="35"/>
  <c r="G201" i="35"/>
  <c r="G208" i="35"/>
  <c r="G212" i="35"/>
  <c r="G217" i="35"/>
  <c r="G227" i="35"/>
  <c r="G230" i="35"/>
  <c r="G233" i="35"/>
  <c r="G241" i="35"/>
  <c r="G245" i="35"/>
  <c r="G251" i="35"/>
  <c r="G261" i="35"/>
  <c r="G267" i="35"/>
  <c r="G271" i="35"/>
  <c r="G278" i="35"/>
  <c r="G282" i="35"/>
  <c r="G286" i="35"/>
  <c r="G293" i="35"/>
  <c r="G297" i="35"/>
  <c r="G301" i="35"/>
  <c r="G307" i="35"/>
  <c r="G311" i="35"/>
  <c r="G315" i="35"/>
  <c r="G323" i="35"/>
  <c r="G327" i="35"/>
  <c r="G331" i="35"/>
  <c r="G339" i="35"/>
  <c r="G344" i="35"/>
  <c r="G348" i="35"/>
  <c r="G310" i="35"/>
  <c r="G326" i="35"/>
  <c r="G334" i="35"/>
  <c r="G308" i="35"/>
  <c r="G312" i="35"/>
  <c r="G316" i="35"/>
  <c r="G324" i="35"/>
  <c r="G328" i="35"/>
  <c r="G332" i="35"/>
  <c r="G341" i="35"/>
  <c r="G345" i="35"/>
  <c r="G349" i="35"/>
  <c r="G318" i="35"/>
  <c r="G330" i="35"/>
  <c r="G338" i="35"/>
  <c r="G351" i="35"/>
  <c r="G309" i="35"/>
  <c r="G313" i="35"/>
  <c r="G317" i="35"/>
  <c r="G321" i="35"/>
  <c r="G325" i="35"/>
  <c r="G329" i="35"/>
  <c r="G333" i="35"/>
  <c r="G337" i="35"/>
  <c r="G342" i="35"/>
  <c r="G346" i="35"/>
  <c r="G350" i="35"/>
  <c r="G353" i="35"/>
  <c r="G314" i="35"/>
  <c r="G322" i="35"/>
  <c r="G343" i="35"/>
  <c r="G354" i="35"/>
  <c r="B74" i="32"/>
  <c r="Y31" i="32"/>
  <c r="Y35" i="32"/>
  <c r="I1" i="33"/>
  <c r="Y6" i="33"/>
  <c r="Y5" i="33"/>
  <c r="Y4" i="33"/>
  <c r="I407" i="34" s="1"/>
  <c r="W3" i="33"/>
  <c r="X3" i="33" s="1"/>
  <c r="B108" i="32"/>
  <c r="AB22" i="32"/>
  <c r="D10" i="10" s="1"/>
  <c r="Y29" i="32"/>
  <c r="E54" i="31"/>
  <c r="G415" i="34"/>
  <c r="F415" i="34" s="1"/>
  <c r="C53" i="31"/>
  <c r="F53" i="31" s="1"/>
  <c r="C54" i="31"/>
  <c r="F54" i="31" s="1"/>
  <c r="C14" i="8" s="1"/>
  <c r="D56" i="31"/>
  <c r="H415" i="34"/>
  <c r="E52" i="31"/>
  <c r="D57" i="31"/>
  <c r="E55" i="31"/>
  <c r="E53" i="31"/>
  <c r="C55" i="31"/>
  <c r="F55" i="31" s="1"/>
  <c r="C56" i="31"/>
  <c r="F56" i="31" s="1"/>
  <c r="C14" i="14" s="1"/>
  <c r="E57" i="31"/>
  <c r="E56" i="31"/>
  <c r="D55" i="31"/>
  <c r="D52" i="31"/>
  <c r="D54" i="31"/>
  <c r="D53" i="31"/>
  <c r="C52" i="31"/>
  <c r="F52" i="31" s="1"/>
  <c r="C14" i="1" s="1"/>
  <c r="C57" i="31"/>
  <c r="F57" i="31" s="1"/>
  <c r="C13" i="10" s="1"/>
  <c r="AB10" i="32"/>
  <c r="D64" i="8"/>
  <c r="D25" i="14"/>
  <c r="D31" i="14"/>
  <c r="D54" i="14"/>
  <c r="D50" i="14"/>
  <c r="D62" i="8"/>
  <c r="C69" i="8"/>
  <c r="D55" i="14"/>
  <c r="C57" i="8"/>
  <c r="D23" i="14"/>
  <c r="P3" i="33" a="1"/>
  <c r="P3" i="33" s="1"/>
  <c r="O5" i="33" a="1"/>
  <c r="O5" i="33" s="1"/>
  <c r="O3" i="33" a="1"/>
  <c r="O3" i="33" s="1"/>
  <c r="O6" i="33" a="1"/>
  <c r="O6" i="33" s="1"/>
  <c r="D51" i="14"/>
  <c r="P7" i="33" a="1"/>
  <c r="P7" i="33" s="1"/>
  <c r="O7" i="33" a="1"/>
  <c r="O7" i="33" s="1"/>
  <c r="D63" i="8"/>
  <c r="D20" i="14"/>
  <c r="D60" i="8"/>
  <c r="D29" i="14"/>
  <c r="D41" i="14"/>
  <c r="C31" i="10"/>
  <c r="P6" i="33" a="1"/>
  <c r="P6" i="33" s="1"/>
  <c r="D52" i="14"/>
  <c r="D45" i="14"/>
  <c r="D60" i="14"/>
  <c r="O9" i="33" a="1"/>
  <c r="O9" i="33" s="1"/>
  <c r="D83" i="14"/>
  <c r="D84" i="14"/>
  <c r="C32" i="10"/>
  <c r="F3" i="37"/>
  <c r="F7" i="37"/>
  <c r="F11" i="37"/>
  <c r="F15" i="37"/>
  <c r="F19" i="37"/>
  <c r="B4" i="37"/>
  <c r="B8" i="37"/>
  <c r="B12" i="37"/>
  <c r="B16" i="37"/>
  <c r="B20" i="37"/>
  <c r="F17" i="37"/>
  <c r="B2" i="37"/>
  <c r="B10" i="37"/>
  <c r="F6" i="37"/>
  <c r="B11" i="37"/>
  <c r="F4" i="37"/>
  <c r="F8" i="37"/>
  <c r="F12" i="37"/>
  <c r="F16" i="37"/>
  <c r="F20" i="37"/>
  <c r="B5" i="37"/>
  <c r="B9" i="37"/>
  <c r="B13" i="37"/>
  <c r="B17" i="37"/>
  <c r="F5" i="37"/>
  <c r="F9" i="37"/>
  <c r="F13" i="37"/>
  <c r="B6" i="37"/>
  <c r="B14" i="37"/>
  <c r="F14" i="37"/>
  <c r="B3" i="37"/>
  <c r="B7" i="37"/>
  <c r="B19" i="37"/>
  <c r="B18" i="37"/>
  <c r="F10" i="37"/>
  <c r="F18" i="37"/>
  <c r="B15" i="37"/>
  <c r="F2" i="37"/>
  <c r="H3" i="35"/>
  <c r="H7" i="35"/>
  <c r="H11" i="35"/>
  <c r="H15" i="35"/>
  <c r="H19" i="35"/>
  <c r="H23" i="35"/>
  <c r="H27" i="35"/>
  <c r="H31" i="35"/>
  <c r="H35" i="35"/>
  <c r="H39" i="35"/>
  <c r="H43" i="35"/>
  <c r="H47" i="35"/>
  <c r="H51" i="35"/>
  <c r="H55" i="35"/>
  <c r="H4" i="35"/>
  <c r="H8" i="35"/>
  <c r="H12" i="35"/>
  <c r="H16" i="35"/>
  <c r="H20" i="35"/>
  <c r="H24" i="35"/>
  <c r="H28" i="35"/>
  <c r="H32" i="35"/>
  <c r="H36" i="35"/>
  <c r="H40" i="35"/>
  <c r="H44" i="35"/>
  <c r="H48" i="35"/>
  <c r="H52" i="35"/>
  <c r="H56" i="35"/>
  <c r="H6" i="35"/>
  <c r="H10" i="35"/>
  <c r="H14" i="35"/>
  <c r="H18" i="35"/>
  <c r="H22" i="35"/>
  <c r="H26" i="35"/>
  <c r="H30" i="35"/>
  <c r="H34" i="35"/>
  <c r="H38" i="35"/>
  <c r="H42" i="35"/>
  <c r="H46" i="35"/>
  <c r="H50" i="35"/>
  <c r="H54" i="35"/>
  <c r="H58" i="35"/>
  <c r="H62" i="35"/>
  <c r="H67" i="35"/>
  <c r="H69" i="35"/>
  <c r="H73" i="35"/>
  <c r="H77" i="35"/>
  <c r="H81" i="35"/>
  <c r="H85" i="35"/>
  <c r="H89" i="35"/>
  <c r="H93" i="35"/>
  <c r="H97" i="35"/>
  <c r="H101" i="35"/>
  <c r="H105" i="35"/>
  <c r="H109" i="35"/>
  <c r="H113" i="35"/>
  <c r="H117" i="35"/>
  <c r="H121" i="35"/>
  <c r="H125" i="35"/>
  <c r="H130" i="35"/>
  <c r="H133" i="35"/>
  <c r="H136" i="35"/>
  <c r="H140" i="35"/>
  <c r="H144" i="35"/>
  <c r="H148" i="35"/>
  <c r="H152" i="35"/>
  <c r="H156" i="35"/>
  <c r="H161" i="35"/>
  <c r="H167" i="35"/>
  <c r="H172" i="35"/>
  <c r="H182" i="35"/>
  <c r="H186" i="35"/>
  <c r="H190" i="35"/>
  <c r="H195" i="35"/>
  <c r="H202" i="35"/>
  <c r="H205" i="35"/>
  <c r="H209" i="35"/>
  <c r="H213" i="35"/>
  <c r="H218" i="35"/>
  <c r="H223" i="35"/>
  <c r="H226" i="35"/>
  <c r="H228" i="35"/>
  <c r="H231" i="35"/>
  <c r="H234" i="35"/>
  <c r="H238" i="35"/>
  <c r="H242" i="35"/>
  <c r="H247" i="35"/>
  <c r="H254" i="35"/>
  <c r="H258" i="35"/>
  <c r="H264" i="35"/>
  <c r="H13" i="35"/>
  <c r="H29" i="35"/>
  <c r="H45" i="35"/>
  <c r="H59" i="35"/>
  <c r="H64" i="35"/>
  <c r="H68" i="35"/>
  <c r="H74" i="35"/>
  <c r="H79" i="35"/>
  <c r="H84" i="35"/>
  <c r="H90" i="35"/>
  <c r="H95" i="35"/>
  <c r="H100" i="35"/>
  <c r="H106" i="35"/>
  <c r="H111" i="35"/>
  <c r="H116" i="35"/>
  <c r="H122" i="35"/>
  <c r="H127" i="35"/>
  <c r="H137" i="35"/>
  <c r="H142" i="35"/>
  <c r="H147" i="35"/>
  <c r="H153" i="35"/>
  <c r="H159" i="35"/>
  <c r="H163" i="35"/>
  <c r="H168" i="35"/>
  <c r="H174" i="35"/>
  <c r="H178" i="35"/>
  <c r="H183" i="35"/>
  <c r="H188" i="35"/>
  <c r="H193" i="35"/>
  <c r="H199" i="35"/>
  <c r="H203" i="35"/>
  <c r="H208" i="35"/>
  <c r="H214" i="35"/>
  <c r="H221" i="35"/>
  <c r="H225" i="35"/>
  <c r="H232" i="35"/>
  <c r="H237" i="35"/>
  <c r="H243" i="35"/>
  <c r="H250" i="35"/>
  <c r="H259" i="35"/>
  <c r="H263" i="35"/>
  <c r="H267" i="35"/>
  <c r="H271" i="35"/>
  <c r="H275" i="35"/>
  <c r="H278" i="35"/>
  <c r="H282" i="35"/>
  <c r="H286" i="35"/>
  <c r="H289" i="35"/>
  <c r="H293" i="35"/>
  <c r="H297" i="35"/>
  <c r="H301" i="35"/>
  <c r="H305" i="35"/>
  <c r="H309" i="35"/>
  <c r="H313" i="35"/>
  <c r="H317" i="35"/>
  <c r="H321" i="35"/>
  <c r="H325" i="35"/>
  <c r="H329" i="35"/>
  <c r="H333" i="35"/>
  <c r="H337" i="35"/>
  <c r="H342" i="35"/>
  <c r="H346" i="35"/>
  <c r="H350" i="35"/>
  <c r="H353" i="35"/>
  <c r="H357" i="35"/>
  <c r="H361" i="35"/>
  <c r="P9" i="33" a="1"/>
  <c r="P9" i="33" s="1"/>
  <c r="H17" i="35"/>
  <c r="H33" i="35"/>
  <c r="H49" i="35"/>
  <c r="H60" i="35"/>
  <c r="H65" i="35"/>
  <c r="H70" i="35"/>
  <c r="H75" i="35"/>
  <c r="H80" i="35"/>
  <c r="H86" i="35"/>
  <c r="H91" i="35"/>
  <c r="H96" i="35"/>
  <c r="H102" i="35"/>
  <c r="H107" i="35"/>
  <c r="H112" i="35"/>
  <c r="H118" i="35"/>
  <c r="H123" i="35"/>
  <c r="H129" i="35"/>
  <c r="H138" i="35"/>
  <c r="H143" i="35"/>
  <c r="H149" i="35"/>
  <c r="H154" i="35"/>
  <c r="H160" i="35"/>
  <c r="H164" i="35"/>
  <c r="H169" i="35"/>
  <c r="H175" i="35"/>
  <c r="H179" i="35"/>
  <c r="H184" i="35"/>
  <c r="H189" i="35"/>
  <c r="H196" i="35"/>
  <c r="H200" i="35"/>
  <c r="H204" i="35"/>
  <c r="H210" i="35"/>
  <c r="H215" i="35"/>
  <c r="H229" i="35"/>
  <c r="H233" i="35"/>
  <c r="H239" i="35"/>
  <c r="H244" i="35"/>
  <c r="H251" i="35"/>
  <c r="H255" i="35"/>
  <c r="H260" i="35"/>
  <c r="H268" i="35"/>
  <c r="H273" i="35"/>
  <c r="H276" i="35"/>
  <c r="H279" i="35"/>
  <c r="H283" i="35"/>
  <c r="H287" i="35"/>
  <c r="H290" i="35"/>
  <c r="H294" i="35"/>
  <c r="H298" i="35"/>
  <c r="H302" i="35"/>
  <c r="H306" i="35"/>
  <c r="H310" i="35"/>
  <c r="H314" i="35"/>
  <c r="H318" i="35"/>
  <c r="H322" i="35"/>
  <c r="H326" i="35"/>
  <c r="H330" i="35"/>
  <c r="H334" i="35"/>
  <c r="H338" i="35"/>
  <c r="H343" i="35"/>
  <c r="H347" i="35"/>
  <c r="H351" i="35"/>
  <c r="H354" i="35"/>
  <c r="H358" i="35"/>
  <c r="H362" i="35"/>
  <c r="P8" i="33" a="1"/>
  <c r="P8" i="33" s="1"/>
  <c r="H5" i="35"/>
  <c r="H21" i="35"/>
  <c r="H37" i="35"/>
  <c r="H53" i="35"/>
  <c r="H61" i="35"/>
  <c r="H71" i="35"/>
  <c r="H76" i="35"/>
  <c r="H82" i="35"/>
  <c r="H87" i="35"/>
  <c r="H92" i="35"/>
  <c r="H98" i="35"/>
  <c r="H103" i="35"/>
  <c r="H108" i="35"/>
  <c r="H114" i="35"/>
  <c r="H119" i="35"/>
  <c r="H124" i="35"/>
  <c r="H131" i="35"/>
  <c r="H134" i="35"/>
  <c r="H139" i="35"/>
  <c r="H145" i="35"/>
  <c r="H150" i="35"/>
  <c r="H155" i="35"/>
  <c r="H165" i="35"/>
  <c r="H170" i="35"/>
  <c r="H176" i="35"/>
  <c r="H180" i="35"/>
  <c r="H185" i="35"/>
  <c r="H191" i="35"/>
  <c r="H197" i="35"/>
  <c r="H201" i="35"/>
  <c r="H206" i="35"/>
  <c r="H211" i="35"/>
  <c r="H217" i="35"/>
  <c r="H230" i="35"/>
  <c r="H235" i="35"/>
  <c r="H240" i="35"/>
  <c r="H245" i="35"/>
  <c r="H252" i="35"/>
  <c r="H256" i="35"/>
  <c r="H261" i="35"/>
  <c r="H265" i="35"/>
  <c r="H269" i="35"/>
  <c r="H280" i="35"/>
  <c r="H284" i="35"/>
  <c r="H291" i="35"/>
  <c r="H295" i="35"/>
  <c r="H299" i="35"/>
  <c r="H303" i="35"/>
  <c r="H307" i="35"/>
  <c r="H311" i="35"/>
  <c r="H315" i="35"/>
  <c r="H319" i="35"/>
  <c r="H323" i="35"/>
  <c r="H327" i="35"/>
  <c r="H331" i="35"/>
  <c r="H335" i="35"/>
  <c r="H339" i="35"/>
  <c r="H344" i="35"/>
  <c r="H348" i="35"/>
  <c r="H352" i="35"/>
  <c r="H355" i="35"/>
  <c r="H359" i="35"/>
  <c r="H9" i="35"/>
  <c r="H25" i="35"/>
  <c r="H41" i="35"/>
  <c r="H57" i="35"/>
  <c r="H63" i="35"/>
  <c r="H72" i="35"/>
  <c r="H78" i="35"/>
  <c r="H83" i="35"/>
  <c r="H88" i="35"/>
  <c r="H94" i="35"/>
  <c r="H99" i="35"/>
  <c r="H104" i="35"/>
  <c r="H110" i="35"/>
  <c r="H115" i="35"/>
  <c r="H120" i="35"/>
  <c r="H126" i="35"/>
  <c r="H132" i="35"/>
  <c r="H135" i="35"/>
  <c r="H141" i="35"/>
  <c r="H146" i="35"/>
  <c r="H151" i="35"/>
  <c r="H158" i="35"/>
  <c r="H162" i="35"/>
  <c r="H166" i="35"/>
  <c r="H173" i="35"/>
  <c r="H177" i="35"/>
  <c r="H181" i="35"/>
  <c r="H187" i="35"/>
  <c r="H192" i="35"/>
  <c r="H198" i="35"/>
  <c r="H207" i="35"/>
  <c r="H212" i="35"/>
  <c r="H220" i="35"/>
  <c r="H224" i="35"/>
  <c r="H227" i="35"/>
  <c r="H236" i="35"/>
  <c r="H241" i="35"/>
  <c r="H248" i="35"/>
  <c r="H253" i="35"/>
  <c r="H257" i="35"/>
  <c r="H262" i="35"/>
  <c r="H266" i="35"/>
  <c r="H270" i="35"/>
  <c r="H274" i="35"/>
  <c r="H277" i="35"/>
  <c r="H281" i="35"/>
  <c r="H285" i="35"/>
  <c r="H288" i="35"/>
  <c r="H292" i="35"/>
  <c r="H296" i="35"/>
  <c r="H300" i="35"/>
  <c r="H304" i="35"/>
  <c r="H308" i="35"/>
  <c r="H312" i="35"/>
  <c r="H316" i="35"/>
  <c r="H320" i="35"/>
  <c r="H324" i="35"/>
  <c r="H328" i="35"/>
  <c r="H332" i="35"/>
  <c r="H336" i="35"/>
  <c r="H341" i="35"/>
  <c r="H345" i="35"/>
  <c r="H349" i="35"/>
  <c r="H356" i="35"/>
  <c r="H360" i="35"/>
  <c r="D33" i="14"/>
  <c r="D68" i="14"/>
  <c r="D59" i="14"/>
  <c r="D39" i="10"/>
  <c r="D63" i="14"/>
  <c r="D81" i="14"/>
  <c r="D28" i="14"/>
  <c r="D66" i="14"/>
  <c r="J43" i="10"/>
  <c r="F91" i="14"/>
  <c r="F72" i="8"/>
  <c r="F41" i="36"/>
  <c r="C42" i="10"/>
  <c r="C90" i="14"/>
  <c r="C71" i="8"/>
  <c r="C40" i="36"/>
  <c r="C136" i="2"/>
  <c r="C158" i="1"/>
  <c r="C357" i="35"/>
  <c r="C361" i="35"/>
  <c r="C358" i="35"/>
  <c r="C362" i="35"/>
  <c r="C355" i="35"/>
  <c r="C359" i="35"/>
  <c r="C356" i="35"/>
  <c r="C360" i="35"/>
  <c r="B49" i="32"/>
  <c r="H42" i="36"/>
  <c r="J160" i="1"/>
  <c r="L44" i="10"/>
  <c r="H138" i="2"/>
  <c r="H92" i="14"/>
  <c r="H73" i="8"/>
  <c r="H71" i="8"/>
  <c r="H40" i="36"/>
  <c r="J158" i="1"/>
  <c r="L42" i="10"/>
  <c r="H90" i="14"/>
  <c r="H136" i="2"/>
  <c r="B43" i="32"/>
  <c r="C92" i="14"/>
  <c r="C73" i="8"/>
  <c r="C138" i="2"/>
  <c r="C44" i="10"/>
  <c r="C42" i="36"/>
  <c r="C160" i="1"/>
  <c r="C39" i="10"/>
  <c r="Z43" i="32"/>
  <c r="AA43" i="32" s="1"/>
  <c r="J20" i="1"/>
  <c r="J58" i="1"/>
  <c r="C27" i="10"/>
  <c r="D31" i="10"/>
  <c r="O8" i="33" a="1"/>
  <c r="O8" i="33" s="1"/>
  <c r="D77" i="14"/>
  <c r="D69" i="14"/>
  <c r="D64" i="14"/>
  <c r="D58" i="14"/>
  <c r="D79" i="14"/>
  <c r="D67" i="14"/>
  <c r="D80" i="14"/>
  <c r="D78" i="14"/>
  <c r="D72" i="14"/>
  <c r="D71" i="14"/>
  <c r="D57" i="14"/>
  <c r="D82" i="14"/>
  <c r="J102" i="2"/>
  <c r="J9" i="36"/>
  <c r="J9" i="2"/>
  <c r="J9" i="8"/>
  <c r="L9" i="1"/>
  <c r="L134" i="1"/>
  <c r="J63" i="8"/>
  <c r="K20" i="1"/>
  <c r="J69" i="8"/>
  <c r="L8" i="1"/>
  <c r="J8" i="8"/>
  <c r="J8" i="2"/>
  <c r="N8" i="10"/>
  <c r="C271" i="35"/>
  <c r="C326" i="35"/>
  <c r="C71" i="35"/>
  <c r="C257" i="35"/>
  <c r="C350" i="35"/>
  <c r="C314" i="35"/>
  <c r="C277" i="35"/>
  <c r="C209" i="35"/>
  <c r="I4" i="37"/>
  <c r="C154" i="35"/>
  <c r="C322" i="35"/>
  <c r="C44" i="35"/>
  <c r="C318" i="35"/>
  <c r="C65" i="35"/>
  <c r="C317" i="35"/>
  <c r="C32" i="35"/>
  <c r="C334" i="35"/>
  <c r="I14" i="37"/>
  <c r="C158" i="35"/>
  <c r="C58" i="35"/>
  <c r="I15" i="37"/>
  <c r="C141" i="35"/>
  <c r="C332" i="35"/>
  <c r="C34" i="35"/>
  <c r="C217" i="35"/>
  <c r="C270" i="35"/>
  <c r="C36" i="35"/>
  <c r="C93" i="35"/>
  <c r="C112" i="35"/>
  <c r="C139" i="35"/>
  <c r="C45" i="35"/>
  <c r="C175" i="35"/>
  <c r="C335" i="35"/>
  <c r="C202" i="35"/>
  <c r="C119" i="35"/>
  <c r="C275" i="35"/>
  <c r="C35" i="35"/>
  <c r="C88" i="35"/>
  <c r="C220" i="35"/>
  <c r="C290" i="35"/>
  <c r="C247" i="35"/>
  <c r="C293" i="35"/>
  <c r="C19" i="35"/>
  <c r="C308" i="35"/>
  <c r="C156" i="35"/>
  <c r="C80" i="35"/>
  <c r="C287" i="35"/>
  <c r="C197" i="35"/>
  <c r="C167" i="35"/>
  <c r="C15" i="35"/>
  <c r="C137" i="35"/>
  <c r="C237" i="35"/>
  <c r="C291" i="35"/>
  <c r="C159" i="35"/>
  <c r="C218" i="35"/>
  <c r="C10" i="35"/>
  <c r="C255" i="35"/>
  <c r="C82" i="35"/>
  <c r="C148" i="35"/>
  <c r="C172" i="35"/>
  <c r="I7" i="37"/>
  <c r="C239" i="35"/>
  <c r="C135" i="35"/>
  <c r="C274" i="35"/>
  <c r="C336" i="35"/>
  <c r="C238" i="35"/>
  <c r="C143" i="35"/>
  <c r="C56" i="35"/>
  <c r="C309" i="35"/>
  <c r="C178" i="35"/>
  <c r="C260" i="35"/>
  <c r="C344" i="35"/>
  <c r="C280" i="35"/>
  <c r="J10" i="2"/>
  <c r="L10" i="1"/>
  <c r="J10" i="36"/>
  <c r="J64" i="8"/>
  <c r="G360" i="35"/>
  <c r="G356" i="35"/>
  <c r="J33" i="36"/>
  <c r="G359" i="35"/>
  <c r="G355" i="35"/>
  <c r="C36" i="10"/>
  <c r="AB58" i="32"/>
  <c r="J89" i="2"/>
  <c r="G362" i="35"/>
  <c r="G358" i="35"/>
  <c r="G361" i="35"/>
  <c r="C117" i="35"/>
  <c r="C3" i="35"/>
  <c r="C188" i="35"/>
  <c r="C338" i="35"/>
  <c r="C155" i="35"/>
  <c r="I10" i="37"/>
  <c r="C39" i="35"/>
  <c r="C301" i="35"/>
  <c r="C83" i="35"/>
  <c r="C41" i="35"/>
  <c r="C99" i="35"/>
  <c r="C121" i="35"/>
  <c r="C281" i="35"/>
  <c r="C101" i="35"/>
  <c r="C13" i="35"/>
  <c r="C278" i="35"/>
  <c r="I18" i="37"/>
  <c r="J1" i="33"/>
  <c r="C192" i="35"/>
  <c r="C286" i="35"/>
  <c r="C215" i="35"/>
  <c r="C6" i="35"/>
  <c r="C103" i="35"/>
  <c r="C138" i="35"/>
  <c r="C168" i="35"/>
  <c r="I8" i="37"/>
  <c r="C288" i="35"/>
  <c r="C201" i="35"/>
  <c r="C206" i="35"/>
  <c r="C342" i="35"/>
  <c r="C186" i="35"/>
  <c r="C126" i="35"/>
  <c r="C240" i="35"/>
  <c r="C289" i="35"/>
  <c r="C228" i="35"/>
  <c r="C46" i="35"/>
  <c r="C352" i="35"/>
  <c r="C321" i="35"/>
  <c r="C176" i="35"/>
  <c r="C236" i="35"/>
  <c r="C299" i="35"/>
  <c r="C76" i="35"/>
  <c r="I16" i="37"/>
  <c r="C164" i="35"/>
  <c r="C323" i="35"/>
  <c r="C232" i="35"/>
  <c r="C347" i="35"/>
  <c r="C185" i="35"/>
  <c r="C230" i="35"/>
  <c r="C162" i="35"/>
  <c r="C110" i="35"/>
  <c r="J31" i="8"/>
  <c r="J65" i="8"/>
  <c r="J20" i="2"/>
  <c r="C133" i="35"/>
  <c r="C131" i="35"/>
  <c r="C62" i="35"/>
  <c r="C302" i="35"/>
  <c r="C233" i="35"/>
  <c r="C182" i="35"/>
  <c r="C345" i="35"/>
  <c r="C145" i="35"/>
  <c r="C223" i="35"/>
  <c r="C9" i="35"/>
  <c r="C190" i="35"/>
  <c r="C153" i="35"/>
  <c r="C266" i="35"/>
  <c r="C120" i="35"/>
  <c r="C351" i="35"/>
  <c r="C92" i="35"/>
  <c r="C213" i="35"/>
  <c r="C325" i="35"/>
  <c r="C210" i="35"/>
  <c r="C331" i="35"/>
  <c r="C265" i="35"/>
  <c r="C214" i="35"/>
  <c r="C2" i="35"/>
  <c r="C11" i="35"/>
  <c r="C304" i="35"/>
  <c r="C208" i="35"/>
  <c r="C14" i="35"/>
  <c r="C337" i="35"/>
  <c r="C328" i="35"/>
  <c r="C67" i="35"/>
  <c r="C261" i="35"/>
  <c r="C329" i="35"/>
  <c r="C296" i="35"/>
  <c r="C165" i="35"/>
  <c r="C77" i="35"/>
  <c r="C100" i="35"/>
  <c r="C315" i="35"/>
  <c r="C54" i="35"/>
  <c r="C16" i="35"/>
  <c r="C251" i="35"/>
  <c r="C51" i="35"/>
  <c r="C105" i="35"/>
  <c r="C229" i="35"/>
  <c r="C273" i="35"/>
  <c r="C177" i="35"/>
  <c r="C224" i="35"/>
  <c r="C354" i="35"/>
  <c r="C95" i="35"/>
  <c r="C181" i="35"/>
  <c r="C73" i="35"/>
  <c r="C134" i="35"/>
  <c r="C292" i="35"/>
  <c r="C268" i="35"/>
  <c r="I19" i="37"/>
  <c r="I20" i="37"/>
  <c r="I11" i="37"/>
  <c r="C79" i="35"/>
  <c r="C31" i="35"/>
  <c r="C150" i="35"/>
  <c r="C243" i="35"/>
  <c r="C248" i="35"/>
  <c r="C204" i="35"/>
  <c r="C198" i="35"/>
  <c r="C211" i="35"/>
  <c r="C72" i="35"/>
  <c r="C313" i="35"/>
  <c r="C116" i="35"/>
  <c r="C42" i="35"/>
  <c r="C300" i="35"/>
  <c r="C235" i="35"/>
  <c r="C258" i="35"/>
  <c r="C205" i="35"/>
  <c r="C320" i="35"/>
  <c r="C348" i="35"/>
  <c r="I12" i="37"/>
  <c r="C53" i="35"/>
  <c r="I3" i="37"/>
  <c r="C43" i="35"/>
  <c r="C106" i="35"/>
  <c r="C234" i="35"/>
  <c r="C343" i="35"/>
  <c r="C107" i="35"/>
  <c r="C349" i="35"/>
  <c r="I6" i="37"/>
  <c r="C29" i="35"/>
  <c r="C108" i="35"/>
  <c r="C12" i="35"/>
  <c r="C21" i="35"/>
  <c r="C87" i="35"/>
  <c r="C37" i="35"/>
  <c r="C245" i="35"/>
  <c r="C151" i="35"/>
  <c r="C285" i="35"/>
  <c r="C78" i="35"/>
  <c r="C267" i="35"/>
  <c r="C180" i="35"/>
  <c r="C252" i="35"/>
  <c r="C241" i="35"/>
  <c r="I5" i="37"/>
  <c r="I17" i="37"/>
  <c r="C179" i="35"/>
  <c r="C109" i="35"/>
  <c r="C276" i="35"/>
  <c r="C8" i="35"/>
  <c r="C85" i="35"/>
  <c r="C38" i="35"/>
  <c r="C279" i="35"/>
  <c r="C294" i="35"/>
  <c r="C84" i="35"/>
  <c r="C89" i="35"/>
  <c r="C132" i="35"/>
  <c r="C193" i="35"/>
  <c r="C55" i="35"/>
  <c r="C96" i="35"/>
  <c r="C60" i="35"/>
  <c r="C147" i="35"/>
  <c r="C49" i="35"/>
  <c r="C312" i="35"/>
  <c r="C264" i="35"/>
  <c r="C253" i="35"/>
  <c r="C284" i="35"/>
  <c r="Y3" i="33"/>
  <c r="I415" i="34" s="1"/>
  <c r="C102" i="35"/>
  <c r="K112" i="2"/>
  <c r="K33" i="36"/>
  <c r="C166" i="35"/>
  <c r="C69" i="35"/>
  <c r="C27" i="35"/>
  <c r="C259" i="35"/>
  <c r="C307" i="35"/>
  <c r="C81" i="35"/>
  <c r="C163" i="35"/>
  <c r="C226" i="35"/>
  <c r="C174" i="35"/>
  <c r="C319" i="35"/>
  <c r="I13" i="37"/>
  <c r="C23" i="35"/>
  <c r="C94" i="35"/>
  <c r="C333" i="35"/>
  <c r="C130" i="35"/>
  <c r="C142" i="35"/>
  <c r="C353" i="35"/>
  <c r="C283" i="35"/>
  <c r="C200" i="35"/>
  <c r="C127" i="35"/>
  <c r="C125" i="35"/>
  <c r="C227" i="35"/>
  <c r="C18" i="35"/>
  <c r="C59" i="35"/>
  <c r="C48" i="35"/>
  <c r="C50" i="35"/>
  <c r="C346" i="35"/>
  <c r="C256" i="35"/>
  <c r="I2" i="37"/>
  <c r="C24" i="35"/>
  <c r="C129" i="35"/>
  <c r="C183" i="35"/>
  <c r="C33" i="35"/>
  <c r="C74" i="35"/>
  <c r="C97" i="35"/>
  <c r="C295" i="35"/>
  <c r="C111" i="35"/>
  <c r="C303" i="35"/>
  <c r="C231" i="35"/>
  <c r="C297" i="35"/>
  <c r="C91" i="35"/>
  <c r="C324" i="35"/>
  <c r="C262" i="35"/>
  <c r="C52" i="35"/>
  <c r="C68" i="35"/>
  <c r="J90" i="2"/>
  <c r="J35" i="2"/>
  <c r="J126" i="2"/>
  <c r="J49" i="2"/>
  <c r="C22" i="35"/>
  <c r="C136" i="35"/>
  <c r="C250" i="35"/>
  <c r="C196" i="35"/>
  <c r="I9" i="37"/>
  <c r="C123" i="35"/>
  <c r="C341" i="35"/>
  <c r="C187" i="35"/>
  <c r="C40" i="35"/>
  <c r="C305" i="35"/>
  <c r="C20" i="35"/>
  <c r="C115" i="35"/>
  <c r="C199" i="35"/>
  <c r="C26" i="35"/>
  <c r="C114" i="35"/>
  <c r="C298" i="35"/>
  <c r="C149" i="35"/>
  <c r="D10" i="2"/>
  <c r="AB15" i="32"/>
  <c r="D323" i="35" s="1"/>
  <c r="AB45" i="32"/>
  <c r="I40" i="36" s="1"/>
  <c r="I40" i="10"/>
  <c r="I404" i="34"/>
  <c r="C98" i="35"/>
  <c r="D10" i="1"/>
  <c r="C144" i="35"/>
  <c r="C86" i="35"/>
  <c r="C242" i="35"/>
  <c r="C311" i="35"/>
  <c r="C63" i="35"/>
  <c r="C118" i="35"/>
  <c r="C47" i="35"/>
  <c r="C160" i="35"/>
  <c r="C173" i="35"/>
  <c r="C4" i="35"/>
  <c r="C316" i="35"/>
  <c r="C244" i="35"/>
  <c r="C207" i="35"/>
  <c r="C64" i="35"/>
  <c r="C104" i="35"/>
  <c r="C195" i="35"/>
  <c r="C306" i="35"/>
  <c r="C61" i="35"/>
  <c r="C70" i="35"/>
  <c r="C122" i="35"/>
  <c r="C113" i="35"/>
  <c r="C28" i="35"/>
  <c r="C263" i="35"/>
  <c r="C7" i="35"/>
  <c r="C30" i="35"/>
  <c r="C170" i="35"/>
  <c r="C161" i="35"/>
  <c r="C254" i="35"/>
  <c r="C152" i="35"/>
  <c r="C12" i="36"/>
  <c r="C12" i="8"/>
  <c r="C12" i="14"/>
  <c r="C12" i="2"/>
  <c r="C12" i="10"/>
  <c r="C124" i="35"/>
  <c r="C339" i="35"/>
  <c r="C17" i="35"/>
  <c r="C327" i="35"/>
  <c r="C57" i="35"/>
  <c r="D10" i="14"/>
  <c r="G336" i="35" l="1"/>
  <c r="G320" i="35"/>
  <c r="G347" i="35"/>
  <c r="G352" i="35"/>
  <c r="G335" i="35"/>
  <c r="G319" i="35"/>
  <c r="G305" i="35"/>
  <c r="G289" i="35"/>
  <c r="G275" i="35"/>
  <c r="G257" i="35"/>
  <c r="G237" i="35"/>
  <c r="G225" i="35"/>
  <c r="G204" i="35"/>
  <c r="G189" i="35"/>
  <c r="G175" i="35"/>
  <c r="G160" i="35"/>
  <c r="G143" i="35"/>
  <c r="G124" i="35"/>
  <c r="G108" i="35"/>
  <c r="G92" i="35"/>
  <c r="G76" i="35"/>
  <c r="G61" i="35"/>
  <c r="G45" i="35"/>
  <c r="G29" i="35"/>
  <c r="G13" i="35"/>
  <c r="H16" i="37"/>
  <c r="G304" i="35"/>
  <c r="G288" i="35"/>
  <c r="G274" i="35"/>
  <c r="G260" i="35"/>
  <c r="G244" i="35"/>
  <c r="G229" i="35"/>
  <c r="G211" i="35"/>
  <c r="G197" i="35"/>
  <c r="G180" i="35"/>
  <c r="G165" i="35"/>
  <c r="G150" i="35"/>
  <c r="G134" i="35"/>
  <c r="G119" i="35"/>
  <c r="G103" i="35"/>
  <c r="G87" i="35"/>
  <c r="G71" i="35"/>
  <c r="G52" i="35"/>
  <c r="G36" i="35"/>
  <c r="G20" i="35"/>
  <c r="G4" i="35"/>
  <c r="H7" i="37"/>
  <c r="G295" i="35"/>
  <c r="G269" i="35"/>
  <c r="G255" i="35"/>
  <c r="G239" i="35"/>
  <c r="G210" i="35"/>
  <c r="G191" i="35"/>
  <c r="G176" i="35"/>
  <c r="G158" i="35"/>
  <c r="G141" i="35"/>
  <c r="G122" i="35"/>
  <c r="G106" i="35"/>
  <c r="G90" i="35"/>
  <c r="G74" i="35"/>
  <c r="G55" i="35"/>
  <c r="G39" i="35"/>
  <c r="G23" i="35"/>
  <c r="G7" i="35"/>
  <c r="H10" i="37"/>
  <c r="G302" i="35"/>
  <c r="G287" i="35"/>
  <c r="G273" i="35"/>
  <c r="G254" i="35"/>
  <c r="G234" i="35"/>
  <c r="G223" i="35"/>
  <c r="G205" i="35"/>
  <c r="G186" i="35"/>
  <c r="G161" i="35"/>
  <c r="G144" i="35"/>
  <c r="G130" i="35"/>
  <c r="G113" i="35"/>
  <c r="G97" i="35"/>
  <c r="G81" i="35"/>
  <c r="G67" i="35"/>
  <c r="G50" i="35"/>
  <c r="G34" i="35"/>
  <c r="G18" i="35"/>
  <c r="G2" i="35"/>
  <c r="L125" i="1"/>
  <c r="K60" i="8"/>
  <c r="K64" i="8"/>
  <c r="K62" i="8"/>
  <c r="K89" i="2"/>
  <c r="K90" i="2"/>
  <c r="K35" i="2"/>
  <c r="K127" i="2" s="1"/>
  <c r="K50" i="1"/>
  <c r="M20" i="1"/>
  <c r="L27" i="1"/>
  <c r="AB43" i="32"/>
  <c r="D138" i="2" s="1"/>
  <c r="AB31" i="32"/>
  <c r="J6" i="36"/>
  <c r="L6" i="1"/>
  <c r="J6" i="8"/>
  <c r="J6" i="14"/>
  <c r="N6" i="10"/>
  <c r="J6" i="2"/>
  <c r="D266" i="35"/>
  <c r="D147" i="35"/>
  <c r="D12" i="35"/>
  <c r="J48" i="2"/>
  <c r="J64" i="2"/>
  <c r="J113" i="2"/>
  <c r="J112" i="2"/>
  <c r="L58" i="1"/>
  <c r="J50" i="1"/>
  <c r="J127" i="2"/>
  <c r="I393" i="34"/>
  <c r="I396" i="34"/>
  <c r="D330" i="35"/>
  <c r="D132" i="35"/>
  <c r="D17" i="35"/>
  <c r="C13" i="37"/>
  <c r="J118" i="2"/>
  <c r="M58" i="1"/>
  <c r="M50" i="1" s="1"/>
  <c r="M125" i="1"/>
  <c r="L66" i="1"/>
  <c r="K65" i="8"/>
  <c r="K30" i="8"/>
  <c r="M154" i="1"/>
  <c r="M156" i="1" s="1"/>
  <c r="K20" i="2"/>
  <c r="C6" i="38"/>
  <c r="C3" i="38"/>
  <c r="C8" i="38"/>
  <c r="C12" i="38"/>
  <c r="C16" i="38"/>
  <c r="C20" i="38"/>
  <c r="C24" i="38"/>
  <c r="C28" i="38"/>
  <c r="C32" i="38"/>
  <c r="C36" i="38"/>
  <c r="C40" i="38"/>
  <c r="C44" i="38"/>
  <c r="C48" i="38"/>
  <c r="C52" i="38"/>
  <c r="C56" i="38"/>
  <c r="C60" i="38"/>
  <c r="C64" i="38"/>
  <c r="C68" i="38"/>
  <c r="C72" i="38"/>
  <c r="C76" i="38"/>
  <c r="C80" i="38"/>
  <c r="C84" i="38"/>
  <c r="C88" i="38"/>
  <c r="C92" i="38"/>
  <c r="C96" i="38"/>
  <c r="C100" i="38"/>
  <c r="C104" i="38"/>
  <c r="C108" i="38"/>
  <c r="C112" i="38"/>
  <c r="C116" i="38"/>
  <c r="C120" i="38"/>
  <c r="C124" i="38"/>
  <c r="C128" i="38"/>
  <c r="C132" i="38"/>
  <c r="C136" i="38"/>
  <c r="C140" i="38"/>
  <c r="C144" i="38"/>
  <c r="C148" i="38"/>
  <c r="C152" i="38"/>
  <c r="C156" i="38"/>
  <c r="C160" i="38"/>
  <c r="C164" i="38"/>
  <c r="C168" i="38"/>
  <c r="C172" i="38"/>
  <c r="C176" i="38"/>
  <c r="C180" i="38"/>
  <c r="C184" i="38"/>
  <c r="C188" i="38"/>
  <c r="C192" i="38"/>
  <c r="C196" i="38"/>
  <c r="C200" i="38"/>
  <c r="C204" i="38"/>
  <c r="C208" i="38"/>
  <c r="C212" i="38"/>
  <c r="C216" i="38"/>
  <c r="C220" i="38"/>
  <c r="C224" i="38"/>
  <c r="C228" i="38"/>
  <c r="C232" i="38"/>
  <c r="C236" i="38"/>
  <c r="C240" i="38"/>
  <c r="C244" i="38"/>
  <c r="C248" i="38"/>
  <c r="C252" i="38"/>
  <c r="C256" i="38"/>
  <c r="C260" i="38"/>
  <c r="C264" i="38"/>
  <c r="C268" i="38"/>
  <c r="C272" i="38"/>
  <c r="C276" i="38"/>
  <c r="C280" i="38"/>
  <c r="C284" i="38"/>
  <c r="C288" i="38"/>
  <c r="C292" i="38"/>
  <c r="C296" i="38"/>
  <c r="C300" i="38"/>
  <c r="C304" i="38"/>
  <c r="C308" i="38"/>
  <c r="C312" i="38"/>
  <c r="C316" i="38"/>
  <c r="C320" i="38"/>
  <c r="C324" i="38"/>
  <c r="C328" i="38"/>
  <c r="C332" i="38"/>
  <c r="C336" i="38"/>
  <c r="C4" i="38"/>
  <c r="C9" i="38"/>
  <c r="C13" i="38"/>
  <c r="C17" i="38"/>
  <c r="C21" i="38"/>
  <c r="C25" i="38"/>
  <c r="C29" i="38"/>
  <c r="C33" i="38"/>
  <c r="C37" i="38"/>
  <c r="C41" i="38"/>
  <c r="C45" i="38"/>
  <c r="C49" i="38"/>
  <c r="C53" i="38"/>
  <c r="C57" i="38"/>
  <c r="C61" i="38"/>
  <c r="C65" i="38"/>
  <c r="C69" i="38"/>
  <c r="C73" i="38"/>
  <c r="C77" i="38"/>
  <c r="C81" i="38"/>
  <c r="C85" i="38"/>
  <c r="C89" i="38"/>
  <c r="C93" i="38"/>
  <c r="C97" i="38"/>
  <c r="C101" i="38"/>
  <c r="C105" i="38"/>
  <c r="C109" i="38"/>
  <c r="C113" i="38"/>
  <c r="C117" i="38"/>
  <c r="C121" i="38"/>
  <c r="C125" i="38"/>
  <c r="C129" i="38"/>
  <c r="C133" i="38"/>
  <c r="C137" i="38"/>
  <c r="C141" i="38"/>
  <c r="C145" i="38"/>
  <c r="C149" i="38"/>
  <c r="C153" i="38"/>
  <c r="C157" i="38"/>
  <c r="C161" i="38"/>
  <c r="C165" i="38"/>
  <c r="C169" i="38"/>
  <c r="C173" i="38"/>
  <c r="C177" i="38"/>
  <c r="C181" i="38"/>
  <c r="C185" i="38"/>
  <c r="C189" i="38"/>
  <c r="C193" i="38"/>
  <c r="C197" i="38"/>
  <c r="C201" i="38"/>
  <c r="C205" i="38"/>
  <c r="C209" i="38"/>
  <c r="C213" i="38"/>
  <c r="C217" i="38"/>
  <c r="C221" i="38"/>
  <c r="C225" i="38"/>
  <c r="C229" i="38"/>
  <c r="C233" i="38"/>
  <c r="C237" i="38"/>
  <c r="C241" i="38"/>
  <c r="C245" i="38"/>
  <c r="C249" i="38"/>
  <c r="C253" i="38"/>
  <c r="C257" i="38"/>
  <c r="C261" i="38"/>
  <c r="C265" i="38"/>
  <c r="C269" i="38"/>
  <c r="C273" i="38"/>
  <c r="C277" i="38"/>
  <c r="C281" i="38"/>
  <c r="C285" i="38"/>
  <c r="C289" i="38"/>
  <c r="C293" i="38"/>
  <c r="C297" i="38"/>
  <c r="C301" i="38"/>
  <c r="C305" i="38"/>
  <c r="C309" i="38"/>
  <c r="C313" i="38"/>
  <c r="C317" i="38"/>
  <c r="C321" i="38"/>
  <c r="C325" i="38"/>
  <c r="C329" i="38"/>
  <c r="C333" i="38"/>
  <c r="C337" i="38"/>
  <c r="C5" i="38"/>
  <c r="C10" i="38"/>
  <c r="C18" i="38"/>
  <c r="C26" i="38"/>
  <c r="C34" i="38"/>
  <c r="C42" i="38"/>
  <c r="C50" i="38"/>
  <c r="C58" i="38"/>
  <c r="C66" i="38"/>
  <c r="C74" i="38"/>
  <c r="C82" i="38"/>
  <c r="C90" i="38"/>
  <c r="C98" i="38"/>
  <c r="C106" i="38"/>
  <c r="C114" i="38"/>
  <c r="C122" i="38"/>
  <c r="C130" i="38"/>
  <c r="C138" i="38"/>
  <c r="C146" i="38"/>
  <c r="C154" i="38"/>
  <c r="C162" i="38"/>
  <c r="C170" i="38"/>
  <c r="C178" i="38"/>
  <c r="C186" i="38"/>
  <c r="C194" i="38"/>
  <c r="C202" i="38"/>
  <c r="C210" i="38"/>
  <c r="C218" i="38"/>
  <c r="C226" i="38"/>
  <c r="C234" i="38"/>
  <c r="C242" i="38"/>
  <c r="C250" i="38"/>
  <c r="C258" i="38"/>
  <c r="C266" i="38"/>
  <c r="C274" i="38"/>
  <c r="C282" i="38"/>
  <c r="C290" i="38"/>
  <c r="C298" i="38"/>
  <c r="C306" i="38"/>
  <c r="C314" i="38"/>
  <c r="C322" i="38"/>
  <c r="C330" i="38"/>
  <c r="C338" i="38"/>
  <c r="C342" i="38"/>
  <c r="C346" i="38"/>
  <c r="C350" i="38"/>
  <c r="C354" i="38"/>
  <c r="C358" i="38"/>
  <c r="C362" i="38"/>
  <c r="C366" i="38"/>
  <c r="C370" i="38"/>
  <c r="C374" i="38"/>
  <c r="C378" i="38"/>
  <c r="C382" i="38"/>
  <c r="C386" i="38"/>
  <c r="C390" i="38"/>
  <c r="C394" i="38"/>
  <c r="C398" i="38"/>
  <c r="C402" i="38"/>
  <c r="C11" i="38"/>
  <c r="C19" i="38"/>
  <c r="C27" i="38"/>
  <c r="C35" i="38"/>
  <c r="C43" i="38"/>
  <c r="C51" i="38"/>
  <c r="C59" i="38"/>
  <c r="C67" i="38"/>
  <c r="C75" i="38"/>
  <c r="C83" i="38"/>
  <c r="C91" i="38"/>
  <c r="C99" i="38"/>
  <c r="C107" i="38"/>
  <c r="C115" i="38"/>
  <c r="C123" i="38"/>
  <c r="C131" i="38"/>
  <c r="C139" i="38"/>
  <c r="C147" i="38"/>
  <c r="C155" i="38"/>
  <c r="C163" i="38"/>
  <c r="C171" i="38"/>
  <c r="C179" i="38"/>
  <c r="C187" i="38"/>
  <c r="C195" i="38"/>
  <c r="C203" i="38"/>
  <c r="C211" i="38"/>
  <c r="C219" i="38"/>
  <c r="C227" i="38"/>
  <c r="C235" i="38"/>
  <c r="C243" i="38"/>
  <c r="C251" i="38"/>
  <c r="C259" i="38"/>
  <c r="C267" i="38"/>
  <c r="C275" i="38"/>
  <c r="C283" i="38"/>
  <c r="C291" i="38"/>
  <c r="C299" i="38"/>
  <c r="C307" i="38"/>
  <c r="C315" i="38"/>
  <c r="C323" i="38"/>
  <c r="C331" i="38"/>
  <c r="C339" i="38"/>
  <c r="C343" i="38"/>
  <c r="C347" i="38"/>
  <c r="C351" i="38"/>
  <c r="C355" i="38"/>
  <c r="C359" i="38"/>
  <c r="C363" i="38"/>
  <c r="C367" i="38"/>
  <c r="C371" i="38"/>
  <c r="C375" i="38"/>
  <c r="C379" i="38"/>
  <c r="C383" i="38"/>
  <c r="C387" i="38"/>
  <c r="C391" i="38"/>
  <c r="C395" i="38"/>
  <c r="C399" i="38"/>
  <c r="M2" i="38"/>
  <c r="C2" i="38"/>
  <c r="C14" i="38"/>
  <c r="C22" i="38"/>
  <c r="C30" i="38"/>
  <c r="C38" i="38"/>
  <c r="C46" i="38"/>
  <c r="C54" i="38"/>
  <c r="C62" i="38"/>
  <c r="C70" i="38"/>
  <c r="C78" i="38"/>
  <c r="C86" i="38"/>
  <c r="C94" i="38"/>
  <c r="C102" i="38"/>
  <c r="C110" i="38"/>
  <c r="C118" i="38"/>
  <c r="C126" i="38"/>
  <c r="C134" i="38"/>
  <c r="C142" i="38"/>
  <c r="C150" i="38"/>
  <c r="C158" i="38"/>
  <c r="C166" i="38"/>
  <c r="C174" i="38"/>
  <c r="C182" i="38"/>
  <c r="C190" i="38"/>
  <c r="C198" i="38"/>
  <c r="C206" i="38"/>
  <c r="C214" i="38"/>
  <c r="C222" i="38"/>
  <c r="C230" i="38"/>
  <c r="C238" i="38"/>
  <c r="C246" i="38"/>
  <c r="C254" i="38"/>
  <c r="C262" i="38"/>
  <c r="C270" i="38"/>
  <c r="C278" i="38"/>
  <c r="C286" i="38"/>
  <c r="C294" i="38"/>
  <c r="C302" i="38"/>
  <c r="C310" i="38"/>
  <c r="C318" i="38"/>
  <c r="C326" i="38"/>
  <c r="C334" i="38"/>
  <c r="C340" i="38"/>
  <c r="C344" i="38"/>
  <c r="C348" i="38"/>
  <c r="C352" i="38"/>
  <c r="C356" i="38"/>
  <c r="C360" i="38"/>
  <c r="C364" i="38"/>
  <c r="C368" i="38"/>
  <c r="C372" i="38"/>
  <c r="C376" i="38"/>
  <c r="C380" i="38"/>
  <c r="C384" i="38"/>
  <c r="C388" i="38"/>
  <c r="C392" i="38"/>
  <c r="C396" i="38"/>
  <c r="C400" i="38"/>
  <c r="C7" i="38"/>
  <c r="C15" i="38"/>
  <c r="C23" i="38"/>
  <c r="C31" i="38"/>
  <c r="C39" i="38"/>
  <c r="C47" i="38"/>
  <c r="C55" i="38"/>
  <c r="C63" i="38"/>
  <c r="C71" i="38"/>
  <c r="C79" i="38"/>
  <c r="C87" i="38"/>
  <c r="C95" i="38"/>
  <c r="C103" i="38"/>
  <c r="C111" i="38"/>
  <c r="C119" i="38"/>
  <c r="C127" i="38"/>
  <c r="C135" i="38"/>
  <c r="C143" i="38"/>
  <c r="C151" i="38"/>
  <c r="C159" i="38"/>
  <c r="C167" i="38"/>
  <c r="C175" i="38"/>
  <c r="C183" i="38"/>
  <c r="C191" i="38"/>
  <c r="C199" i="38"/>
  <c r="C207" i="38"/>
  <c r="C215" i="38"/>
  <c r="C223" i="38"/>
  <c r="C231" i="38"/>
  <c r="C239" i="38"/>
  <c r="C247" i="38"/>
  <c r="C255" i="38"/>
  <c r="C263" i="38"/>
  <c r="C271" i="38"/>
  <c r="C279" i="38"/>
  <c r="C287" i="38"/>
  <c r="C295" i="38"/>
  <c r="C303" i="38"/>
  <c r="C311" i="38"/>
  <c r="C319" i="38"/>
  <c r="C327" i="38"/>
  <c r="C335" i="38"/>
  <c r="C341" i="38"/>
  <c r="C345" i="38"/>
  <c r="C349" i="38"/>
  <c r="C353" i="38"/>
  <c r="C357" i="38"/>
  <c r="C361" i="38"/>
  <c r="C365" i="38"/>
  <c r="C369" i="38"/>
  <c r="C373" i="38"/>
  <c r="C377" i="38"/>
  <c r="C381" i="38"/>
  <c r="C385" i="38"/>
  <c r="C389" i="38"/>
  <c r="C393" i="38"/>
  <c r="C397" i="38"/>
  <c r="C401" i="38"/>
  <c r="H2" i="35"/>
  <c r="B5" i="35"/>
  <c r="B9" i="35"/>
  <c r="B13" i="35"/>
  <c r="B17" i="35"/>
  <c r="B21" i="35"/>
  <c r="B25" i="35"/>
  <c r="B29" i="35"/>
  <c r="B33" i="35"/>
  <c r="B37" i="35"/>
  <c r="B41" i="35"/>
  <c r="B45" i="35"/>
  <c r="B49" i="35"/>
  <c r="B53" i="35"/>
  <c r="B57" i="35"/>
  <c r="B61" i="35"/>
  <c r="B65" i="35"/>
  <c r="B69" i="35"/>
  <c r="B73" i="35"/>
  <c r="B77" i="35"/>
  <c r="B81" i="35"/>
  <c r="B85" i="35"/>
  <c r="B89" i="35"/>
  <c r="B93" i="35"/>
  <c r="B97" i="35"/>
  <c r="B101" i="35"/>
  <c r="B105" i="35"/>
  <c r="B109" i="35"/>
  <c r="B113" i="35"/>
  <c r="B117" i="35"/>
  <c r="B121" i="35"/>
  <c r="B125" i="35"/>
  <c r="B129" i="35"/>
  <c r="B133" i="35"/>
  <c r="B137" i="35"/>
  <c r="B141" i="35"/>
  <c r="B145" i="35"/>
  <c r="B149" i="35"/>
  <c r="B153" i="35"/>
  <c r="B157" i="35"/>
  <c r="B161" i="35"/>
  <c r="B165" i="35"/>
  <c r="B169" i="35"/>
  <c r="B173" i="35"/>
  <c r="B177" i="35"/>
  <c r="B181" i="35"/>
  <c r="B185" i="35"/>
  <c r="B189" i="35"/>
  <c r="B193" i="35"/>
  <c r="B197" i="35"/>
  <c r="B201" i="35"/>
  <c r="B205" i="35"/>
  <c r="B209" i="35"/>
  <c r="B213" i="35"/>
  <c r="B217" i="35"/>
  <c r="B221" i="35"/>
  <c r="B225" i="35"/>
  <c r="B229" i="35"/>
  <c r="B233" i="35"/>
  <c r="B237" i="35"/>
  <c r="B241" i="35"/>
  <c r="B245" i="35"/>
  <c r="B249" i="35"/>
  <c r="B253" i="35"/>
  <c r="B257" i="35"/>
  <c r="B261" i="35"/>
  <c r="B265" i="35"/>
  <c r="B269" i="35"/>
  <c r="B273" i="35"/>
  <c r="B277" i="35"/>
  <c r="B281" i="35"/>
  <c r="B285" i="35"/>
  <c r="B289" i="35"/>
  <c r="B293" i="35"/>
  <c r="B297" i="35"/>
  <c r="B301" i="35"/>
  <c r="B305" i="35"/>
  <c r="B309" i="35"/>
  <c r="B313" i="35"/>
  <c r="B317" i="35"/>
  <c r="B321" i="35"/>
  <c r="B325" i="35"/>
  <c r="B329" i="35"/>
  <c r="B333" i="35"/>
  <c r="B337" i="35"/>
  <c r="B341" i="35"/>
  <c r="B345" i="35"/>
  <c r="B349" i="35"/>
  <c r="B353" i="35"/>
  <c r="B357" i="35"/>
  <c r="B361" i="35"/>
  <c r="B365" i="35"/>
  <c r="B369" i="35"/>
  <c r="B373" i="35"/>
  <c r="B377" i="35"/>
  <c r="O4" i="33" a="1"/>
  <c r="O4" i="33" s="1"/>
  <c r="B2" i="35"/>
  <c r="B6" i="35"/>
  <c r="B10" i="35"/>
  <c r="B14" i="35"/>
  <c r="B18" i="35"/>
  <c r="B22" i="35"/>
  <c r="B26" i="35"/>
  <c r="B30" i="35"/>
  <c r="B34" i="35"/>
  <c r="B38" i="35"/>
  <c r="B42" i="35"/>
  <c r="B46" i="35"/>
  <c r="B50" i="35"/>
  <c r="B54" i="35"/>
  <c r="B58" i="35"/>
  <c r="B62" i="35"/>
  <c r="B66" i="35"/>
  <c r="B70" i="35"/>
  <c r="B74" i="35"/>
  <c r="B78" i="35"/>
  <c r="B82" i="35"/>
  <c r="B86" i="35"/>
  <c r="B90" i="35"/>
  <c r="B94" i="35"/>
  <c r="B98" i="35"/>
  <c r="B102" i="35"/>
  <c r="B106" i="35"/>
  <c r="B110" i="35"/>
  <c r="B114" i="35"/>
  <c r="B118" i="35"/>
  <c r="B122" i="35"/>
  <c r="B126" i="35"/>
  <c r="B130" i="35"/>
  <c r="B134" i="35"/>
  <c r="B138" i="35"/>
  <c r="B142" i="35"/>
  <c r="B146" i="35"/>
  <c r="B150" i="35"/>
  <c r="B154" i="35"/>
  <c r="B158" i="35"/>
  <c r="B162" i="35"/>
  <c r="B166" i="35"/>
  <c r="B170" i="35"/>
  <c r="B174" i="35"/>
  <c r="B178" i="35"/>
  <c r="B182" i="35"/>
  <c r="B186" i="35"/>
  <c r="B190" i="35"/>
  <c r="B194" i="35"/>
  <c r="B198" i="35"/>
  <c r="B202" i="35"/>
  <c r="B206" i="35"/>
  <c r="B210" i="35"/>
  <c r="B214" i="35"/>
  <c r="B218" i="35"/>
  <c r="B222" i="35"/>
  <c r="B226" i="35"/>
  <c r="B230" i="35"/>
  <c r="B234" i="35"/>
  <c r="B238" i="35"/>
  <c r="B242" i="35"/>
  <c r="B246" i="35"/>
  <c r="B250" i="35"/>
  <c r="B254" i="35"/>
  <c r="B258" i="35"/>
  <c r="B262" i="35"/>
  <c r="B266" i="35"/>
  <c r="B270" i="35"/>
  <c r="B274" i="35"/>
  <c r="B278" i="35"/>
  <c r="B282" i="35"/>
  <c r="B286" i="35"/>
  <c r="B290" i="35"/>
  <c r="B294" i="35"/>
  <c r="B298" i="35"/>
  <c r="B302" i="35"/>
  <c r="B306" i="35"/>
  <c r="B310" i="35"/>
  <c r="B314" i="35"/>
  <c r="B318" i="35"/>
  <c r="B322" i="35"/>
  <c r="B326" i="35"/>
  <c r="B330" i="35"/>
  <c r="B334" i="35"/>
  <c r="B338" i="35"/>
  <c r="B3" i="35"/>
  <c r="B11" i="35"/>
  <c r="B19" i="35"/>
  <c r="B27" i="35"/>
  <c r="B35" i="35"/>
  <c r="B43" i="35"/>
  <c r="B51" i="35"/>
  <c r="B59" i="35"/>
  <c r="B67" i="35"/>
  <c r="B75" i="35"/>
  <c r="B83" i="35"/>
  <c r="B91" i="35"/>
  <c r="B99" i="35"/>
  <c r="B107" i="35"/>
  <c r="B115" i="35"/>
  <c r="B123" i="35"/>
  <c r="B131" i="35"/>
  <c r="B139" i="35"/>
  <c r="B147" i="35"/>
  <c r="B155" i="35"/>
  <c r="B163" i="35"/>
  <c r="B171" i="35"/>
  <c r="B179" i="35"/>
  <c r="B187" i="35"/>
  <c r="B195" i="35"/>
  <c r="B203" i="35"/>
  <c r="B211" i="35"/>
  <c r="B219" i="35"/>
  <c r="B227" i="35"/>
  <c r="B235" i="35"/>
  <c r="B243" i="35"/>
  <c r="B251" i="35"/>
  <c r="B259" i="35"/>
  <c r="B267" i="35"/>
  <c r="B275" i="35"/>
  <c r="B283" i="35"/>
  <c r="B291" i="35"/>
  <c r="B299" i="35"/>
  <c r="B307" i="35"/>
  <c r="B315" i="35"/>
  <c r="B323" i="35"/>
  <c r="B331" i="35"/>
  <c r="B339" i="35"/>
  <c r="B344" i="35"/>
  <c r="B350" i="35"/>
  <c r="B355" i="35"/>
  <c r="B360" i="35"/>
  <c r="B366" i="35"/>
  <c r="B371" i="35"/>
  <c r="B376" i="35"/>
  <c r="B340" i="35"/>
  <c r="B351" i="35"/>
  <c r="B356" i="35"/>
  <c r="B367" i="35"/>
  <c r="B372" i="35"/>
  <c r="B358" i="35"/>
  <c r="B368" i="35"/>
  <c r="B4" i="35"/>
  <c r="B12" i="35"/>
  <c r="B20" i="35"/>
  <c r="B28" i="35"/>
  <c r="B36" i="35"/>
  <c r="B44" i="35"/>
  <c r="B52" i="35"/>
  <c r="B60" i="35"/>
  <c r="B68" i="35"/>
  <c r="B76" i="35"/>
  <c r="B84" i="35"/>
  <c r="B92" i="35"/>
  <c r="B100" i="35"/>
  <c r="B108" i="35"/>
  <c r="B116" i="35"/>
  <c r="B124" i="35"/>
  <c r="B132" i="35"/>
  <c r="B140" i="35"/>
  <c r="B148" i="35"/>
  <c r="B156" i="35"/>
  <c r="B164" i="35"/>
  <c r="B172" i="35"/>
  <c r="B180" i="35"/>
  <c r="B188" i="35"/>
  <c r="B196" i="35"/>
  <c r="B204" i="35"/>
  <c r="B212" i="35"/>
  <c r="B220" i="35"/>
  <c r="B228" i="35"/>
  <c r="B236" i="35"/>
  <c r="B244" i="35"/>
  <c r="B252" i="35"/>
  <c r="B260" i="35"/>
  <c r="B268" i="35"/>
  <c r="B276" i="35"/>
  <c r="B284" i="35"/>
  <c r="B292" i="35"/>
  <c r="B300" i="35"/>
  <c r="B308" i="35"/>
  <c r="B316" i="35"/>
  <c r="B324" i="35"/>
  <c r="B332" i="35"/>
  <c r="B346" i="35"/>
  <c r="B362" i="35"/>
  <c r="B378" i="35"/>
  <c r="B374" i="35"/>
  <c r="B7" i="35"/>
  <c r="B15" i="35"/>
  <c r="B23" i="35"/>
  <c r="B31" i="35"/>
  <c r="B39" i="35"/>
  <c r="B47" i="35"/>
  <c r="B55" i="35"/>
  <c r="B63" i="35"/>
  <c r="B71" i="35"/>
  <c r="B79" i="35"/>
  <c r="B87" i="35"/>
  <c r="B95" i="35"/>
  <c r="B103" i="35"/>
  <c r="B111" i="35"/>
  <c r="B119" i="35"/>
  <c r="B127" i="35"/>
  <c r="B135" i="35"/>
  <c r="B143" i="35"/>
  <c r="B151" i="35"/>
  <c r="B159" i="35"/>
  <c r="B167" i="35"/>
  <c r="B175" i="35"/>
  <c r="B183" i="35"/>
  <c r="B191" i="35"/>
  <c r="B199" i="35"/>
  <c r="B207" i="35"/>
  <c r="B215" i="35"/>
  <c r="B223" i="35"/>
  <c r="B231" i="35"/>
  <c r="B239" i="35"/>
  <c r="B247" i="35"/>
  <c r="B255" i="35"/>
  <c r="B263" i="35"/>
  <c r="B271" i="35"/>
  <c r="B279" i="35"/>
  <c r="B287" i="35"/>
  <c r="B295" i="35"/>
  <c r="B303" i="35"/>
  <c r="B311" i="35"/>
  <c r="B319" i="35"/>
  <c r="B327" i="35"/>
  <c r="B335" i="35"/>
  <c r="B342" i="35"/>
  <c r="B347" i="35"/>
  <c r="B352" i="35"/>
  <c r="B363" i="35"/>
  <c r="B379" i="35"/>
  <c r="B8" i="35"/>
  <c r="B16" i="35"/>
  <c r="B24" i="35"/>
  <c r="B32" i="35"/>
  <c r="B40" i="35"/>
  <c r="B48" i="35"/>
  <c r="B56" i="35"/>
  <c r="B64" i="35"/>
  <c r="B72" i="35"/>
  <c r="B80" i="35"/>
  <c r="B88" i="35"/>
  <c r="B96" i="35"/>
  <c r="B104" i="35"/>
  <c r="B112" i="35"/>
  <c r="B120" i="35"/>
  <c r="B128" i="35"/>
  <c r="B136" i="35"/>
  <c r="B144" i="35"/>
  <c r="B152" i="35"/>
  <c r="B160" i="35"/>
  <c r="B168" i="35"/>
  <c r="B176" i="35"/>
  <c r="B184" i="35"/>
  <c r="B192" i="35"/>
  <c r="B200" i="35"/>
  <c r="B208" i="35"/>
  <c r="B216" i="35"/>
  <c r="B224" i="35"/>
  <c r="B232" i="35"/>
  <c r="B240" i="35"/>
  <c r="B248" i="35"/>
  <c r="B256" i="35"/>
  <c r="B264" i="35"/>
  <c r="B272" i="35"/>
  <c r="B280" i="35"/>
  <c r="B288" i="35"/>
  <c r="B296" i="35"/>
  <c r="B304" i="35"/>
  <c r="B312" i="35"/>
  <c r="B320" i="35"/>
  <c r="B328" i="35"/>
  <c r="B336" i="35"/>
  <c r="B343" i="35"/>
  <c r="B348" i="35"/>
  <c r="B354" i="35"/>
  <c r="B359" i="35"/>
  <c r="B364" i="35"/>
  <c r="B370" i="35"/>
  <c r="B375" i="35"/>
  <c r="P4" i="33" a="1"/>
  <c r="P4" i="33" s="1"/>
  <c r="B24" i="37"/>
  <c r="F24" i="37"/>
  <c r="H377" i="35"/>
  <c r="H363" i="35"/>
  <c r="H367" i="35"/>
  <c r="H371" i="35"/>
  <c r="H375" i="35"/>
  <c r="B21" i="37"/>
  <c r="F21" i="37"/>
  <c r="H378" i="35"/>
  <c r="H364" i="35"/>
  <c r="H368" i="35"/>
  <c r="H372" i="35"/>
  <c r="H376" i="35"/>
  <c r="B22" i="37"/>
  <c r="F22" i="37"/>
  <c r="H379" i="35"/>
  <c r="H365" i="35"/>
  <c r="H369" i="35"/>
  <c r="H373" i="35"/>
  <c r="B23" i="37"/>
  <c r="F23" i="37"/>
  <c r="H366" i="35"/>
  <c r="H370" i="35"/>
  <c r="H374" i="35"/>
  <c r="E2" i="34"/>
  <c r="C19" i="1" s="1"/>
  <c r="F2" i="34"/>
  <c r="D19" i="1" s="1"/>
  <c r="F3" i="34"/>
  <c r="D20" i="1" s="1"/>
  <c r="I20" i="1"/>
  <c r="D50" i="11" s="1"/>
  <c r="E3" i="34"/>
  <c r="C20" i="1" s="1"/>
  <c r="L40" i="1"/>
  <c r="L154" i="1"/>
  <c r="L156" i="1" s="1"/>
  <c r="L51" i="1"/>
  <c r="L59" i="1"/>
  <c r="L75" i="1"/>
  <c r="J62" i="8"/>
  <c r="D51" i="11"/>
  <c r="J81" i="1"/>
  <c r="L21" i="1"/>
  <c r="K81" i="1"/>
  <c r="K83" i="1" s="1"/>
  <c r="D175" i="35"/>
  <c r="D40" i="35"/>
  <c r="D187" i="35"/>
  <c r="D265" i="35"/>
  <c r="D64" i="35"/>
  <c r="D328" i="35"/>
  <c r="D165" i="35"/>
  <c r="D325" i="35"/>
  <c r="D13" i="35"/>
  <c r="D155" i="35"/>
  <c r="D19" i="35"/>
  <c r="D253" i="35"/>
  <c r="D45" i="35"/>
  <c r="D345" i="35"/>
  <c r="D156" i="35"/>
  <c r="C8" i="37"/>
  <c r="D130" i="35"/>
  <c r="D8" i="35"/>
  <c r="D141" i="35"/>
  <c r="D160" i="35"/>
  <c r="D54" i="35"/>
  <c r="D228" i="35"/>
  <c r="D107" i="35"/>
  <c r="D218" i="35"/>
  <c r="D127" i="35"/>
  <c r="D309" i="35"/>
  <c r="D318" i="35"/>
  <c r="D92" i="35"/>
  <c r="D163" i="35"/>
  <c r="D168" i="35"/>
  <c r="D357" i="35"/>
  <c r="D158" i="35"/>
  <c r="D5" i="10"/>
  <c r="D234" i="35"/>
  <c r="D306" i="35"/>
  <c r="D111" i="35"/>
  <c r="D174" i="35"/>
  <c r="D312" i="35"/>
  <c r="D34" i="35"/>
  <c r="D204" i="35"/>
  <c r="D120" i="35"/>
  <c r="D264" i="35"/>
  <c r="D304" i="35"/>
  <c r="D285" i="35"/>
  <c r="D43" i="35"/>
  <c r="C16" i="37"/>
  <c r="D89" i="35"/>
  <c r="D320" i="35"/>
  <c r="D88" i="35"/>
  <c r="D164" i="35"/>
  <c r="D99" i="35"/>
  <c r="D23" i="35"/>
  <c r="D24" i="35"/>
  <c r="D270" i="35"/>
  <c r="D333" i="35"/>
  <c r="D83" i="35"/>
  <c r="D282" i="35"/>
  <c r="D220" i="35"/>
  <c r="D213" i="35"/>
  <c r="D280" i="35"/>
  <c r="D209" i="35"/>
  <c r="D214" i="35"/>
  <c r="D233" i="35"/>
  <c r="D108" i="35"/>
  <c r="D136" i="35"/>
  <c r="D167" i="35"/>
  <c r="D134" i="35"/>
  <c r="D25" i="35"/>
  <c r="D226" i="35"/>
  <c r="D351" i="35"/>
  <c r="D71" i="35"/>
  <c r="D230" i="35"/>
  <c r="D274" i="35"/>
  <c r="D183" i="35"/>
  <c r="C14" i="37"/>
  <c r="D283" i="35"/>
  <c r="D114" i="35"/>
  <c r="D287" i="35"/>
  <c r="C4" i="37"/>
  <c r="D110" i="35"/>
  <c r="D113" i="35"/>
  <c r="D258" i="35"/>
  <c r="D53" i="35"/>
  <c r="D142" i="35"/>
  <c r="D33" i="35"/>
  <c r="D262" i="35"/>
  <c r="D173" i="35"/>
  <c r="D139" i="35"/>
  <c r="D170" i="35"/>
  <c r="D5" i="14"/>
  <c r="D286" i="35"/>
  <c r="D182" i="35"/>
  <c r="D244" i="35"/>
  <c r="D277" i="35"/>
  <c r="C17" i="37"/>
  <c r="D129" i="35"/>
  <c r="D352" i="35"/>
  <c r="D310" i="35"/>
  <c r="D317" i="35"/>
  <c r="D161" i="35"/>
  <c r="D152" i="35"/>
  <c r="C5" i="37"/>
  <c r="D259" i="35"/>
  <c r="D51" i="35"/>
  <c r="D55" i="35"/>
  <c r="D250" i="35"/>
  <c r="D344" i="35"/>
  <c r="D289" i="35"/>
  <c r="D119" i="35"/>
  <c r="D81" i="35"/>
  <c r="D16" i="35"/>
  <c r="D251" i="35"/>
  <c r="D48" i="35"/>
  <c r="C10" i="37"/>
  <c r="D269" i="35"/>
  <c r="D148" i="35"/>
  <c r="D104" i="35"/>
  <c r="D102" i="35"/>
  <c r="D322" i="35"/>
  <c r="D192" i="35"/>
  <c r="D342" i="35"/>
  <c r="D199" i="35"/>
  <c r="D302" i="35"/>
  <c r="D69" i="35"/>
  <c r="D190" i="35"/>
  <c r="D235" i="35"/>
  <c r="D93" i="35"/>
  <c r="D112" i="35"/>
  <c r="D260" i="35"/>
  <c r="D210" i="35"/>
  <c r="D356" i="35"/>
  <c r="Z74" i="32"/>
  <c r="AB74" i="32" s="1"/>
  <c r="L87" i="1"/>
  <c r="K15" i="8"/>
  <c r="C10" i="2"/>
  <c r="F137" i="2"/>
  <c r="C16" i="2"/>
  <c r="M15" i="1"/>
  <c r="C10" i="10"/>
  <c r="C10" i="1"/>
  <c r="D36" i="35"/>
  <c r="D10" i="36"/>
  <c r="D10" i="8"/>
  <c r="C16" i="14"/>
  <c r="K15" i="36"/>
  <c r="C10" i="14"/>
  <c r="D200" i="35"/>
  <c r="D96" i="35"/>
  <c r="D208" i="35"/>
  <c r="D154" i="35"/>
  <c r="D279" i="35"/>
  <c r="D181" i="35"/>
  <c r="D240" i="35"/>
  <c r="D59" i="35"/>
  <c r="D32" i="35"/>
  <c r="D117" i="35"/>
  <c r="D292" i="35"/>
  <c r="D14" i="35"/>
  <c r="D131" i="35"/>
  <c r="D145" i="35"/>
  <c r="D332" i="35"/>
  <c r="D355" i="35"/>
  <c r="D211" i="35"/>
  <c r="D301" i="35"/>
  <c r="D224" i="35"/>
  <c r="D73" i="35"/>
  <c r="D133" i="35"/>
  <c r="D290" i="35"/>
  <c r="D151" i="35"/>
  <c r="D5" i="35"/>
  <c r="D336" i="35"/>
  <c r="D350" i="35"/>
  <c r="C12" i="37"/>
  <c r="D47" i="35"/>
  <c r="H24" i="37"/>
  <c r="G378" i="35"/>
  <c r="H21" i="37"/>
  <c r="G379" i="35"/>
  <c r="G364" i="35"/>
  <c r="G368" i="35"/>
  <c r="G372" i="35"/>
  <c r="G376" i="35"/>
  <c r="H22" i="37"/>
  <c r="G365" i="35"/>
  <c r="G369" i="35"/>
  <c r="G373" i="35"/>
  <c r="H23" i="37"/>
  <c r="G377" i="35"/>
  <c r="G366" i="35"/>
  <c r="G370" i="35"/>
  <c r="G374" i="35"/>
  <c r="G363" i="35"/>
  <c r="G367" i="35"/>
  <c r="G371" i="35"/>
  <c r="G375" i="35"/>
  <c r="D137" i="35"/>
  <c r="C21" i="37"/>
  <c r="D379" i="35"/>
  <c r="D363" i="35"/>
  <c r="D375" i="35"/>
  <c r="C22" i="37"/>
  <c r="D364" i="35"/>
  <c r="D368" i="35"/>
  <c r="D372" i="35"/>
  <c r="D376" i="35"/>
  <c r="C23" i="37"/>
  <c r="D377" i="35"/>
  <c r="D365" i="35"/>
  <c r="D369" i="35"/>
  <c r="D373" i="35"/>
  <c r="C24" i="37"/>
  <c r="D378" i="35"/>
  <c r="D366" i="35"/>
  <c r="D370" i="35"/>
  <c r="D374" i="35"/>
  <c r="D367" i="35"/>
  <c r="D371" i="35"/>
  <c r="I21" i="37"/>
  <c r="C378" i="35"/>
  <c r="I22" i="37"/>
  <c r="C379" i="35"/>
  <c r="C366" i="35"/>
  <c r="C370" i="35"/>
  <c r="C374" i="35"/>
  <c r="I23" i="37"/>
  <c r="C363" i="35"/>
  <c r="C367" i="35"/>
  <c r="C371" i="35"/>
  <c r="C375" i="35"/>
  <c r="I24" i="37"/>
  <c r="C377" i="35"/>
  <c r="C364" i="35"/>
  <c r="C368" i="35"/>
  <c r="C372" i="35"/>
  <c r="C376" i="35"/>
  <c r="C365" i="35"/>
  <c r="C369" i="35"/>
  <c r="C373" i="35"/>
  <c r="D68" i="35"/>
  <c r="D184" i="35"/>
  <c r="D18" i="35"/>
  <c r="D115" i="35"/>
  <c r="D67" i="35"/>
  <c r="C11" i="37"/>
  <c r="D229" i="35"/>
  <c r="D98" i="35"/>
  <c r="D21" i="35"/>
  <c r="D86" i="35"/>
  <c r="D149" i="35"/>
  <c r="D337" i="35"/>
  <c r="D125" i="35"/>
  <c r="D2" i="35"/>
  <c r="D121" i="35"/>
  <c r="D11" i="35"/>
  <c r="D31" i="35"/>
  <c r="D257" i="35"/>
  <c r="D38" i="35"/>
  <c r="C20" i="37"/>
  <c r="D186" i="35"/>
  <c r="D7" i="35"/>
  <c r="D172" i="35"/>
  <c r="D90" i="35"/>
  <c r="D299" i="35"/>
  <c r="D91" i="35"/>
  <c r="D109" i="35"/>
  <c r="D75" i="35"/>
  <c r="D360" i="35"/>
  <c r="D291" i="35"/>
  <c r="C2" i="37"/>
  <c r="D255" i="35"/>
  <c r="D231" i="35"/>
  <c r="B24" i="32"/>
  <c r="C11" i="10"/>
  <c r="C11" i="14"/>
  <c r="K17" i="2"/>
  <c r="C11" i="36"/>
  <c r="I90" i="14"/>
  <c r="D205" i="35"/>
  <c r="D303" i="35"/>
  <c r="D191" i="35"/>
  <c r="D196" i="35"/>
  <c r="D82" i="35"/>
  <c r="D57" i="35"/>
  <c r="D359" i="35"/>
  <c r="D256" i="35"/>
  <c r="D60" i="35"/>
  <c r="D42" i="32"/>
  <c r="C11" i="8"/>
  <c r="D28" i="35"/>
  <c r="D9" i="35"/>
  <c r="D201" i="35"/>
  <c r="D80" i="35"/>
  <c r="D338" i="35"/>
  <c r="D288" i="35"/>
  <c r="AB17" i="32"/>
  <c r="D6" i="10" s="1"/>
  <c r="AB47" i="32"/>
  <c r="D321" i="35"/>
  <c r="D202" i="35"/>
  <c r="D100" i="35"/>
  <c r="D188" i="35"/>
  <c r="D6" i="35"/>
  <c r="D195" i="35"/>
  <c r="D232" i="35"/>
  <c r="D343" i="35"/>
  <c r="AB56" i="32"/>
  <c r="AB40" i="32"/>
  <c r="D136" i="2" s="1"/>
  <c r="D271" i="35"/>
  <c r="C3" i="37"/>
  <c r="D122" i="35"/>
  <c r="C212" i="35"/>
  <c r="D12" i="32"/>
  <c r="AB12" i="32" s="1"/>
  <c r="M29" i="10"/>
  <c r="O29" i="10" s="1"/>
  <c r="H32" i="10"/>
  <c r="D237" i="35"/>
  <c r="D243" i="35"/>
  <c r="D281" i="35"/>
  <c r="D42" i="35"/>
  <c r="D341" i="35"/>
  <c r="Z27" i="32"/>
  <c r="AB27" i="32" s="1"/>
  <c r="Z24" i="32"/>
  <c r="D307" i="35"/>
  <c r="D146" i="35"/>
  <c r="D74" i="35"/>
  <c r="D295" i="35"/>
  <c r="D311" i="35"/>
  <c r="D207" i="35"/>
  <c r="D221" i="35"/>
  <c r="D22" i="35"/>
  <c r="D180" i="35"/>
  <c r="D5" i="2"/>
  <c r="D39" i="35"/>
  <c r="Y33" i="32"/>
  <c r="D20" i="35"/>
  <c r="D103" i="35"/>
  <c r="D278" i="35"/>
  <c r="D189" i="35"/>
  <c r="D26" i="35"/>
  <c r="D353" i="35"/>
  <c r="D268" i="35"/>
  <c r="D327" i="35"/>
  <c r="D29" i="35"/>
  <c r="D361" i="35"/>
  <c r="D106" i="35"/>
  <c r="D263" i="35"/>
  <c r="D5" i="1"/>
  <c r="D346" i="35"/>
  <c r="C6" i="37"/>
  <c r="D236" i="35"/>
  <c r="D297" i="35"/>
  <c r="D215" i="35"/>
  <c r="D276" i="35"/>
  <c r="D347" i="35"/>
  <c r="D44" i="35"/>
  <c r="D225" i="35"/>
  <c r="D176" i="35"/>
  <c r="D79" i="35"/>
  <c r="D105" i="35"/>
  <c r="D76" i="35"/>
  <c r="D35" i="35"/>
  <c r="D315" i="35"/>
  <c r="D62" i="35"/>
  <c r="D212" i="35"/>
  <c r="D77" i="35"/>
  <c r="D308" i="35"/>
  <c r="D335" i="35"/>
  <c r="D135" i="35"/>
  <c r="D5" i="36"/>
  <c r="D254" i="35"/>
  <c r="D348" i="35"/>
  <c r="D87" i="35"/>
  <c r="D314" i="35"/>
  <c r="D150" i="35"/>
  <c r="C30" i="10"/>
  <c r="C40" i="14"/>
  <c r="C36" i="14"/>
  <c r="C32" i="14"/>
  <c r="C28" i="14"/>
  <c r="C24" i="14"/>
  <c r="C20" i="14"/>
  <c r="C88" i="14"/>
  <c r="D85" i="14"/>
  <c r="C87" i="14"/>
  <c r="D86" i="14"/>
  <c r="C85" i="14"/>
  <c r="C86" i="14"/>
  <c r="C72" i="14"/>
  <c r="C68" i="14"/>
  <c r="C64" i="14"/>
  <c r="C59" i="14"/>
  <c r="C55" i="14"/>
  <c r="C51" i="14"/>
  <c r="C47" i="14"/>
  <c r="C61" i="14"/>
  <c r="C84" i="14"/>
  <c r="C80" i="14"/>
  <c r="C23" i="14"/>
  <c r="C75" i="14"/>
  <c r="C71" i="14"/>
  <c r="C67" i="14"/>
  <c r="C63" i="14"/>
  <c r="C58" i="14"/>
  <c r="C54" i="14"/>
  <c r="C50" i="14"/>
  <c r="C46" i="14"/>
  <c r="C83" i="14"/>
  <c r="C79" i="14"/>
  <c r="C42" i="14"/>
  <c r="C38" i="14"/>
  <c r="C34" i="14"/>
  <c r="C30" i="14"/>
  <c r="C26" i="14"/>
  <c r="C22" i="14"/>
  <c r="C74" i="14"/>
  <c r="C70" i="14"/>
  <c r="C66" i="14"/>
  <c r="C62" i="14"/>
  <c r="C57" i="14"/>
  <c r="C53" i="14"/>
  <c r="D53" i="14"/>
  <c r="C49" i="14"/>
  <c r="C45" i="14"/>
  <c r="C82" i="14"/>
  <c r="C78" i="14"/>
  <c r="H272" i="35"/>
  <c r="H249" i="35"/>
  <c r="H246" i="35"/>
  <c r="H222" i="35"/>
  <c r="H219" i="35"/>
  <c r="H216" i="35"/>
  <c r="H194" i="35"/>
  <c r="H171" i="35"/>
  <c r="H157" i="35"/>
  <c r="H128" i="35"/>
  <c r="H66" i="35"/>
  <c r="C41" i="14"/>
  <c r="D37" i="14"/>
  <c r="C37" i="14"/>
  <c r="C29" i="14"/>
  <c r="C25" i="14"/>
  <c r="C73" i="14"/>
  <c r="C69" i="14"/>
  <c r="C65" i="14"/>
  <c r="C60" i="14"/>
  <c r="C56" i="14"/>
  <c r="C52" i="14"/>
  <c r="C48" i="14"/>
  <c r="C44" i="14"/>
  <c r="C81" i="14"/>
  <c r="C77" i="14"/>
  <c r="D334" i="35"/>
  <c r="D40" i="10"/>
  <c r="C38" i="10"/>
  <c r="D23" i="10"/>
  <c r="C33" i="10"/>
  <c r="C26" i="10"/>
  <c r="D37" i="10"/>
  <c r="C23" i="10"/>
  <c r="C35" i="10"/>
  <c r="D26" i="10"/>
  <c r="C29" i="10"/>
  <c r="H340" i="35"/>
  <c r="C40" i="10"/>
  <c r="D27" i="10"/>
  <c r="C25" i="10"/>
  <c r="D30" i="10"/>
  <c r="D24" i="10"/>
  <c r="C37" i="10"/>
  <c r="D35" i="10"/>
  <c r="C24" i="10"/>
  <c r="C28" i="10"/>
  <c r="C22" i="10"/>
  <c r="C34" i="10"/>
  <c r="D34" i="10"/>
  <c r="D28" i="10"/>
  <c r="C20" i="10"/>
  <c r="D87" i="14"/>
  <c r="D88" i="14"/>
  <c r="Y5" i="32"/>
  <c r="AB64" i="32"/>
  <c r="C12" i="1"/>
  <c r="D246" i="35"/>
  <c r="D222" i="35"/>
  <c r="D194" i="35"/>
  <c r="D157" i="35"/>
  <c r="D128" i="35"/>
  <c r="D340" i="35"/>
  <c r="D272" i="35"/>
  <c r="D249" i="35"/>
  <c r="D219" i="35"/>
  <c r="D216" i="35"/>
  <c r="D171" i="35"/>
  <c r="D66" i="35"/>
  <c r="D293" i="35"/>
  <c r="AB49" i="32"/>
  <c r="C189" i="35"/>
  <c r="C340" i="35"/>
  <c r="C272" i="35"/>
  <c r="C249" i="35"/>
  <c r="C246" i="35"/>
  <c r="C222" i="35"/>
  <c r="C219" i="35"/>
  <c r="C216" i="35"/>
  <c r="C194" i="35"/>
  <c r="C171" i="35"/>
  <c r="C157" i="35"/>
  <c r="C128" i="35"/>
  <c r="C66" i="35"/>
  <c r="AB20" i="32"/>
  <c r="G357" i="35"/>
  <c r="G340" i="35"/>
  <c r="G272" i="35"/>
  <c r="G249" i="35"/>
  <c r="G246" i="35"/>
  <c r="G222" i="35"/>
  <c r="G219" i="35"/>
  <c r="G216" i="35"/>
  <c r="G194" i="35"/>
  <c r="G171" i="35"/>
  <c r="G157" i="35"/>
  <c r="G128" i="35"/>
  <c r="G66" i="35"/>
  <c r="D160" i="1"/>
  <c r="K158" i="1"/>
  <c r="I136" i="2"/>
  <c r="I71" i="8"/>
  <c r="M42" i="10"/>
  <c r="D40" i="36"/>
  <c r="D42" i="36"/>
  <c r="D41" i="35"/>
  <c r="D138" i="35"/>
  <c r="D56" i="35"/>
  <c r="D179" i="35"/>
  <c r="D5" i="8"/>
  <c r="D241" i="35"/>
  <c r="D329" i="35"/>
  <c r="D296" i="35"/>
  <c r="D203" i="35"/>
  <c r="D124" i="35"/>
  <c r="C18" i="37"/>
  <c r="D326" i="35"/>
  <c r="D126" i="35"/>
  <c r="D261" i="35"/>
  <c r="D85" i="35"/>
  <c r="D15" i="35"/>
  <c r="D305" i="35"/>
  <c r="D267" i="35"/>
  <c r="D331" i="35"/>
  <c r="D169" i="35"/>
  <c r="D46" i="35"/>
  <c r="D238" i="35"/>
  <c r="D27" i="35"/>
  <c r="D166" i="35"/>
  <c r="D178" i="35"/>
  <c r="D58" i="35"/>
  <c r="D4" i="35"/>
  <c r="D294" i="35"/>
  <c r="D298" i="35"/>
  <c r="D313" i="35"/>
  <c r="D30" i="35"/>
  <c r="D37" i="35"/>
  <c r="D339" i="35"/>
  <c r="D78" i="35"/>
  <c r="D140" i="35"/>
  <c r="D65" i="35"/>
  <c r="D242" i="35"/>
  <c r="D319" i="35"/>
  <c r="D153" i="35"/>
  <c r="D61" i="35"/>
  <c r="D206" i="35"/>
  <c r="D316" i="35"/>
  <c r="D198" i="35"/>
  <c r="D123" i="35"/>
  <c r="D3" i="35"/>
  <c r="D275" i="35"/>
  <c r="D252" i="35"/>
  <c r="D248" i="35"/>
  <c r="D217" i="35"/>
  <c r="D50" i="35"/>
  <c r="D284" i="35"/>
  <c r="D95" i="35"/>
  <c r="D49" i="35"/>
  <c r="D349" i="35"/>
  <c r="D159" i="35"/>
  <c r="D185" i="35"/>
  <c r="C7" i="37"/>
  <c r="D354" i="35"/>
  <c r="D162" i="35"/>
  <c r="D63" i="35"/>
  <c r="C19" i="37"/>
  <c r="D116" i="35"/>
  <c r="C15" i="37"/>
  <c r="D143" i="35"/>
  <c r="D247" i="35"/>
  <c r="D239" i="35"/>
  <c r="C9" i="37"/>
  <c r="D193" i="35"/>
  <c r="D227" i="35"/>
  <c r="D84" i="35"/>
  <c r="D144" i="35"/>
  <c r="D101" i="35"/>
  <c r="D118" i="35"/>
  <c r="D10" i="35"/>
  <c r="D358" i="35"/>
  <c r="D72" i="35"/>
  <c r="D197" i="35"/>
  <c r="D245" i="35"/>
  <c r="D273" i="35"/>
  <c r="D300" i="35"/>
  <c r="D97" i="35"/>
  <c r="D177" i="35"/>
  <c r="D70" i="35"/>
  <c r="D324" i="35"/>
  <c r="D52" i="35"/>
  <c r="D94" i="35"/>
  <c r="D362" i="35"/>
  <c r="D223" i="35"/>
  <c r="J124" i="2"/>
  <c r="J117" i="2"/>
  <c r="J125" i="2"/>
  <c r="J65" i="2"/>
  <c r="D92" i="14"/>
  <c r="L20" i="1"/>
  <c r="J8" i="36"/>
  <c r="J8" i="14"/>
  <c r="N9" i="10"/>
  <c r="J9" i="14"/>
  <c r="J10" i="8"/>
  <c r="N10" i="10"/>
  <c r="J10" i="14"/>
  <c r="K124" i="2"/>
  <c r="K126" i="2"/>
  <c r="K125" i="2"/>
  <c r="K118" i="2"/>
  <c r="K64" i="2"/>
  <c r="J46" i="8"/>
  <c r="J60" i="8"/>
  <c r="K69" i="8"/>
  <c r="D52" i="11" s="1"/>
  <c r="K31" i="8"/>
  <c r="K63" i="8"/>
  <c r="H407" i="34"/>
  <c r="G407" i="34"/>
  <c r="H404" i="34"/>
  <c r="G404" i="34"/>
  <c r="H393" i="34"/>
  <c r="G396" i="34"/>
  <c r="F396" i="34" s="1"/>
  <c r="G393" i="34"/>
  <c r="F393" i="34" s="1"/>
  <c r="H396" i="34"/>
  <c r="AB8" i="32"/>
  <c r="C269" i="35"/>
  <c r="C146" i="35"/>
  <c r="C310" i="35"/>
  <c r="C140" i="35"/>
  <c r="C14" i="2"/>
  <c r="C14" i="36"/>
  <c r="C191" i="35"/>
  <c r="C5" i="35"/>
  <c r="C75" i="35"/>
  <c r="C282" i="35"/>
  <c r="C169" i="35"/>
  <c r="C221" i="35"/>
  <c r="C225" i="35"/>
  <c r="C330" i="35"/>
  <c r="C184" i="35"/>
  <c r="C90" i="35"/>
  <c r="C25" i="35"/>
  <c r="C203" i="35"/>
  <c r="M304" i="35"/>
  <c r="L64" i="35"/>
  <c r="L269" i="35"/>
  <c r="L357" i="35"/>
  <c r="M180" i="35"/>
  <c r="L201" i="35"/>
  <c r="M237" i="35"/>
  <c r="M310" i="35"/>
  <c r="L146" i="35"/>
  <c r="L219" i="35"/>
  <c r="M318" i="35"/>
  <c r="M309" i="35"/>
  <c r="L14" i="35"/>
  <c r="M356" i="35"/>
  <c r="M91" i="35"/>
  <c r="L115" i="35"/>
  <c r="L191" i="35"/>
  <c r="M102" i="35"/>
  <c r="M155" i="35"/>
  <c r="L230" i="35"/>
  <c r="M25" i="35"/>
  <c r="L237" i="35"/>
  <c r="L359" i="35"/>
  <c r="M312" i="35"/>
  <c r="M62" i="35"/>
  <c r="M92" i="35"/>
  <c r="M344" i="35"/>
  <c r="L127" i="35"/>
  <c r="M66" i="35"/>
  <c r="L166" i="35"/>
  <c r="M252" i="35"/>
  <c r="L57" i="35"/>
  <c r="L123" i="35"/>
  <c r="L114" i="35"/>
  <c r="M229" i="35"/>
  <c r="L340" i="35"/>
  <c r="M109" i="35"/>
  <c r="M157" i="35"/>
  <c r="M77" i="35"/>
  <c r="M214" i="35"/>
  <c r="L193" i="35"/>
  <c r="M124" i="35"/>
  <c r="M14" i="35"/>
  <c r="M53" i="35"/>
  <c r="L30" i="35"/>
  <c r="M145" i="35"/>
  <c r="M219" i="35"/>
  <c r="M240" i="35"/>
  <c r="L279" i="35"/>
  <c r="L126" i="35"/>
  <c r="L303" i="35"/>
  <c r="M257" i="35"/>
  <c r="M128" i="35"/>
  <c r="L53" i="35"/>
  <c r="M320" i="35"/>
  <c r="M302" i="35"/>
  <c r="L284" i="35"/>
  <c r="L198" i="35"/>
  <c r="L94" i="35"/>
  <c r="L231" i="35"/>
  <c r="M33" i="35"/>
  <c r="L125" i="35"/>
  <c r="L326" i="35"/>
  <c r="M114" i="35"/>
  <c r="L211" i="35"/>
  <c r="L325" i="35"/>
  <c r="L224" i="35"/>
  <c r="L287" i="35"/>
  <c r="L249" i="35"/>
  <c r="L210" i="35"/>
  <c r="L72" i="35"/>
  <c r="L70" i="35"/>
  <c r="M140" i="35"/>
  <c r="M200" i="35"/>
  <c r="M216" i="35"/>
  <c r="M248" i="35"/>
  <c r="L309" i="35"/>
  <c r="M43" i="35"/>
  <c r="L302" i="35"/>
  <c r="M191" i="35"/>
  <c r="M239" i="35"/>
  <c r="L180" i="35"/>
  <c r="L169" i="35"/>
  <c r="L344" i="35"/>
  <c r="M281" i="35"/>
  <c r="L288" i="35"/>
  <c r="L222" i="35"/>
  <c r="M4" i="35"/>
  <c r="L112" i="35"/>
  <c r="L336" i="35"/>
  <c r="M189" i="35"/>
  <c r="M251" i="35"/>
  <c r="M194" i="35"/>
  <c r="L319" i="35"/>
  <c r="M358" i="35"/>
  <c r="L263" i="35"/>
  <c r="L194" i="35"/>
  <c r="M343" i="35"/>
  <c r="M295" i="35"/>
  <c r="M106" i="35"/>
  <c r="M269" i="35"/>
  <c r="M326" i="35"/>
  <c r="L46" i="35"/>
  <c r="L52" i="35"/>
  <c r="L345" i="35"/>
  <c r="L246" i="35"/>
  <c r="L274" i="35"/>
  <c r="M146" i="35"/>
  <c r="M83" i="35"/>
  <c r="L212" i="35"/>
  <c r="M138" i="35"/>
  <c r="M170" i="35"/>
  <c r="M84" i="35"/>
  <c r="M274" i="35"/>
  <c r="M342" i="35"/>
  <c r="L157" i="35"/>
  <c r="L104" i="35"/>
  <c r="L189" i="35"/>
  <c r="L294" i="35"/>
  <c r="M278" i="35"/>
  <c r="L71" i="35"/>
  <c r="M103" i="35"/>
  <c r="M218" i="35"/>
  <c r="L11" i="35"/>
  <c r="L135" i="35"/>
  <c r="L91" i="35"/>
  <c r="L295" i="35"/>
  <c r="L13" i="35"/>
  <c r="L240" i="35"/>
  <c r="L311" i="35"/>
  <c r="M351" i="35"/>
  <c r="L27" i="35"/>
  <c r="L92" i="35"/>
  <c r="M340" i="35"/>
  <c r="L36" i="35"/>
  <c r="M187" i="35"/>
  <c r="L153" i="35"/>
  <c r="M335" i="35"/>
  <c r="L273" i="35"/>
  <c r="M193" i="35"/>
  <c r="M359" i="35"/>
  <c r="L202" i="35"/>
  <c r="L21" i="35"/>
  <c r="M334" i="35"/>
  <c r="L62" i="35"/>
  <c r="L124" i="35"/>
  <c r="M135" i="35"/>
  <c r="L343" i="35"/>
  <c r="L149" i="35"/>
  <c r="M179" i="35"/>
  <c r="M126" i="35"/>
  <c r="M287" i="35"/>
  <c r="L327" i="35"/>
  <c r="M303" i="35"/>
  <c r="L109" i="35"/>
  <c r="M182" i="35"/>
  <c r="L177" i="35"/>
  <c r="L272" i="35"/>
  <c r="L82" i="35"/>
  <c r="L60" i="35"/>
  <c r="M293" i="35"/>
  <c r="M236" i="35"/>
  <c r="L174" i="35"/>
  <c r="M222" i="35"/>
  <c r="L80" i="35"/>
  <c r="L160" i="35"/>
  <c r="M357" i="35"/>
  <c r="M296" i="35"/>
  <c r="M115" i="35"/>
  <c r="M266" i="35"/>
  <c r="L128" i="35"/>
  <c r="L358" i="35"/>
  <c r="M156" i="35"/>
  <c r="M272" i="35"/>
  <c r="M249" i="35"/>
  <c r="M46" i="35"/>
  <c r="M352" i="35"/>
  <c r="L247" i="35"/>
  <c r="M93" i="35"/>
  <c r="L352" i="35"/>
  <c r="M112" i="35"/>
  <c r="L158" i="35"/>
  <c r="M273" i="35"/>
  <c r="M158" i="35"/>
  <c r="M20" i="35"/>
  <c r="M13" i="35"/>
  <c r="L77" i="35"/>
  <c r="L171" i="35"/>
  <c r="M80" i="35"/>
  <c r="M134" i="35"/>
  <c r="M328" i="35"/>
  <c r="L216" i="35"/>
  <c r="D44" i="10" l="1"/>
  <c r="D6" i="36"/>
  <c r="L50" i="1"/>
  <c r="M81" i="1"/>
  <c r="D73" i="8"/>
  <c r="J7" i="36"/>
  <c r="J7" i="2"/>
  <c r="L7" i="1"/>
  <c r="J7" i="14"/>
  <c r="N7" i="10"/>
  <c r="J7" i="8"/>
  <c r="Z5" i="32"/>
  <c r="AB24" i="32"/>
  <c r="E158" i="35" s="1"/>
  <c r="E216" i="35"/>
  <c r="D6" i="37"/>
  <c r="D71" i="8"/>
  <c r="C48" i="11"/>
  <c r="C46" i="11"/>
  <c r="C51" i="11"/>
  <c r="D48" i="11"/>
  <c r="D49" i="11"/>
  <c r="C49" i="11"/>
  <c r="D46" i="11"/>
  <c r="C50" i="11"/>
  <c r="K49" i="2"/>
  <c r="K117" i="2"/>
  <c r="K48" i="2"/>
  <c r="K65" i="2"/>
  <c r="C52" i="11"/>
  <c r="J83" i="1"/>
  <c r="L81" i="1"/>
  <c r="E340" i="35"/>
  <c r="E165" i="35"/>
  <c r="E68" i="35"/>
  <c r="E66" i="35"/>
  <c r="E255" i="35"/>
  <c r="E23" i="35"/>
  <c r="E236" i="35"/>
  <c r="E322" i="35"/>
  <c r="E303" i="35"/>
  <c r="E258" i="35"/>
  <c r="E89" i="35"/>
  <c r="E297" i="35"/>
  <c r="E335" i="35"/>
  <c r="E98" i="35"/>
  <c r="D11" i="1"/>
  <c r="E234" i="35"/>
  <c r="E81" i="35"/>
  <c r="E349" i="35"/>
  <c r="D13" i="37"/>
  <c r="E354" i="35"/>
  <c r="E282" i="35"/>
  <c r="E249" i="35"/>
  <c r="E331" i="35"/>
  <c r="E58" i="35"/>
  <c r="E11" i="35"/>
  <c r="E242" i="35"/>
  <c r="E172" i="35"/>
  <c r="E342" i="35"/>
  <c r="E281" i="35"/>
  <c r="E129" i="35"/>
  <c r="E238" i="35"/>
  <c r="E80" i="35"/>
  <c r="E292" i="35"/>
  <c r="E241" i="35"/>
  <c r="E197" i="35"/>
  <c r="E135" i="35"/>
  <c r="E128" i="35"/>
  <c r="E329" i="35"/>
  <c r="E271" i="35"/>
  <c r="E343" i="35"/>
  <c r="E287" i="35"/>
  <c r="E166" i="35"/>
  <c r="E178" i="35"/>
  <c r="E25" i="35"/>
  <c r="D20" i="37"/>
  <c r="E143" i="35"/>
  <c r="E5" i="35"/>
  <c r="E203" i="35"/>
  <c r="E116" i="35"/>
  <c r="E109" i="35"/>
  <c r="E157" i="35"/>
  <c r="E272" i="35"/>
  <c r="E79" i="35"/>
  <c r="E154" i="35"/>
  <c r="D7" i="37"/>
  <c r="E225" i="35"/>
  <c r="E291" i="35"/>
  <c r="E145" i="35"/>
  <c r="E199" i="35"/>
  <c r="E192" i="35"/>
  <c r="E117" i="35"/>
  <c r="E126" i="35"/>
  <c r="E361" i="35"/>
  <c r="E72" i="35"/>
  <c r="F404" i="34"/>
  <c r="D29" i="10" s="1"/>
  <c r="F407" i="34"/>
  <c r="D32" i="10" s="1"/>
  <c r="E85" i="35"/>
  <c r="E63" i="35"/>
  <c r="E118" i="35"/>
  <c r="D11" i="36"/>
  <c r="E205" i="35"/>
  <c r="E102" i="35"/>
  <c r="E305" i="35"/>
  <c r="E369" i="35"/>
  <c r="E377" i="35"/>
  <c r="E370" i="35"/>
  <c r="D23" i="37"/>
  <c r="E363" i="35"/>
  <c r="E371" i="35"/>
  <c r="D24" i="37"/>
  <c r="E364" i="35"/>
  <c r="E368" i="35"/>
  <c r="E372" i="35"/>
  <c r="E376" i="35"/>
  <c r="E365" i="35"/>
  <c r="E373" i="35"/>
  <c r="D158" i="1"/>
  <c r="D90" i="14"/>
  <c r="D6" i="2"/>
  <c r="E233" i="35"/>
  <c r="D42" i="10"/>
  <c r="D6" i="8"/>
  <c r="D6" i="1"/>
  <c r="D6" i="14"/>
  <c r="E139" i="35"/>
  <c r="D11" i="10"/>
  <c r="E290" i="35"/>
  <c r="M32" i="10"/>
  <c r="H40" i="10"/>
  <c r="M40" i="10" s="1"/>
  <c r="D18" i="10"/>
  <c r="C21" i="10"/>
  <c r="E190" i="35"/>
  <c r="E274" i="35"/>
  <c r="E336" i="35"/>
  <c r="E83" i="35"/>
  <c r="E244" i="35"/>
  <c r="E307" i="35"/>
  <c r="E142" i="35"/>
  <c r="E54" i="35"/>
  <c r="E95" i="35"/>
  <c r="E96" i="35"/>
  <c r="E4" i="35"/>
  <c r="D18" i="37"/>
  <c r="E240" i="35"/>
  <c r="E353" i="35"/>
  <c r="E265" i="35"/>
  <c r="E277" i="35"/>
  <c r="E148" i="35"/>
  <c r="E326" i="35"/>
  <c r="E67" i="35"/>
  <c r="E70" i="35"/>
  <c r="E229" i="35"/>
  <c r="E169" i="35"/>
  <c r="E73" i="35"/>
  <c r="E300" i="35"/>
  <c r="E182" i="35"/>
  <c r="E77" i="35"/>
  <c r="E162" i="35"/>
  <c r="E289" i="35"/>
  <c r="E193" i="35"/>
  <c r="E168" i="35"/>
  <c r="E14" i="35"/>
  <c r="E254" i="35"/>
  <c r="E112" i="35"/>
  <c r="E65" i="35"/>
  <c r="E150" i="35"/>
  <c r="E122" i="35"/>
  <c r="E350" i="35"/>
  <c r="E44" i="35"/>
  <c r="E310" i="35"/>
  <c r="E170" i="35"/>
  <c r="D2" i="37"/>
  <c r="E47" i="35"/>
  <c r="E330" i="35"/>
  <c r="E161" i="35"/>
  <c r="E352" i="35"/>
  <c r="D16" i="37"/>
  <c r="E183" i="35"/>
  <c r="E52" i="35"/>
  <c r="E32" i="35"/>
  <c r="E88" i="35"/>
  <c r="E76" i="35"/>
  <c r="D11" i="14"/>
  <c r="E344" i="35"/>
  <c r="D10" i="37"/>
  <c r="E357" i="35"/>
  <c r="E347" i="35"/>
  <c r="E82" i="35"/>
  <c r="E351" i="35"/>
  <c r="E29" i="35"/>
  <c r="E345" i="35"/>
  <c r="E288" i="35"/>
  <c r="E36" i="35"/>
  <c r="E266" i="35"/>
  <c r="E315" i="35"/>
  <c r="E261" i="35"/>
  <c r="E120" i="35"/>
  <c r="E294" i="35"/>
  <c r="E284" i="35"/>
  <c r="E259" i="35"/>
  <c r="E64" i="35"/>
  <c r="E239" i="35"/>
  <c r="E176" i="35"/>
  <c r="E33" i="35"/>
  <c r="E105" i="35"/>
  <c r="E174" i="35"/>
  <c r="E159" i="35"/>
  <c r="E276" i="35"/>
  <c r="D3" i="37"/>
  <c r="E93" i="35"/>
  <c r="E332" i="35"/>
  <c r="E278" i="35"/>
  <c r="E318" i="35"/>
  <c r="E334" i="35"/>
  <c r="E41" i="35"/>
  <c r="E358" i="35"/>
  <c r="E279" i="35"/>
  <c r="E321" i="35"/>
  <c r="E256" i="35"/>
  <c r="E356" i="35"/>
  <c r="E51" i="35"/>
  <c r="E121" i="35"/>
  <c r="E46" i="35"/>
  <c r="E90" i="35"/>
  <c r="E309" i="35"/>
  <c r="E39" i="35"/>
  <c r="E2" i="35"/>
  <c r="E101" i="35"/>
  <c r="E48" i="35"/>
  <c r="E155" i="35"/>
  <c r="D11" i="37"/>
  <c r="E144" i="35"/>
  <c r="E173" i="35"/>
  <c r="E34" i="35"/>
  <c r="E209" i="35"/>
  <c r="E295" i="35"/>
  <c r="E337" i="35"/>
  <c r="E37" i="35"/>
  <c r="E286" i="35"/>
  <c r="E40" i="35"/>
  <c r="E280" i="35"/>
  <c r="E285" i="35"/>
  <c r="E140" i="35"/>
  <c r="E355" i="35"/>
  <c r="E27" i="35"/>
  <c r="E212" i="35"/>
  <c r="E104" i="35"/>
  <c r="E151" i="35"/>
  <c r="E175" i="35"/>
  <c r="E137" i="35"/>
  <c r="E316" i="35"/>
  <c r="E248" i="35"/>
  <c r="E213" i="35"/>
  <c r="D15" i="37"/>
  <c r="E62" i="35"/>
  <c r="E21" i="35"/>
  <c r="E18" i="35"/>
  <c r="E206" i="35"/>
  <c r="E103" i="35"/>
  <c r="E263" i="35"/>
  <c r="E35" i="35"/>
  <c r="E53" i="35"/>
  <c r="E360" i="35"/>
  <c r="E110" i="35"/>
  <c r="E230" i="35"/>
  <c r="E115" i="35"/>
  <c r="E20" i="35"/>
  <c r="E99" i="35"/>
  <c r="E260" i="35"/>
  <c r="D11" i="8"/>
  <c r="E3" i="35"/>
  <c r="E228" i="35"/>
  <c r="E319" i="35"/>
  <c r="E328" i="35"/>
  <c r="E164" i="35"/>
  <c r="E220" i="35"/>
  <c r="E188" i="35"/>
  <c r="E304" i="35"/>
  <c r="E160" i="35"/>
  <c r="E7" i="35"/>
  <c r="E301" i="35"/>
  <c r="E324" i="35"/>
  <c r="E262" i="35"/>
  <c r="E180" i="35"/>
  <c r="E26" i="35"/>
  <c r="E38" i="35"/>
  <c r="E13" i="35"/>
  <c r="E306" i="35"/>
  <c r="E317" i="35"/>
  <c r="D19" i="37"/>
  <c r="E362" i="35"/>
  <c r="E359" i="35"/>
  <c r="E221" i="35"/>
  <c r="E84" i="35"/>
  <c r="E130" i="35"/>
  <c r="E202" i="35"/>
  <c r="E74" i="35"/>
  <c r="E10" i="35"/>
  <c r="E243" i="35"/>
  <c r="E179" i="35"/>
  <c r="E147" i="35"/>
  <c r="E257" i="35"/>
  <c r="E131" i="35"/>
  <c r="E134" i="35"/>
  <c r="E296" i="35"/>
  <c r="E55" i="35"/>
  <c r="E9" i="35"/>
  <c r="E189" i="35"/>
  <c r="E348" i="35"/>
  <c r="E210" i="35"/>
  <c r="E78" i="35"/>
  <c r="E268" i="35"/>
  <c r="E283" i="35"/>
  <c r="E94" i="35"/>
  <c r="E60" i="35"/>
  <c r="E196" i="35"/>
  <c r="E156" i="35"/>
  <c r="E293" i="35"/>
  <c r="E298" i="35"/>
  <c r="E311" i="35"/>
  <c r="E320" i="35"/>
  <c r="E211" i="35"/>
  <c r="E226" i="35"/>
  <c r="E125" i="35"/>
  <c r="E146" i="35"/>
  <c r="E339" i="35"/>
  <c r="E132" i="35"/>
  <c r="E57" i="35"/>
  <c r="E86" i="35"/>
  <c r="E218" i="35"/>
  <c r="E177" i="35"/>
  <c r="E114" i="35"/>
  <c r="E107" i="35"/>
  <c r="E251" i="35"/>
  <c r="E250" i="35"/>
  <c r="E152" i="35"/>
  <c r="E30" i="35"/>
  <c r="E15" i="35"/>
  <c r="E201" i="35"/>
  <c r="E69" i="35"/>
  <c r="E87" i="35"/>
  <c r="E200" i="35"/>
  <c r="E111" i="35"/>
  <c r="E138" i="35"/>
  <c r="E235" i="35"/>
  <c r="E12" i="35"/>
  <c r="E217" i="35"/>
  <c r="E231" i="35"/>
  <c r="E253" i="35"/>
  <c r="D11" i="2"/>
  <c r="E149" i="35"/>
  <c r="E208" i="35"/>
  <c r="E6" i="35"/>
  <c r="E338" i="35"/>
  <c r="E237" i="35"/>
  <c r="E141" i="35"/>
  <c r="E163" i="35"/>
  <c r="E308" i="35"/>
  <c r="E341" i="35"/>
  <c r="L5" i="1"/>
  <c r="J5" i="2"/>
  <c r="J5" i="14"/>
  <c r="J5" i="8"/>
  <c r="N5" i="10"/>
  <c r="J5" i="36"/>
  <c r="C19" i="10"/>
  <c r="D20" i="10"/>
  <c r="C18" i="10"/>
  <c r="D19" i="10"/>
  <c r="D21" i="10"/>
  <c r="D22" i="10"/>
  <c r="D36" i="10"/>
  <c r="D33" i="10"/>
  <c r="D25" i="10"/>
  <c r="C9" i="14"/>
  <c r="C9" i="8"/>
  <c r="C9" i="36"/>
  <c r="C9" i="10"/>
  <c r="C9" i="2"/>
  <c r="C9" i="1"/>
  <c r="M44" i="10"/>
  <c r="K160" i="1"/>
  <c r="I73" i="8"/>
  <c r="I138" i="2"/>
  <c r="I92" i="14"/>
  <c r="I42" i="36"/>
  <c r="K19" i="36"/>
  <c r="J19" i="36"/>
  <c r="L83" i="1"/>
  <c r="C45" i="11" s="1"/>
  <c r="K85" i="1"/>
  <c r="C56" i="11" l="1"/>
  <c r="C54" i="11"/>
  <c r="D55" i="11"/>
  <c r="D53" i="11"/>
  <c r="M83" i="1"/>
  <c r="D45" i="11" s="1"/>
  <c r="E375" i="35"/>
  <c r="E378" i="35"/>
  <c r="E366" i="35"/>
  <c r="D21" i="37"/>
  <c r="E312" i="35"/>
  <c r="E167" i="35"/>
  <c r="E133" i="35"/>
  <c r="E100" i="35"/>
  <c r="D4" i="37"/>
  <c r="E269" i="35"/>
  <c r="E123" i="35"/>
  <c r="D14" i="37"/>
  <c r="E198" i="35"/>
  <c r="D9" i="37"/>
  <c r="E325" i="35"/>
  <c r="E49" i="35"/>
  <c r="E252" i="35"/>
  <c r="E59" i="35"/>
  <c r="E31" i="35"/>
  <c r="E215" i="35"/>
  <c r="D5" i="37"/>
  <c r="E273" i="35"/>
  <c r="E302" i="35"/>
  <c r="E327" i="35"/>
  <c r="E346" i="35"/>
  <c r="E313" i="35"/>
  <c r="E43" i="35"/>
  <c r="E127" i="35"/>
  <c r="E267" i="35"/>
  <c r="E270" i="35"/>
  <c r="E224" i="35"/>
  <c r="E97" i="35"/>
  <c r="E323" i="35"/>
  <c r="E246" i="35"/>
  <c r="E232" i="35"/>
  <c r="E207" i="35"/>
  <c r="E186" i="35"/>
  <c r="E50" i="35"/>
  <c r="E92" i="35"/>
  <c r="E214" i="35"/>
  <c r="E227" i="35"/>
  <c r="E136" i="35"/>
  <c r="E124" i="35"/>
  <c r="E42" i="35"/>
  <c r="E379" i="35"/>
  <c r="E367" i="35"/>
  <c r="E374" i="35"/>
  <c r="D22" i="37"/>
  <c r="E333" i="35"/>
  <c r="E264" i="35"/>
  <c r="E275" i="35"/>
  <c r="E56" i="35"/>
  <c r="E61" i="35"/>
  <c r="E71" i="35"/>
  <c r="E191" i="35"/>
  <c r="E195" i="35"/>
  <c r="E119" i="35"/>
  <c r="E219" i="35"/>
  <c r="E91" i="35"/>
  <c r="E24" i="35"/>
  <c r="E8" i="35"/>
  <c r="E187" i="35"/>
  <c r="E184" i="35"/>
  <c r="E314" i="35"/>
  <c r="E222" i="35"/>
  <c r="E245" i="35"/>
  <c r="D8" i="37"/>
  <c r="E75" i="35"/>
  <c r="D12" i="37"/>
  <c r="E113" i="35"/>
  <c r="E16" i="35"/>
  <c r="E106" i="35"/>
  <c r="E171" i="35"/>
  <c r="E22" i="35"/>
  <c r="E181" i="35"/>
  <c r="E19" i="35"/>
  <c r="E204" i="35"/>
  <c r="E108" i="35"/>
  <c r="E17" i="35"/>
  <c r="E194" i="35"/>
  <c r="E185" i="35"/>
  <c r="E153" i="35"/>
  <c r="E45" i="35"/>
  <c r="E247" i="35"/>
  <c r="E223" i="35"/>
  <c r="E299" i="35"/>
  <c r="E28" i="35"/>
  <c r="D17" i="37"/>
  <c r="O40" i="10"/>
  <c r="J85" i="1"/>
  <c r="L85" i="1" s="1"/>
  <c r="O32" i="10"/>
  <c r="J38" i="36"/>
  <c r="J37" i="36"/>
  <c r="K38" i="36"/>
  <c r="K37" i="36"/>
  <c r="M85" i="1" l="1"/>
  <c r="C47" i="11"/>
  <c r="B2" i="38"/>
  <c r="J2" i="38"/>
  <c r="H2" i="38"/>
  <c r="I2" i="38"/>
  <c r="K2" i="38"/>
  <c r="D47" i="11" l="1"/>
  <c r="M68" i="35"/>
  <c r="G33" i="38"/>
  <c r="D384" i="38"/>
  <c r="L322" i="35"/>
  <c r="L89" i="35"/>
  <c r="M375" i="35"/>
  <c r="D18" i="38"/>
  <c r="F23" i="38"/>
  <c r="L330" i="35"/>
  <c r="E224" i="38"/>
  <c r="D110" i="38"/>
  <c r="L50" i="35"/>
  <c r="E263" i="38"/>
  <c r="L307" i="35"/>
  <c r="E333" i="38"/>
  <c r="D351" i="38"/>
  <c r="L188" i="35"/>
  <c r="D268" i="38"/>
  <c r="M96" i="35"/>
  <c r="E241" i="38"/>
  <c r="D345" i="38"/>
  <c r="M203" i="35"/>
  <c r="D288" i="38"/>
  <c r="E238" i="38"/>
  <c r="L178" i="35"/>
  <c r="D365" i="38"/>
  <c r="M268" i="35"/>
  <c r="D50" i="38"/>
  <c r="D55" i="38"/>
  <c r="L90" i="35"/>
  <c r="D64" i="38"/>
  <c r="E163" i="38"/>
  <c r="E397" i="38"/>
  <c r="M354" i="35"/>
  <c r="E146" i="38"/>
  <c r="E119" i="38"/>
  <c r="E351" i="38"/>
  <c r="M323" i="35"/>
  <c r="E124" i="38"/>
  <c r="M324" i="35"/>
  <c r="D135" i="38"/>
  <c r="M19" i="35"/>
  <c r="D285" i="38"/>
  <c r="E326" i="38"/>
  <c r="E43" i="38"/>
  <c r="L3" i="35"/>
  <c r="L151" i="35"/>
  <c r="E177" i="38"/>
  <c r="D319" i="38"/>
  <c r="M39" i="35"/>
  <c r="M10" i="35"/>
  <c r="D32" i="38"/>
  <c r="E131" i="38"/>
  <c r="D263" i="38"/>
  <c r="L172" i="35"/>
  <c r="F18" i="38"/>
  <c r="D396" i="38"/>
  <c r="D171" i="38"/>
  <c r="L131" i="35"/>
  <c r="E156" i="38"/>
  <c r="D188" i="38"/>
  <c r="E235" i="38"/>
  <c r="L291" i="35"/>
  <c r="D204" i="38"/>
  <c r="M151" i="35"/>
  <c r="D177" i="38"/>
  <c r="E31" i="38"/>
  <c r="L315" i="35"/>
  <c r="L373" i="35"/>
  <c r="D390" i="38"/>
  <c r="M262" i="35"/>
  <c r="G60" i="38"/>
  <c r="M132" i="35"/>
  <c r="E33" i="38"/>
  <c r="E384" i="38"/>
  <c r="M297" i="35"/>
  <c r="D6" i="38"/>
  <c r="F35" i="38"/>
  <c r="L17" i="35"/>
  <c r="E214" i="38"/>
  <c r="L175" i="35"/>
  <c r="F61" i="38"/>
  <c r="D43" i="38"/>
  <c r="M99" i="35"/>
  <c r="E108" i="38"/>
  <c r="M292" i="35"/>
  <c r="D81" i="38"/>
  <c r="G63" i="38"/>
  <c r="M148" i="35"/>
  <c r="E357" i="38"/>
  <c r="E90" i="38"/>
  <c r="L133" i="35"/>
  <c r="L23" i="35"/>
  <c r="E113" i="38"/>
  <c r="E191" i="38"/>
  <c r="L276" i="35"/>
  <c r="L297" i="35"/>
  <c r="G6" i="38"/>
  <c r="D242" i="38"/>
  <c r="E247" i="38"/>
  <c r="M331" i="35"/>
  <c r="F17" i="38"/>
  <c r="E352" i="38"/>
  <c r="L290" i="35"/>
  <c r="M41" i="35"/>
  <c r="M264" i="35"/>
  <c r="E178" i="38"/>
  <c r="D86" i="38"/>
  <c r="L143" i="35"/>
  <c r="E29" i="38"/>
  <c r="L286" i="35"/>
  <c r="E26" i="38"/>
  <c r="M185" i="35"/>
  <c r="M263" i="35"/>
  <c r="E370" i="38"/>
  <c r="D357" i="38"/>
  <c r="E86" i="38"/>
  <c r="L47" i="35"/>
  <c r="D252" i="38"/>
  <c r="M32" i="35"/>
  <c r="E365" i="38"/>
  <c r="M168" i="35"/>
  <c r="E82" i="38"/>
  <c r="E55" i="38"/>
  <c r="D299" i="38"/>
  <c r="M259" i="35"/>
  <c r="L371" i="35"/>
  <c r="E305" i="38"/>
  <c r="L85" i="35"/>
  <c r="M363" i="35"/>
  <c r="L186" i="35"/>
  <c r="D112" i="38"/>
  <c r="D363" i="38"/>
  <c r="L41" i="35"/>
  <c r="L369" i="35"/>
  <c r="D210" i="38"/>
  <c r="D183" i="38"/>
  <c r="D383" i="38"/>
  <c r="M28" i="35"/>
  <c r="D284" i="38"/>
  <c r="E77" i="38"/>
  <c r="D39" i="38"/>
  <c r="L379" i="35"/>
  <c r="D205" i="38"/>
  <c r="D22" i="38"/>
  <c r="L15" i="35"/>
  <c r="E332" i="38"/>
  <c r="M371" i="35"/>
  <c r="D305" i="38"/>
  <c r="D223" i="38"/>
  <c r="L39" i="35"/>
  <c r="M361" i="35"/>
  <c r="E171" i="38"/>
  <c r="L227" i="35"/>
  <c r="E172" i="38"/>
  <c r="M87" i="35"/>
  <c r="D145" i="38"/>
  <c r="D159" i="38"/>
  <c r="M74" i="35"/>
  <c r="F64" i="38"/>
  <c r="D323" i="38"/>
  <c r="L209" i="35"/>
  <c r="F7" i="38"/>
  <c r="L184" i="35"/>
  <c r="E173" i="38"/>
  <c r="E299" i="38"/>
  <c r="M350" i="35"/>
  <c r="E236" i="38"/>
  <c r="L215" i="35"/>
  <c r="D209" i="38"/>
  <c r="D287" i="38"/>
  <c r="L199" i="35"/>
  <c r="L96" i="35"/>
  <c r="D241" i="38"/>
  <c r="E393" i="38"/>
  <c r="M48" i="35"/>
  <c r="L74" i="35"/>
  <c r="G64" i="38"/>
  <c r="E35" i="38"/>
  <c r="M17" i="35"/>
  <c r="L292" i="35"/>
  <c r="E81" i="38"/>
  <c r="E127" i="38"/>
  <c r="L148" i="35"/>
  <c r="L233" i="35"/>
  <c r="L328" i="35"/>
  <c r="D386" i="38"/>
  <c r="D340" i="38"/>
  <c r="M152" i="35"/>
  <c r="E125" i="38"/>
  <c r="L223" i="35"/>
  <c r="E250" i="38"/>
  <c r="L277" i="35"/>
  <c r="L87" i="35"/>
  <c r="E145" i="38"/>
  <c r="D255" i="38"/>
  <c r="L346" i="35"/>
  <c r="L329" i="35"/>
  <c r="G16" i="38"/>
  <c r="E67" i="38"/>
  <c r="L65" i="35"/>
  <c r="M164" i="35"/>
  <c r="D304" i="38"/>
  <c r="D142" i="38"/>
  <c r="L10" i="35"/>
  <c r="F32" i="38"/>
  <c r="D195" i="38"/>
  <c r="M97" i="35"/>
  <c r="E340" i="38"/>
  <c r="M56" i="35"/>
  <c r="G29" i="38"/>
  <c r="M365" i="35"/>
  <c r="M121" i="35"/>
  <c r="L251" i="35"/>
  <c r="D338" i="38"/>
  <c r="D311" i="38"/>
  <c r="G54" i="38"/>
  <c r="L362" i="35"/>
  <c r="M76" i="35"/>
  <c r="D122" i="38"/>
  <c r="M245" i="35"/>
  <c r="L335" i="35"/>
  <c r="L107" i="35"/>
  <c r="E240" i="38"/>
  <c r="E110" i="38"/>
  <c r="M233" i="35"/>
  <c r="L318" i="35"/>
  <c r="D402" i="38"/>
  <c r="E389" i="38"/>
  <c r="E150" i="38"/>
  <c r="D214" i="38"/>
  <c r="L24" i="35"/>
  <c r="G61" i="38"/>
  <c r="L76" i="35"/>
  <c r="E122" i="38"/>
  <c r="M5" i="35"/>
  <c r="L363" i="35"/>
  <c r="L154" i="35"/>
  <c r="E383" i="38"/>
  <c r="M316" i="35"/>
  <c r="E300" i="38"/>
  <c r="M256" i="35"/>
  <c r="D273" i="38"/>
  <c r="D377" i="38"/>
  <c r="L298" i="35"/>
  <c r="D192" i="38"/>
  <c r="E46" i="38"/>
  <c r="M18" i="35"/>
  <c r="D199" i="38"/>
  <c r="M270" i="35"/>
  <c r="D301" i="38"/>
  <c r="F54" i="38"/>
  <c r="M79" i="35"/>
  <c r="D13" i="38"/>
  <c r="L376" i="35"/>
  <c r="D337" i="38"/>
  <c r="M69" i="35"/>
  <c r="M201" i="35"/>
  <c r="M322" i="35"/>
  <c r="E75" i="38"/>
  <c r="M3" i="35"/>
  <c r="M286" i="35"/>
  <c r="D26" i="38"/>
  <c r="M165" i="35"/>
  <c r="L281" i="35"/>
  <c r="M298" i="35"/>
  <c r="D176" i="38"/>
  <c r="E259" i="38"/>
  <c r="M209" i="35"/>
  <c r="M215" i="35"/>
  <c r="E209" i="38"/>
  <c r="D361" i="38"/>
  <c r="M199" i="35"/>
  <c r="L42" i="35"/>
  <c r="G48" i="38"/>
  <c r="E195" i="38"/>
  <c r="E71" i="38"/>
  <c r="L66" i="35"/>
  <c r="D253" i="38"/>
  <c r="E262" i="38"/>
  <c r="F11" i="38"/>
  <c r="L150" i="35"/>
  <c r="L256" i="35"/>
  <c r="E273" i="38"/>
  <c r="L37" i="35"/>
  <c r="M176" i="35"/>
  <c r="M122" i="35"/>
  <c r="D80" i="38"/>
  <c r="E323" i="38"/>
  <c r="L241" i="35"/>
  <c r="M186" i="35"/>
  <c r="E128" i="38"/>
  <c r="D395" i="38"/>
  <c r="L305" i="35"/>
  <c r="D71" i="38"/>
  <c r="M379" i="35"/>
  <c r="E109" i="38"/>
  <c r="M159" i="35"/>
  <c r="M329" i="35"/>
  <c r="E16" i="38"/>
  <c r="D131" i="38"/>
  <c r="M65" i="35"/>
  <c r="E278" i="38"/>
  <c r="M271" i="35"/>
  <c r="L364" i="35"/>
  <c r="D358" i="38"/>
  <c r="L118" i="35"/>
  <c r="G44" i="38"/>
  <c r="L68" i="35"/>
  <c r="E17" i="38"/>
  <c r="D352" i="38"/>
  <c r="M42" i="35"/>
  <c r="E48" i="38"/>
  <c r="D259" i="38"/>
  <c r="M129" i="35"/>
  <c r="E372" i="38"/>
  <c r="M120" i="35"/>
  <c r="D141" i="38"/>
  <c r="M40" i="35"/>
  <c r="L73" i="35"/>
  <c r="L236" i="35"/>
  <c r="D178" i="38"/>
  <c r="G7" i="38"/>
  <c r="M372" i="35"/>
  <c r="D189" i="38"/>
  <c r="M364" i="35"/>
  <c r="E358" i="38"/>
  <c r="M181" i="35"/>
  <c r="M177" i="35"/>
  <c r="L75" i="35"/>
  <c r="D150" i="38"/>
  <c r="M207" i="35"/>
  <c r="E45" i="38"/>
  <c r="M360" i="35"/>
  <c r="D58" i="38"/>
  <c r="M133" i="35"/>
  <c r="L267" i="35"/>
  <c r="E320" i="38"/>
  <c r="E302" i="38"/>
  <c r="L242" i="35"/>
  <c r="D397" i="38"/>
  <c r="L347" i="35"/>
  <c r="E114" i="38"/>
  <c r="D278" i="38"/>
  <c r="M88" i="35"/>
  <c r="D93" i="38"/>
  <c r="M63" i="35"/>
  <c r="E186" i="38"/>
  <c r="L213" i="35"/>
  <c r="M70" i="35"/>
  <c r="L48" i="35"/>
  <c r="D331" i="38"/>
  <c r="L323" i="35"/>
  <c r="M305" i="35"/>
  <c r="M144" i="35"/>
  <c r="L32" i="35"/>
  <c r="E225" i="38"/>
  <c r="M223" i="35"/>
  <c r="D250" i="38"/>
  <c r="L22" i="35"/>
  <c r="F12" i="38"/>
  <c r="M267" i="35"/>
  <c r="E304" i="38"/>
  <c r="F14" i="38"/>
  <c r="L18" i="35"/>
  <c r="M376" i="35"/>
  <c r="E337" i="38"/>
  <c r="L117" i="35"/>
  <c r="M279" i="35"/>
  <c r="M250" i="35"/>
  <c r="D144" i="38"/>
  <c r="E395" i="38"/>
  <c r="E327" i="38"/>
  <c r="M255" i="35"/>
  <c r="G50" i="38"/>
  <c r="E23" i="38"/>
  <c r="D235" i="38"/>
  <c r="L195" i="35"/>
  <c r="L360" i="35"/>
  <c r="E58" i="38"/>
  <c r="M197" i="35"/>
  <c r="L84" i="35"/>
  <c r="M330" i="35"/>
  <c r="D208" i="38"/>
  <c r="D46" i="38"/>
  <c r="M50" i="35"/>
  <c r="M12" i="35"/>
  <c r="D161" i="38"/>
  <c r="E159" i="38"/>
  <c r="M107" i="35"/>
  <c r="D256" i="38"/>
  <c r="D174" i="38"/>
  <c r="M130" i="35"/>
  <c r="D327" i="38"/>
  <c r="M108" i="35"/>
  <c r="E237" i="38"/>
  <c r="D262" i="38"/>
  <c r="L122" i="35"/>
  <c r="E96" i="38"/>
  <c r="E363" i="38"/>
  <c r="M241" i="35"/>
  <c r="G39" i="38"/>
  <c r="M367" i="35"/>
  <c r="E205" i="38"/>
  <c r="D107" i="38"/>
  <c r="L163" i="35"/>
  <c r="E140" i="38"/>
  <c r="M23" i="35"/>
  <c r="D113" i="38"/>
  <c r="E95" i="38"/>
  <c r="L250" i="35"/>
  <c r="E160" i="38"/>
  <c r="E14" i="38"/>
  <c r="L337" i="35"/>
  <c r="E135" i="38"/>
  <c r="M246" i="35"/>
  <c r="E269" i="38"/>
  <c r="D326" i="38"/>
  <c r="E199" i="38"/>
  <c r="M44" i="35"/>
  <c r="E317" i="38"/>
  <c r="D364" i="38"/>
  <c r="E107" i="38"/>
  <c r="L38" i="35"/>
  <c r="D28" i="38"/>
  <c r="M355" i="35"/>
  <c r="D372" i="38"/>
  <c r="L280" i="35"/>
  <c r="D157" i="38"/>
  <c r="M136" i="35"/>
  <c r="E314" i="38"/>
  <c r="L6" i="35"/>
  <c r="L196" i="35"/>
  <c r="G65" i="38"/>
  <c r="D63" i="38"/>
  <c r="M315" i="35"/>
  <c r="L185" i="35"/>
  <c r="L296" i="35"/>
  <c r="D354" i="38"/>
  <c r="F39" i="38"/>
  <c r="L374" i="35"/>
  <c r="D221" i="38"/>
  <c r="M373" i="35"/>
  <c r="E390" i="38"/>
  <c r="L86" i="35"/>
  <c r="D44" i="38"/>
  <c r="L170" i="35"/>
  <c r="D54" i="38"/>
  <c r="M47" i="35"/>
  <c r="F13" i="38"/>
  <c r="E11" i="38"/>
  <c r="M35" i="35"/>
  <c r="E76" i="38"/>
  <c r="M196" i="35"/>
  <c r="D49" i="38"/>
  <c r="D238" i="38"/>
  <c r="M242" i="35"/>
  <c r="L63" i="35"/>
  <c r="D186" i="38"/>
  <c r="M341" i="35"/>
  <c r="L214" i="35"/>
  <c r="L203" i="35"/>
  <c r="D272" i="38"/>
  <c r="E174" i="38"/>
  <c r="M89" i="35"/>
  <c r="M169" i="35"/>
  <c r="D274" i="38"/>
  <c r="D247" i="38"/>
  <c r="F22" i="38"/>
  <c r="M220" i="35"/>
  <c r="L136" i="35"/>
  <c r="D314" i="38"/>
  <c r="L54" i="35"/>
  <c r="F28" i="38"/>
  <c r="L331" i="35"/>
  <c r="E336" i="38"/>
  <c r="D302" i="38"/>
  <c r="M290" i="35"/>
  <c r="E364" i="38"/>
  <c r="D289" i="38"/>
  <c r="L101" i="35"/>
  <c r="L59" i="35"/>
  <c r="E306" i="38"/>
  <c r="M139" i="35"/>
  <c r="E377" i="38"/>
  <c r="M6" i="35"/>
  <c r="E366" i="38"/>
  <c r="D96" i="38"/>
  <c r="L342" i="35"/>
  <c r="E22" i="38"/>
  <c r="M362" i="35"/>
  <c r="E316" i="38"/>
  <c r="E59" i="38"/>
  <c r="E367" i="38"/>
  <c r="M188" i="35"/>
  <c r="D300" i="38"/>
  <c r="M276" i="35"/>
  <c r="E203" i="38"/>
  <c r="M195" i="35"/>
  <c r="F44" i="38"/>
  <c r="L232" i="35"/>
  <c r="D342" i="38"/>
  <c r="M54" i="35"/>
  <c r="M228" i="35"/>
  <c r="D336" i="38"/>
  <c r="E206" i="38"/>
  <c r="L226" i="35"/>
  <c r="L139" i="35"/>
  <c r="E256" i="38"/>
  <c r="D206" i="38"/>
  <c r="G12" i="38"/>
  <c r="E249" i="38"/>
  <c r="E355" i="38"/>
  <c r="J22" i="37"/>
  <c r="K32" i="35"/>
  <c r="L106" i="35"/>
  <c r="D368" i="38"/>
  <c r="D166" i="38"/>
  <c r="E388" i="38"/>
  <c r="M280" i="35"/>
  <c r="L366" i="35"/>
  <c r="E257" i="38"/>
  <c r="E345" i="38"/>
  <c r="M16" i="35"/>
  <c r="M183" i="35"/>
  <c r="E193" i="38"/>
  <c r="E319" i="38"/>
  <c r="L16" i="35"/>
  <c r="M348" i="35"/>
  <c r="E97" i="38"/>
  <c r="G31" i="38"/>
  <c r="M258" i="35"/>
  <c r="L235" i="35"/>
  <c r="E288" i="38"/>
  <c r="E270" i="38"/>
  <c r="E349" i="38"/>
  <c r="M347" i="35"/>
  <c r="E18" i="38"/>
  <c r="D23" i="38"/>
  <c r="D231" i="38"/>
  <c r="L44" i="35"/>
  <c r="G18" i="38"/>
  <c r="L161" i="35"/>
  <c r="F40" i="38"/>
  <c r="E165" i="38"/>
  <c r="I390" i="38"/>
  <c r="G398" i="38"/>
  <c r="D12" i="38"/>
  <c r="L159" i="35"/>
  <c r="D218" i="38"/>
  <c r="L341" i="35"/>
  <c r="L58" i="35"/>
  <c r="F48" i="38"/>
  <c r="E99" i="38"/>
  <c r="L81" i="35"/>
  <c r="L313" i="35"/>
  <c r="E6" i="38"/>
  <c r="D99" i="38"/>
  <c r="M81" i="35"/>
  <c r="L137" i="35"/>
  <c r="L4" i="35"/>
  <c r="E50" i="38"/>
  <c r="F55" i="38"/>
  <c r="D295" i="38"/>
  <c r="M172" i="35"/>
  <c r="M59" i="35"/>
  <c r="E139" i="38"/>
  <c r="M131" i="35"/>
  <c r="D124" i="38"/>
  <c r="E202" i="38"/>
  <c r="G43" i="38"/>
  <c r="L35" i="35"/>
  <c r="E368" i="38"/>
  <c r="D251" i="38"/>
  <c r="M333" i="35"/>
  <c r="M247" i="35"/>
  <c r="K102" i="35"/>
  <c r="E217" i="38"/>
  <c r="E211" i="38"/>
  <c r="G390" i="38"/>
  <c r="L138" i="35"/>
  <c r="L365" i="35"/>
  <c r="G26" i="38"/>
  <c r="M117" i="35"/>
  <c r="L217" i="35"/>
  <c r="L156" i="35"/>
  <c r="E354" i="38"/>
  <c r="E341" i="38"/>
  <c r="M105" i="35"/>
  <c r="M288" i="35"/>
  <c r="E338" i="38"/>
  <c r="D341" i="38"/>
  <c r="E381" i="38"/>
  <c r="L264" i="35"/>
  <c r="D269" i="38"/>
  <c r="D294" i="38"/>
  <c r="E39" i="38"/>
  <c r="M374" i="35"/>
  <c r="M337" i="35"/>
  <c r="E374" i="38"/>
  <c r="M38" i="35"/>
  <c r="E28" i="38"/>
  <c r="L40" i="35"/>
  <c r="D282" i="38"/>
  <c r="L132" i="35"/>
  <c r="L121" i="35"/>
  <c r="G45" i="38"/>
  <c r="E295" i="38"/>
  <c r="E379" i="38"/>
  <c r="D220" i="38"/>
  <c r="M154" i="35"/>
  <c r="L19" i="35"/>
  <c r="E183" i="38"/>
  <c r="F58" i="38"/>
  <c r="M101" i="35"/>
  <c r="L320" i="35"/>
  <c r="M378" i="35"/>
  <c r="E321" i="38"/>
  <c r="M85" i="35"/>
  <c r="L102" i="35"/>
  <c r="M232" i="35"/>
  <c r="D225" i="38"/>
  <c r="E287" i="38"/>
  <c r="L116" i="35"/>
  <c r="L164" i="35"/>
  <c r="G49" i="38"/>
  <c r="F31" i="38"/>
  <c r="L105" i="35"/>
  <c r="L266" i="35"/>
  <c r="E242" i="38"/>
  <c r="E215" i="38"/>
  <c r="M9" i="35"/>
  <c r="L354" i="35"/>
  <c r="E210" i="38"/>
  <c r="M34" i="35"/>
  <c r="D136" i="38"/>
  <c r="D325" i="38"/>
  <c r="K8" i="35"/>
  <c r="K108" i="35"/>
  <c r="L221" i="35"/>
  <c r="D92" i="38"/>
  <c r="E138" i="38"/>
  <c r="G11" i="38"/>
  <c r="L262" i="35"/>
  <c r="L314" i="35"/>
  <c r="E144" i="38"/>
  <c r="E347" i="38"/>
  <c r="L289" i="35"/>
  <c r="M90" i="35"/>
  <c r="E64" i="38"/>
  <c r="D347" i="38"/>
  <c r="M289" i="35"/>
  <c r="L26" i="35"/>
  <c r="G32" i="38"/>
  <c r="D306" i="38"/>
  <c r="E279" i="38"/>
  <c r="M73" i="35"/>
  <c r="M369" i="35"/>
  <c r="L176" i="35"/>
  <c r="D367" i="38"/>
  <c r="L28" i="35"/>
  <c r="E252" i="38"/>
  <c r="E398" i="38"/>
  <c r="D267" i="38"/>
  <c r="M291" i="35"/>
  <c r="D236" i="38"/>
  <c r="D38" i="38"/>
  <c r="M254" i="35"/>
  <c r="E36" i="38"/>
  <c r="H390" i="38"/>
  <c r="M265" i="35"/>
  <c r="M338" i="35"/>
  <c r="L355" i="35"/>
  <c r="G17" i="38"/>
  <c r="G13" i="38"/>
  <c r="E7" i="38"/>
  <c r="L367" i="35"/>
  <c r="D173" i="38"/>
  <c r="D102" i="38"/>
  <c r="E356" i="38"/>
  <c r="L152" i="35"/>
  <c r="E157" i="38"/>
  <c r="D60" i="38"/>
  <c r="E182" i="38"/>
  <c r="M175" i="35"/>
  <c r="E284" i="38"/>
  <c r="E27" i="38"/>
  <c r="E331" i="38"/>
  <c r="L350" i="35"/>
  <c r="M332" i="35"/>
  <c r="D193" i="38"/>
  <c r="E223" i="38"/>
  <c r="M7" i="35"/>
  <c r="L55" i="35"/>
  <c r="D129" i="38"/>
  <c r="D191" i="38"/>
  <c r="D332" i="38"/>
  <c r="D382" i="38"/>
  <c r="D344" i="38"/>
  <c r="J19" i="35"/>
  <c r="G387" i="38"/>
  <c r="D104" i="38"/>
  <c r="E245" i="38"/>
  <c r="D310" i="38"/>
  <c r="L162" i="35"/>
  <c r="M75" i="35"/>
  <c r="D224" i="38"/>
  <c r="E92" i="38"/>
  <c r="D246" i="38"/>
  <c r="L271" i="35"/>
  <c r="D61" i="38"/>
  <c r="D315" i="38"/>
  <c r="E118" i="38"/>
  <c r="M143" i="35"/>
  <c r="D45" i="38"/>
  <c r="L83" i="35"/>
  <c r="D399" i="38"/>
  <c r="L220" i="35"/>
  <c r="D156" i="38"/>
  <c r="E266" i="38"/>
  <c r="D75" i="38"/>
  <c r="L99" i="35"/>
  <c r="L192" i="35"/>
  <c r="E65" i="38"/>
  <c r="F49" i="38"/>
  <c r="M319" i="35"/>
  <c r="E311" i="38"/>
  <c r="E176" i="38"/>
  <c r="D333" i="38"/>
  <c r="M321" i="35"/>
  <c r="E167" i="38"/>
  <c r="M227" i="35"/>
  <c r="L100" i="35"/>
  <c r="E272" i="38"/>
  <c r="D78" i="38"/>
  <c r="L98" i="35"/>
  <c r="M314" i="35"/>
  <c r="E192" i="38"/>
  <c r="E78" i="38"/>
  <c r="M98" i="35"/>
  <c r="M282" i="35"/>
  <c r="E112" i="38"/>
  <c r="D291" i="38"/>
  <c r="M49" i="35"/>
  <c r="L265" i="35"/>
  <c r="M231" i="35"/>
  <c r="E12" i="38"/>
  <c r="D118" i="38"/>
  <c r="L111" i="35"/>
  <c r="F29" i="38"/>
  <c r="D187" i="38"/>
  <c r="G22" i="38"/>
  <c r="M15" i="35"/>
  <c r="E13" i="38"/>
  <c r="E294" i="38"/>
  <c r="L95" i="35"/>
  <c r="E132" i="38"/>
  <c r="Q21" i="37"/>
  <c r="D234" i="38"/>
  <c r="L183" i="35"/>
  <c r="L308" i="35"/>
  <c r="L324" i="35"/>
  <c r="D97" i="38"/>
  <c r="D127" i="38"/>
  <c r="E231" i="38"/>
  <c r="L108" i="35"/>
  <c r="E301" i="38"/>
  <c r="E348" i="38"/>
  <c r="E103" i="38"/>
  <c r="M171" i="35"/>
  <c r="E285" i="38"/>
  <c r="D316" i="38"/>
  <c r="D388" i="38"/>
  <c r="M184" i="35"/>
  <c r="F45" i="38"/>
  <c r="E251" i="38"/>
  <c r="E54" i="38"/>
  <c r="L79" i="35"/>
  <c r="E396" i="38"/>
  <c r="D321" i="38"/>
  <c r="L5" i="35"/>
  <c r="L208" i="35"/>
  <c r="M192" i="35"/>
  <c r="D257" i="38"/>
  <c r="D393" i="38"/>
  <c r="E189" i="38"/>
  <c r="E375" i="38"/>
  <c r="E79" i="38"/>
  <c r="M22" i="37"/>
  <c r="J37" i="35"/>
  <c r="F6" i="38"/>
  <c r="D373" i="38"/>
  <c r="M137" i="35"/>
  <c r="M64" i="35"/>
  <c r="M178" i="35"/>
  <c r="F43" i="38"/>
  <c r="M150" i="35"/>
  <c r="E60" i="38"/>
  <c r="M366" i="35"/>
  <c r="D374" i="38"/>
  <c r="M118" i="35"/>
  <c r="F60" i="38"/>
  <c r="L97" i="35"/>
  <c r="E218" i="38"/>
  <c r="M213" i="35"/>
  <c r="M368" i="35"/>
  <c r="L348" i="35"/>
  <c r="E289" i="38"/>
  <c r="M37" i="35"/>
  <c r="M234" i="35"/>
  <c r="E80" i="38"/>
  <c r="D227" i="38"/>
  <c r="M161" i="35"/>
  <c r="M26" i="35"/>
  <c r="E32" i="38"/>
  <c r="E227" i="38"/>
  <c r="L7" i="35"/>
  <c r="D25" i="38"/>
  <c r="E362" i="38"/>
  <c r="F4" i="38"/>
  <c r="J18" i="35"/>
  <c r="M243" i="35"/>
  <c r="E100" i="38"/>
  <c r="L56" i="35"/>
  <c r="E151" i="38"/>
  <c r="D381" i="38"/>
  <c r="L168" i="35"/>
  <c r="L129" i="35"/>
  <c r="E282" i="38"/>
  <c r="M277" i="35"/>
  <c r="L43" i="35"/>
  <c r="L332" i="35"/>
  <c r="D154" i="38"/>
  <c r="L245" i="35"/>
  <c r="M202" i="35"/>
  <c r="D119" i="38"/>
  <c r="F26" i="38"/>
  <c r="L69" i="35"/>
  <c r="M167" i="35"/>
  <c r="M119" i="35"/>
  <c r="E161" i="38"/>
  <c r="E255" i="38"/>
  <c r="M313" i="35"/>
  <c r="F16" i="38"/>
  <c r="G35" i="38"/>
  <c r="L2" i="35"/>
  <c r="M217" i="35"/>
  <c r="M174" i="35"/>
  <c r="E402" i="38"/>
  <c r="L338" i="35"/>
  <c r="D264" i="38"/>
  <c r="E130" i="38"/>
  <c r="K104" i="35"/>
  <c r="J383" i="38"/>
  <c r="D31" i="38"/>
  <c r="M111" i="35"/>
  <c r="M275" i="35"/>
  <c r="L268" i="35"/>
  <c r="E342" i="38"/>
  <c r="D380" i="38"/>
  <c r="D203" i="38"/>
  <c r="E361" i="38"/>
  <c r="L9" i="35"/>
  <c r="L375" i="35"/>
  <c r="D114" i="38"/>
  <c r="E87" i="38"/>
  <c r="D349" i="38"/>
  <c r="L255" i="35"/>
  <c r="D82" i="38"/>
  <c r="D87" i="38"/>
  <c r="D167" i="38"/>
  <c r="M307" i="35"/>
  <c r="E141" i="38"/>
  <c r="E38" i="38"/>
  <c r="E310" i="38"/>
  <c r="L88" i="35"/>
  <c r="D389" i="38"/>
  <c r="E154" i="38"/>
  <c r="L181" i="35"/>
  <c r="M36" i="35"/>
  <c r="L275" i="35"/>
  <c r="G58" i="38"/>
  <c r="L165" i="35"/>
  <c r="D146" i="38"/>
  <c r="D266" i="38"/>
  <c r="E335" i="38"/>
  <c r="J24" i="35"/>
  <c r="K385" i="38"/>
  <c r="E9" i="38"/>
  <c r="E49" i="38"/>
  <c r="L113" i="35"/>
  <c r="L361" i="35"/>
  <c r="D16" i="38"/>
  <c r="M346" i="35"/>
  <c r="E267" i="38"/>
  <c r="L259" i="35"/>
  <c r="E188" i="38"/>
  <c r="E330" i="38"/>
  <c r="D139" i="38"/>
  <c r="M163" i="35"/>
  <c r="D172" i="38"/>
  <c r="L130" i="35"/>
  <c r="D11" i="38"/>
  <c r="M86" i="35"/>
  <c r="M11" i="35"/>
  <c r="L12" i="35"/>
  <c r="D90" i="38"/>
  <c r="L197" i="35"/>
  <c r="M235" i="35"/>
  <c r="E208" i="38"/>
  <c r="G14" i="38"/>
  <c r="M353" i="35"/>
  <c r="L234" i="35"/>
  <c r="D128" i="38"/>
  <c r="D14" i="38"/>
  <c r="L368" i="35"/>
  <c r="D121" i="38"/>
  <c r="D115" i="38"/>
  <c r="J33" i="35"/>
  <c r="K399" i="38"/>
  <c r="E386" i="38"/>
  <c r="E359" i="38"/>
  <c r="D182" i="38"/>
  <c r="L207" i="35"/>
  <c r="L378" i="35"/>
  <c r="E129" i="38"/>
  <c r="D95" i="38"/>
  <c r="M244" i="35"/>
  <c r="L228" i="35"/>
  <c r="D65" i="38"/>
  <c r="E63" i="38"/>
  <c r="L244" i="35"/>
  <c r="M55" i="35"/>
  <c r="D17" i="38"/>
  <c r="D270" i="38"/>
  <c r="L34" i="35"/>
  <c r="L282" i="35"/>
  <c r="D160" i="38"/>
  <c r="G46" i="38"/>
  <c r="D103" i="38"/>
  <c r="L270" i="35"/>
  <c r="D237" i="38"/>
  <c r="E230" i="38"/>
  <c r="D7" i="38"/>
  <c r="L372" i="35"/>
  <c r="E221" i="38"/>
  <c r="E373" i="38"/>
  <c r="M211" i="35"/>
  <c r="F53" i="38"/>
  <c r="J80" i="35"/>
  <c r="K45" i="35"/>
  <c r="E175" i="38"/>
  <c r="K74" i="35"/>
  <c r="D77" i="38"/>
  <c r="E123" i="38"/>
  <c r="E399" i="38"/>
  <c r="L316" i="35"/>
  <c r="L119" i="35"/>
  <c r="F33" i="38"/>
  <c r="D334" i="38"/>
  <c r="M306" i="35"/>
  <c r="L299" i="35"/>
  <c r="D320" i="38"/>
  <c r="E334" i="38"/>
  <c r="L306" i="35"/>
  <c r="M299" i="35"/>
  <c r="D240" i="38"/>
  <c r="F46" i="38"/>
  <c r="M225" i="35"/>
  <c r="M58" i="35"/>
  <c r="D48" i="38"/>
  <c r="E220" i="38"/>
  <c r="D356" i="38"/>
  <c r="L120" i="35"/>
  <c r="D109" i="38"/>
  <c r="D391" i="38"/>
  <c r="E246" i="38"/>
  <c r="M24" i="35"/>
  <c r="E93" i="38"/>
  <c r="G55" i="38"/>
  <c r="M210" i="35"/>
  <c r="D400" i="38"/>
  <c r="M22" i="35"/>
  <c r="F27" i="38"/>
  <c r="E292" i="38"/>
  <c r="J105" i="35"/>
  <c r="M370" i="35"/>
  <c r="K42" i="35"/>
  <c r="L93" i="35"/>
  <c r="D217" i="38"/>
  <c r="D307" i="38"/>
  <c r="K79" i="35"/>
  <c r="J78" i="35"/>
  <c r="L187" i="35"/>
  <c r="D4" i="38"/>
  <c r="L321" i="35"/>
  <c r="D72" i="38"/>
  <c r="D229" i="38"/>
  <c r="F384" i="38"/>
  <c r="K94" i="35"/>
  <c r="M61" i="35"/>
  <c r="L310" i="35"/>
  <c r="L225" i="35"/>
  <c r="G56" i="38"/>
  <c r="E197" i="38"/>
  <c r="J51" i="35"/>
  <c r="J21" i="37"/>
  <c r="L29" i="35"/>
  <c r="M327" i="35"/>
  <c r="J114" i="35"/>
  <c r="K13" i="35"/>
  <c r="E184" i="38"/>
  <c r="G34" i="38"/>
  <c r="E2" i="38"/>
  <c r="I399" i="38"/>
  <c r="M113" i="35"/>
  <c r="E24" i="38"/>
  <c r="D133" i="38"/>
  <c r="L24" i="37"/>
  <c r="J398" i="38"/>
  <c r="E353" i="38"/>
  <c r="F397" i="38"/>
  <c r="D359" i="38"/>
  <c r="M142" i="35"/>
  <c r="G3" i="38"/>
  <c r="J54" i="35"/>
  <c r="D281" i="38"/>
  <c r="D339" i="38"/>
  <c r="F401" i="38"/>
  <c r="E315" i="38"/>
  <c r="M78" i="35"/>
  <c r="M52" i="35"/>
  <c r="J79" i="35"/>
  <c r="D249" i="38"/>
  <c r="D275" i="38"/>
  <c r="J77" i="35"/>
  <c r="K388" i="38"/>
  <c r="Q23" i="37"/>
  <c r="L243" i="35"/>
  <c r="D116" i="38"/>
  <c r="K53" i="35"/>
  <c r="F19" i="38"/>
  <c r="J396" i="38"/>
  <c r="D279" i="38"/>
  <c r="L218" i="35"/>
  <c r="G37" i="38"/>
  <c r="I383" i="38"/>
  <c r="E134" i="38"/>
  <c r="D111" i="38"/>
  <c r="D379" i="38"/>
  <c r="D123" i="38"/>
  <c r="L253" i="35"/>
  <c r="M345" i="35"/>
  <c r="J53" i="35"/>
  <c r="D153" i="38"/>
  <c r="D83" i="38"/>
  <c r="E291" i="38"/>
  <c r="D59" i="38"/>
  <c r="M205" i="35"/>
  <c r="L239" i="35"/>
  <c r="K87" i="35"/>
  <c r="E121" i="38"/>
  <c r="G51" i="38"/>
  <c r="J128" i="35"/>
  <c r="H382" i="38"/>
  <c r="D392" i="38"/>
  <c r="K43" i="35"/>
  <c r="L258" i="35"/>
  <c r="D232" i="38"/>
  <c r="G66" i="38"/>
  <c r="J52" i="35"/>
  <c r="I401" i="38"/>
  <c r="L349" i="35"/>
  <c r="M125" i="35"/>
  <c r="E380" i="38"/>
  <c r="L304" i="35"/>
  <c r="E196" i="38"/>
  <c r="G392" i="38"/>
  <c r="D27" i="38"/>
  <c r="D318" i="38"/>
  <c r="K67" i="35"/>
  <c r="D348" i="38"/>
  <c r="L377" i="35"/>
  <c r="D164" i="38"/>
  <c r="G385" i="38"/>
  <c r="D350" i="38"/>
  <c r="D254" i="38"/>
  <c r="I386" i="38"/>
  <c r="K54" i="35"/>
  <c r="K123" i="35"/>
  <c r="M72" i="35"/>
  <c r="F21" i="38"/>
  <c r="J104" i="35"/>
  <c r="J108" i="35"/>
  <c r="D335" i="38"/>
  <c r="J89" i="35"/>
  <c r="J5" i="35"/>
  <c r="D117" i="38"/>
  <c r="J59" i="35"/>
  <c r="D94" i="38"/>
  <c r="K383" i="38"/>
  <c r="G27" i="38"/>
  <c r="E360" i="38"/>
  <c r="K12" i="35"/>
  <c r="H383" i="38"/>
  <c r="D280" i="38"/>
  <c r="E66" i="38"/>
  <c r="J391" i="38"/>
  <c r="M283" i="35"/>
  <c r="E400" i="38"/>
  <c r="G42" i="38"/>
  <c r="L252" i="35"/>
  <c r="J12" i="35"/>
  <c r="D190" i="38"/>
  <c r="K48" i="35"/>
  <c r="L353" i="35"/>
  <c r="E104" i="38"/>
  <c r="D293" i="38"/>
  <c r="I380" i="38"/>
  <c r="J401" i="38"/>
  <c r="M173" i="35"/>
  <c r="L257" i="35"/>
  <c r="E166" i="38"/>
  <c r="M339" i="35"/>
  <c r="E68" i="38"/>
  <c r="K128" i="35"/>
  <c r="D74" i="38"/>
  <c r="E62" i="38"/>
  <c r="G391" i="38"/>
  <c r="E102" i="38"/>
  <c r="M147" i="35"/>
  <c r="F52" i="38"/>
  <c r="K16" i="35"/>
  <c r="F42" i="38"/>
  <c r="D30" i="38"/>
  <c r="F63" i="38"/>
  <c r="H384" i="38"/>
  <c r="M21" i="37"/>
  <c r="L370" i="35"/>
  <c r="D244" i="38"/>
  <c r="E117" i="38"/>
  <c r="G396" i="38"/>
  <c r="E391" i="38"/>
  <c r="M206" i="35"/>
  <c r="G20" i="38"/>
  <c r="J17" i="35"/>
  <c r="E313" i="38"/>
  <c r="D371" i="38"/>
  <c r="E61" i="38"/>
  <c r="D155" i="38"/>
  <c r="G15" i="38"/>
  <c r="G399" i="38"/>
  <c r="J115" i="35"/>
  <c r="E168" i="38"/>
  <c r="D309" i="38"/>
  <c r="D29" i="38"/>
  <c r="G59" i="38"/>
  <c r="E376" i="38"/>
  <c r="K400" i="38"/>
  <c r="J26" i="35"/>
  <c r="E136" i="38"/>
  <c r="E277" i="38"/>
  <c r="K387" i="38"/>
  <c r="K4" i="35"/>
  <c r="D134" i="38"/>
  <c r="D175" i="38"/>
  <c r="K397" i="38"/>
  <c r="F3" i="38"/>
  <c r="D21" i="38"/>
  <c r="E142" i="38"/>
  <c r="E187" i="38"/>
  <c r="L301" i="35"/>
  <c r="L334" i="35"/>
  <c r="J106" i="35"/>
  <c r="D185" i="38"/>
  <c r="E147" i="38"/>
  <c r="E204" i="38"/>
  <c r="E170" i="38"/>
  <c r="E222" i="38"/>
  <c r="K83" i="35"/>
  <c r="K39" i="35"/>
  <c r="F56" i="38"/>
  <c r="E181" i="38"/>
  <c r="D140" i="38"/>
  <c r="E74" i="38"/>
  <c r="D158" i="38"/>
  <c r="J20" i="35"/>
  <c r="J56" i="35"/>
  <c r="G40" i="38"/>
  <c r="E149" i="38"/>
  <c r="K63" i="35"/>
  <c r="J15" i="35"/>
  <c r="E226" i="38"/>
  <c r="K23" i="35"/>
  <c r="G23" i="38"/>
  <c r="M230" i="35"/>
  <c r="D228" i="38"/>
  <c r="J113" i="35"/>
  <c r="D91" i="38"/>
  <c r="D360" i="38"/>
  <c r="D370" i="38"/>
  <c r="D366" i="38"/>
  <c r="D401" i="38"/>
  <c r="J93" i="35"/>
  <c r="L23" i="37"/>
  <c r="E41" i="38"/>
  <c r="D346" i="38"/>
  <c r="E274" i="38"/>
  <c r="D330" i="38"/>
  <c r="D369" i="38"/>
  <c r="J86" i="35"/>
  <c r="G400" i="38"/>
  <c r="E25" i="38"/>
  <c r="D290" i="38"/>
  <c r="K17" i="35"/>
  <c r="K36" i="35"/>
  <c r="K129" i="35"/>
  <c r="M221" i="35"/>
  <c r="L278" i="35"/>
  <c r="F380" i="38"/>
  <c r="D297" i="38"/>
  <c r="D355" i="38"/>
  <c r="J111" i="35"/>
  <c r="K66" i="35"/>
  <c r="J389" i="38"/>
  <c r="D106" i="38"/>
  <c r="E308" i="38"/>
  <c r="J2" i="35"/>
  <c r="G41" i="38"/>
  <c r="E378" i="38"/>
  <c r="M100" i="35"/>
  <c r="D163" i="38"/>
  <c r="M141" i="35"/>
  <c r="K33" i="35"/>
  <c r="E219" i="38"/>
  <c r="F34" i="38"/>
  <c r="K111" i="35"/>
  <c r="D230" i="38"/>
  <c r="M300" i="35"/>
  <c r="D100" i="38"/>
  <c r="J58" i="35"/>
  <c r="D138" i="38"/>
  <c r="D126" i="38"/>
  <c r="D317" i="38"/>
  <c r="D198" i="38"/>
  <c r="E207" i="38"/>
  <c r="J31" i="35"/>
  <c r="F388" i="38"/>
  <c r="E296" i="38"/>
  <c r="E98" i="38"/>
  <c r="E253" i="38"/>
  <c r="D70" i="38"/>
  <c r="D143" i="38"/>
  <c r="I382" i="38"/>
  <c r="J96" i="35"/>
  <c r="E264" i="38"/>
  <c r="F66" i="38"/>
  <c r="K27" i="35"/>
  <c r="J75" i="35"/>
  <c r="J387" i="38"/>
  <c r="E385" i="38"/>
  <c r="E89" i="38"/>
  <c r="L145" i="35"/>
  <c r="D125" i="38"/>
  <c r="E283" i="38"/>
  <c r="G47" i="38"/>
  <c r="K91" i="35"/>
  <c r="J9" i="35"/>
  <c r="E200" i="38"/>
  <c r="F5" i="38"/>
  <c r="L144" i="35"/>
  <c r="D57" i="38"/>
  <c r="G19" i="38"/>
  <c r="J35" i="35"/>
  <c r="F393" i="38"/>
  <c r="L31" i="35"/>
  <c r="E164" i="38"/>
  <c r="L167" i="35"/>
  <c r="D41" i="38"/>
  <c r="E394" i="38"/>
  <c r="K59" i="35"/>
  <c r="K24" i="37"/>
  <c r="L204" i="35"/>
  <c r="D132" i="38"/>
  <c r="J61" i="35"/>
  <c r="K391" i="38"/>
  <c r="E169" i="38"/>
  <c r="D211" i="38"/>
  <c r="K19" i="35"/>
  <c r="E232" i="38"/>
  <c r="K386" i="38"/>
  <c r="E268" i="38"/>
  <c r="D298" i="38"/>
  <c r="E286" i="38"/>
  <c r="K86" i="35"/>
  <c r="J64" i="35"/>
  <c r="E72" i="38"/>
  <c r="D213" i="38"/>
  <c r="M116" i="35"/>
  <c r="D328" i="38"/>
  <c r="E258" i="38"/>
  <c r="J118" i="35"/>
  <c r="J21" i="35"/>
  <c r="M238" i="35"/>
  <c r="G52" i="38"/>
  <c r="L283" i="35"/>
  <c r="D296" i="38"/>
  <c r="E194" i="38"/>
  <c r="J68" i="35"/>
  <c r="K25" i="35"/>
  <c r="L190" i="35"/>
  <c r="G36" i="38"/>
  <c r="K396" i="38"/>
  <c r="J386" i="38"/>
  <c r="E228" i="38"/>
  <c r="D35" i="38"/>
  <c r="D398" i="38"/>
  <c r="L45" i="35"/>
  <c r="M336" i="35"/>
  <c r="K29" i="35"/>
  <c r="E57" i="38"/>
  <c r="D378" i="38"/>
  <c r="E44" i="38"/>
  <c r="D313" i="38"/>
  <c r="G30" i="38"/>
  <c r="K47" i="35"/>
  <c r="J73" i="35"/>
  <c r="L293" i="35"/>
  <c r="D53" i="38"/>
  <c r="G28" i="38"/>
  <c r="E281" i="38"/>
  <c r="E387" i="38"/>
  <c r="K98" i="35"/>
  <c r="K85" i="35"/>
  <c r="L25" i="35"/>
  <c r="D37" i="38"/>
  <c r="G381" i="38"/>
  <c r="K34" i="35"/>
  <c r="E106" i="38"/>
  <c r="E190" i="38"/>
  <c r="K52" i="35"/>
  <c r="J81" i="35"/>
  <c r="D184" i="38"/>
  <c r="D165" i="38"/>
  <c r="H385" i="38"/>
  <c r="K69" i="35"/>
  <c r="H389" i="38"/>
  <c r="D56" i="38"/>
  <c r="I392" i="38"/>
  <c r="J14" i="35"/>
  <c r="M160" i="35"/>
  <c r="D85" i="38"/>
  <c r="J55" i="35"/>
  <c r="J124" i="35"/>
  <c r="M45" i="35"/>
  <c r="L155" i="35"/>
  <c r="K106" i="35"/>
  <c r="D33" i="38"/>
  <c r="D108" i="38"/>
  <c r="E94" i="38"/>
  <c r="F387" i="38"/>
  <c r="G10" i="38"/>
  <c r="F20" i="38"/>
  <c r="F50" i="38"/>
  <c r="D202" i="38"/>
  <c r="D271" i="38"/>
  <c r="J132" i="35"/>
  <c r="J23" i="37"/>
  <c r="E328" i="38"/>
  <c r="E162" i="38"/>
  <c r="L182" i="35"/>
  <c r="E185" i="38"/>
  <c r="D243" i="38"/>
  <c r="K28" i="35"/>
  <c r="K97" i="35"/>
  <c r="M294" i="35"/>
  <c r="E324" i="38"/>
  <c r="M82" i="35"/>
  <c r="E153" i="38"/>
  <c r="D179" i="38"/>
  <c r="O24" i="37"/>
  <c r="J101" i="35"/>
  <c r="M311" i="35"/>
  <c r="D292" i="38"/>
  <c r="K38" i="35"/>
  <c r="J392" i="38"/>
  <c r="E297" i="38"/>
  <c r="D2" i="38"/>
  <c r="M110" i="35"/>
  <c r="K127" i="35"/>
  <c r="M208" i="35"/>
  <c r="D89" i="38"/>
  <c r="E51" i="38"/>
  <c r="J112" i="35"/>
  <c r="J22" i="35"/>
  <c r="M8" i="35"/>
  <c r="D196" i="38"/>
  <c r="L49" i="35"/>
  <c r="F8" i="38"/>
  <c r="E101" i="38"/>
  <c r="I384" i="38"/>
  <c r="J66" i="35"/>
  <c r="E303" i="38"/>
  <c r="M23" i="37"/>
  <c r="M2" i="35"/>
  <c r="M30" i="35"/>
  <c r="E69" i="38"/>
  <c r="J117" i="35"/>
  <c r="F386" i="38"/>
  <c r="D239" i="38"/>
  <c r="J394" i="38"/>
  <c r="K60" i="35"/>
  <c r="J83" i="35"/>
  <c r="E56" i="38"/>
  <c r="D245" i="38"/>
  <c r="J38" i="35"/>
  <c r="D385" i="38"/>
  <c r="I393" i="38"/>
  <c r="M308" i="35"/>
  <c r="D9" i="38"/>
  <c r="E322" i="38"/>
  <c r="J388" i="38"/>
  <c r="K401" i="38"/>
  <c r="L51" i="35"/>
  <c r="D68" i="38"/>
  <c r="D215" i="38"/>
  <c r="L103" i="35"/>
  <c r="G21" i="38"/>
  <c r="K95" i="35"/>
  <c r="G38" i="38"/>
  <c r="E47" i="38"/>
  <c r="K130" i="35"/>
  <c r="D151" i="38"/>
  <c r="L312" i="35"/>
  <c r="D324" i="38"/>
  <c r="J8" i="35"/>
  <c r="D343" i="38"/>
  <c r="D15" i="38"/>
  <c r="I397" i="38"/>
  <c r="H394" i="38"/>
  <c r="G24" i="38"/>
  <c r="K20" i="35"/>
  <c r="D76" i="38"/>
  <c r="F10" i="38"/>
  <c r="D62" i="38"/>
  <c r="K21" i="37"/>
  <c r="K55" i="35"/>
  <c r="G8" i="38"/>
  <c r="E85" i="38"/>
  <c r="M226" i="35"/>
  <c r="D200" i="38"/>
  <c r="E34" i="38"/>
  <c r="K390" i="38"/>
  <c r="K125" i="35"/>
  <c r="M317" i="35"/>
  <c r="M94" i="35"/>
  <c r="M162" i="35"/>
  <c r="D168" i="38"/>
  <c r="E5" i="38"/>
  <c r="K35" i="35"/>
  <c r="J384" i="38"/>
  <c r="L285" i="35"/>
  <c r="M153" i="35"/>
  <c r="J30" i="35"/>
  <c r="K37" i="35"/>
  <c r="E312" i="38"/>
  <c r="D226" i="38"/>
  <c r="J48" i="35"/>
  <c r="G386" i="38"/>
  <c r="M95" i="35"/>
  <c r="J397" i="38"/>
  <c r="K44" i="35"/>
  <c r="L20" i="35"/>
  <c r="G394" i="38"/>
  <c r="L333" i="35"/>
  <c r="K3" i="35"/>
  <c r="K84" i="35"/>
  <c r="M349" i="35"/>
  <c r="E3" i="38"/>
  <c r="K114" i="35"/>
  <c r="E42" i="38"/>
  <c r="G62" i="38"/>
  <c r="F65" i="38"/>
  <c r="O23" i="37"/>
  <c r="K78" i="35"/>
  <c r="K10" i="35"/>
  <c r="L61" i="35"/>
  <c r="M60" i="35"/>
  <c r="F400" i="38"/>
  <c r="D233" i="38"/>
  <c r="E243" i="38"/>
  <c r="J63" i="35"/>
  <c r="F398" i="38"/>
  <c r="P21" i="37"/>
  <c r="E248" i="38"/>
  <c r="D308" i="38"/>
  <c r="H387" i="38"/>
  <c r="L339" i="35"/>
  <c r="G401" i="38"/>
  <c r="F396" i="38"/>
  <c r="K73" i="35"/>
  <c r="M204" i="35"/>
  <c r="P23" i="37"/>
  <c r="I391" i="38"/>
  <c r="D69" i="38"/>
  <c r="G397" i="38"/>
  <c r="J67" i="35"/>
  <c r="D67" i="38"/>
  <c r="J4" i="35"/>
  <c r="D169" i="38"/>
  <c r="L200" i="35"/>
  <c r="Q22" i="37"/>
  <c r="E280" i="38"/>
  <c r="D162" i="38"/>
  <c r="K40" i="35"/>
  <c r="K51" i="35"/>
  <c r="L300" i="35"/>
  <c r="E148" i="38"/>
  <c r="J16" i="35"/>
  <c r="H399" i="38"/>
  <c r="H380" i="38"/>
  <c r="D120" i="38"/>
  <c r="E309" i="38"/>
  <c r="J99" i="35"/>
  <c r="J126" i="35"/>
  <c r="L142" i="35"/>
  <c r="E20" i="38"/>
  <c r="J62" i="35"/>
  <c r="J129" i="35"/>
  <c r="E8" i="38"/>
  <c r="D149" i="38"/>
  <c r="K131" i="35"/>
  <c r="K110" i="35"/>
  <c r="L205" i="35"/>
  <c r="L248" i="35"/>
  <c r="J11" i="35"/>
  <c r="F382" i="38"/>
  <c r="F67" i="38"/>
  <c r="K392" i="38"/>
  <c r="E91" i="38"/>
  <c r="J92" i="35"/>
  <c r="M123" i="35"/>
  <c r="K15" i="35"/>
  <c r="J131" i="35"/>
  <c r="L8" i="35"/>
  <c r="E212" i="38"/>
  <c r="F2" i="38"/>
  <c r="D375" i="38"/>
  <c r="F47" i="38"/>
  <c r="K133" i="35"/>
  <c r="K72" i="35"/>
  <c r="J72" i="35"/>
  <c r="J122" i="35"/>
  <c r="L238" i="35"/>
  <c r="D52" i="38"/>
  <c r="K9" i="35"/>
  <c r="E298" i="38"/>
  <c r="D222" i="38"/>
  <c r="K115" i="35"/>
  <c r="G380" i="38"/>
  <c r="J385" i="38"/>
  <c r="M285" i="35"/>
  <c r="M27" i="35"/>
  <c r="K381" i="38"/>
  <c r="E329" i="38"/>
  <c r="D387" i="38"/>
  <c r="J50" i="35"/>
  <c r="F57" i="38"/>
  <c r="K384" i="38"/>
  <c r="L254" i="35"/>
  <c r="K65" i="35"/>
  <c r="K121" i="35"/>
  <c r="M51" i="35"/>
  <c r="E84" i="38"/>
  <c r="J41" i="35"/>
  <c r="E382" i="38"/>
  <c r="D286" i="38"/>
  <c r="J102" i="35"/>
  <c r="J400" i="38"/>
  <c r="K92" i="35"/>
  <c r="K18" i="35"/>
  <c r="L317" i="35"/>
  <c r="M127" i="35"/>
  <c r="K96" i="35"/>
  <c r="D10" i="38"/>
  <c r="F30" i="38"/>
  <c r="J60" i="35"/>
  <c r="M24" i="37"/>
  <c r="J74" i="35"/>
  <c r="M29" i="35"/>
  <c r="M71" i="35"/>
  <c r="K118" i="35"/>
  <c r="D201" i="38"/>
  <c r="E179" i="38"/>
  <c r="K117" i="35"/>
  <c r="J76" i="35"/>
  <c r="G395" i="38"/>
  <c r="L260" i="35"/>
  <c r="E155" i="38"/>
  <c r="K57" i="35"/>
  <c r="J29" i="35"/>
  <c r="L8" i="37"/>
  <c r="J19" i="37"/>
  <c r="N16" i="37"/>
  <c r="Q4" i="37"/>
  <c r="N20" i="37"/>
  <c r="M10" i="37"/>
  <c r="N13" i="37"/>
  <c r="Q14" i="37"/>
  <c r="M4" i="37"/>
  <c r="O4" i="37"/>
  <c r="M18" i="37"/>
  <c r="K15" i="37"/>
  <c r="O17" i="37"/>
  <c r="Q8" i="37"/>
  <c r="J16" i="37"/>
  <c r="M12" i="37"/>
  <c r="N8" i="37"/>
  <c r="Q7" i="37"/>
  <c r="P17" i="37"/>
  <c r="N14" i="37"/>
  <c r="Q20" i="37"/>
  <c r="P12" i="37"/>
  <c r="L3" i="37"/>
  <c r="Q9" i="37"/>
  <c r="J20" i="37"/>
  <c r="O6" i="37"/>
  <c r="O9" i="37"/>
  <c r="L18" i="37"/>
  <c r="K9" i="37"/>
  <c r="L12" i="37"/>
  <c r="J15" i="37"/>
  <c r="J12" i="37"/>
  <c r="O10" i="37"/>
  <c r="O18" i="37"/>
  <c r="K13" i="37"/>
  <c r="K16" i="37"/>
  <c r="P10" i="37"/>
  <c r="Q17" i="37"/>
  <c r="M7" i="37"/>
  <c r="D197" i="38"/>
  <c r="D277" i="38"/>
  <c r="D8" i="38"/>
  <c r="J70" i="35"/>
  <c r="I385" i="38"/>
  <c r="O16" i="37"/>
  <c r="K6" i="37"/>
  <c r="P20" i="37"/>
  <c r="M20" i="37"/>
  <c r="K5" i="37"/>
  <c r="K12" i="37"/>
  <c r="P2" i="37"/>
  <c r="M13" i="37"/>
  <c r="N15" i="37"/>
  <c r="M14" i="37"/>
  <c r="Q2" i="37"/>
  <c r="N4" i="37"/>
  <c r="P16" i="37"/>
  <c r="M15" i="37"/>
  <c r="K22" i="35"/>
  <c r="J402" i="38"/>
  <c r="K64" i="35"/>
  <c r="M21" i="35"/>
  <c r="K124" i="35"/>
  <c r="I381" i="38"/>
  <c r="D207" i="38"/>
  <c r="K14" i="35"/>
  <c r="K41" i="35"/>
  <c r="H386" i="38"/>
  <c r="E239" i="38"/>
  <c r="J36" i="35"/>
  <c r="E73" i="38"/>
  <c r="D3" i="38"/>
  <c r="J42" i="35"/>
  <c r="L261" i="35"/>
  <c r="J44" i="35"/>
  <c r="K30" i="35"/>
  <c r="M325" i="35"/>
  <c r="K23" i="37"/>
  <c r="J7" i="35"/>
  <c r="L356" i="35"/>
  <c r="G4" i="38"/>
  <c r="J88" i="35"/>
  <c r="J94" i="35"/>
  <c r="E271" i="38"/>
  <c r="J395" i="38"/>
  <c r="F389" i="38"/>
  <c r="H381" i="38"/>
  <c r="J103" i="35"/>
  <c r="M31" i="35"/>
  <c r="E180" i="38"/>
  <c r="K93" i="35"/>
  <c r="D283" i="38"/>
  <c r="F15" i="38"/>
  <c r="J3" i="35"/>
  <c r="N24" i="37"/>
  <c r="F392" i="38"/>
  <c r="M190" i="35"/>
  <c r="D36" i="38"/>
  <c r="K71" i="35"/>
  <c r="D170" i="38"/>
  <c r="E158" i="38"/>
  <c r="J123" i="35"/>
  <c r="J25" i="35"/>
  <c r="K61" i="35"/>
  <c r="D260" i="38"/>
  <c r="J390" i="38"/>
  <c r="E392" i="38"/>
  <c r="I396" i="38"/>
  <c r="D79" i="38"/>
  <c r="K382" i="38"/>
  <c r="J97" i="35"/>
  <c r="D353" i="38"/>
  <c r="J119" i="35"/>
  <c r="K122" i="35"/>
  <c r="D137" i="38"/>
  <c r="D51" i="38"/>
  <c r="K398" i="38"/>
  <c r="F381" i="38"/>
  <c r="F402" i="38"/>
  <c r="E343" i="38"/>
  <c r="D47" i="38"/>
  <c r="J87" i="35"/>
  <c r="J107" i="35"/>
  <c r="G25" i="38"/>
  <c r="D258" i="38"/>
  <c r="J24" i="37"/>
  <c r="I400" i="38"/>
  <c r="E234" i="38"/>
  <c r="E254" i="38"/>
  <c r="K58" i="35"/>
  <c r="K389" i="38"/>
  <c r="D216" i="38"/>
  <c r="D5" i="38"/>
  <c r="K126" i="35"/>
  <c r="E19" i="38"/>
  <c r="N22" i="37"/>
  <c r="E344" i="38"/>
  <c r="H398" i="38"/>
  <c r="F38" i="38"/>
  <c r="E111" i="38"/>
  <c r="F395" i="38"/>
  <c r="J98" i="35"/>
  <c r="F41" i="38"/>
  <c r="D322" i="38"/>
  <c r="P24" i="37"/>
  <c r="J57" i="35"/>
  <c r="J71" i="35"/>
  <c r="E350" i="38"/>
  <c r="E318" i="38"/>
  <c r="K99" i="35"/>
  <c r="K132" i="35"/>
  <c r="D248" i="38"/>
  <c r="D34" i="38"/>
  <c r="J43" i="35"/>
  <c r="H395" i="38"/>
  <c r="D329" i="38"/>
  <c r="E30" i="38"/>
  <c r="K88" i="35"/>
  <c r="K119" i="35"/>
  <c r="E88" i="38"/>
  <c r="J127" i="35"/>
  <c r="E325" i="38"/>
  <c r="K402" i="38"/>
  <c r="K2" i="37"/>
  <c r="J8" i="37"/>
  <c r="L19" i="37"/>
  <c r="J4" i="37"/>
  <c r="N12" i="37"/>
  <c r="N17" i="37"/>
  <c r="N10" i="37"/>
  <c r="P11" i="37"/>
  <c r="Q3" i="37"/>
  <c r="O11" i="37"/>
  <c r="P4" i="37"/>
  <c r="L10" i="37"/>
  <c r="G67" i="38"/>
  <c r="J2" i="37"/>
  <c r="J18" i="37"/>
  <c r="N5" i="37"/>
  <c r="L6" i="37"/>
  <c r="O13" i="37"/>
  <c r="L11" i="37"/>
  <c r="P5" i="37"/>
  <c r="L134" i="35"/>
  <c r="H402" i="38"/>
  <c r="J95" i="35"/>
  <c r="F62" i="38"/>
  <c r="H397" i="38"/>
  <c r="H392" i="38"/>
  <c r="E229" i="38"/>
  <c r="P22" i="37"/>
  <c r="J121" i="35"/>
  <c r="E201" i="38"/>
  <c r="E275" i="38"/>
  <c r="J65" i="35"/>
  <c r="L78" i="35"/>
  <c r="J90" i="35"/>
  <c r="K90" i="35"/>
  <c r="D261" i="38"/>
  <c r="L110" i="35"/>
  <c r="J46" i="35"/>
  <c r="L141" i="35"/>
  <c r="J125" i="35"/>
  <c r="J34" i="35"/>
  <c r="L173" i="35"/>
  <c r="M284" i="35"/>
  <c r="J84" i="35"/>
  <c r="D265" i="38"/>
  <c r="E307" i="38"/>
  <c r="J49" i="35"/>
  <c r="H388" i="38"/>
  <c r="N21" i="37"/>
  <c r="I398" i="38"/>
  <c r="D303" i="38"/>
  <c r="J109" i="35"/>
  <c r="K49" i="35"/>
  <c r="D105" i="38"/>
  <c r="D19" i="38"/>
  <c r="L22" i="37"/>
  <c r="N23" i="37"/>
  <c r="D219" i="38"/>
  <c r="E15" i="38"/>
  <c r="K105" i="35"/>
  <c r="K6" i="35"/>
  <c r="F9" i="38"/>
  <c r="D194" i="38"/>
  <c r="H393" i="38"/>
  <c r="J382" i="38"/>
  <c r="J6" i="35"/>
  <c r="E260" i="38"/>
  <c r="L67" i="35"/>
  <c r="M104" i="35"/>
  <c r="E70" i="38"/>
  <c r="D362" i="38"/>
  <c r="J32" i="35"/>
  <c r="E265" i="38"/>
  <c r="E371" i="38"/>
  <c r="O22" i="37"/>
  <c r="K395" i="38"/>
  <c r="E40" i="38"/>
  <c r="E133" i="38"/>
  <c r="J380" i="38"/>
  <c r="G382" i="38"/>
  <c r="K113" i="35"/>
  <c r="E105" i="38"/>
  <c r="E83" i="38"/>
  <c r="I402" i="38"/>
  <c r="H396" i="38"/>
  <c r="L179" i="35"/>
  <c r="E21" i="38"/>
  <c r="K116" i="35"/>
  <c r="K82" i="35"/>
  <c r="G9" i="38"/>
  <c r="E290" i="38"/>
  <c r="J381" i="38"/>
  <c r="J47" i="35"/>
  <c r="M377" i="35"/>
  <c r="D212" i="38"/>
  <c r="E52" i="38"/>
  <c r="K24" i="35"/>
  <c r="F59" i="38"/>
  <c r="D130" i="38"/>
  <c r="H401" i="38"/>
  <c r="E137" i="38"/>
  <c r="D147" i="38"/>
  <c r="I394" i="38"/>
  <c r="K81" i="35"/>
  <c r="L351" i="35"/>
  <c r="F37" i="38"/>
  <c r="K11" i="35"/>
  <c r="K393" i="38"/>
  <c r="J110" i="35"/>
  <c r="F25" i="38"/>
  <c r="E346" i="38"/>
  <c r="K107" i="35"/>
  <c r="K2" i="35"/>
  <c r="M166" i="35"/>
  <c r="E244" i="38"/>
  <c r="F394" i="38"/>
  <c r="K70" i="35"/>
  <c r="E216" i="38"/>
  <c r="D66" i="38"/>
  <c r="K22" i="37"/>
  <c r="F399" i="38"/>
  <c r="L147" i="35"/>
  <c r="D84" i="38"/>
  <c r="K50" i="35"/>
  <c r="M149" i="35"/>
  <c r="M260" i="35"/>
  <c r="G402" i="38"/>
  <c r="D394" i="38"/>
  <c r="G53" i="38"/>
  <c r="M67" i="35"/>
  <c r="P9" i="37"/>
  <c r="P8" i="37"/>
  <c r="J14" i="37"/>
  <c r="O2" i="37"/>
  <c r="P14" i="37"/>
  <c r="N11" i="37"/>
  <c r="M3" i="37"/>
  <c r="K11" i="37"/>
  <c r="P15" i="37"/>
  <c r="O20" i="37"/>
  <c r="J7" i="37"/>
  <c r="P6" i="37"/>
  <c r="O8" i="37"/>
  <c r="O7" i="37"/>
  <c r="M8" i="37"/>
  <c r="K17" i="37"/>
  <c r="N19" i="37"/>
  <c r="J17" i="37"/>
  <c r="E276" i="38"/>
  <c r="H391" i="38"/>
  <c r="E10" i="38"/>
  <c r="D98" i="38"/>
  <c r="K103" i="35"/>
  <c r="E120" i="38"/>
  <c r="E116" i="38"/>
  <c r="F383" i="38"/>
  <c r="J27" i="35"/>
  <c r="D88" i="38"/>
  <c r="D148" i="38"/>
  <c r="J100" i="35"/>
  <c r="D376" i="38"/>
  <c r="J120" i="35"/>
  <c r="K89" i="35"/>
  <c r="K380" i="38"/>
  <c r="D20" i="38"/>
  <c r="J130" i="35"/>
  <c r="E115" i="38"/>
  <c r="J399" i="38"/>
  <c r="D42" i="38"/>
  <c r="E126" i="38"/>
  <c r="K31" i="35"/>
  <c r="K46" i="35"/>
  <c r="E152" i="38"/>
  <c r="E293" i="38"/>
  <c r="K68" i="35"/>
  <c r="J40" i="35"/>
  <c r="H400" i="38"/>
  <c r="E233" i="38"/>
  <c r="E339" i="38"/>
  <c r="K109" i="35"/>
  <c r="K21" i="35"/>
  <c r="D24" i="38"/>
  <c r="D101" i="38"/>
  <c r="I388" i="38"/>
  <c r="F385" i="38"/>
  <c r="D73" i="38"/>
  <c r="F51" i="38"/>
  <c r="K5" i="35"/>
  <c r="F391" i="38"/>
  <c r="M198" i="35"/>
  <c r="E4" i="38"/>
  <c r="I395" i="38"/>
  <c r="D180" i="38"/>
  <c r="Q24" i="37"/>
  <c r="K76" i="35"/>
  <c r="E261" i="38"/>
  <c r="I389" i="38"/>
  <c r="G57" i="38"/>
  <c r="K101" i="35"/>
  <c r="K75" i="35"/>
  <c r="D152" i="38"/>
  <c r="G5" i="38"/>
  <c r="O21" i="37"/>
  <c r="J69" i="35"/>
  <c r="L206" i="35"/>
  <c r="F36" i="38"/>
  <c r="J393" i="38"/>
  <c r="G393" i="38"/>
  <c r="J13" i="35"/>
  <c r="F24" i="38"/>
  <c r="D181" i="38"/>
  <c r="G389" i="38"/>
  <c r="J82" i="35"/>
  <c r="M253" i="35"/>
  <c r="L229" i="35"/>
  <c r="G383" i="38"/>
  <c r="J23" i="35"/>
  <c r="L33" i="35"/>
  <c r="E37" i="38"/>
  <c r="L21" i="37"/>
  <c r="K120" i="35"/>
  <c r="E369" i="38"/>
  <c r="G384" i="38"/>
  <c r="G388" i="38"/>
  <c r="K77" i="35"/>
  <c r="D312" i="38"/>
  <c r="J91" i="35"/>
  <c r="J39" i="35"/>
  <c r="D40" i="38"/>
  <c r="E213" i="38"/>
  <c r="K100" i="35"/>
  <c r="J116" i="35"/>
  <c r="M301" i="35"/>
  <c r="L140" i="35"/>
  <c r="J10" i="35"/>
  <c r="J45" i="35"/>
  <c r="K112" i="35"/>
  <c r="M224" i="35"/>
  <c r="E53" i="38"/>
  <c r="J133" i="35"/>
  <c r="K56" i="35"/>
  <c r="E401" i="38"/>
  <c r="M212" i="35"/>
  <c r="J85" i="35"/>
  <c r="K26" i="35"/>
  <c r="M57" i="35"/>
  <c r="D276" i="38"/>
  <c r="K62" i="35"/>
  <c r="E198" i="38"/>
  <c r="E143" i="38"/>
  <c r="J28" i="35"/>
  <c r="K80" i="35"/>
  <c r="F390" i="38"/>
  <c r="M261" i="35"/>
  <c r="K7" i="35"/>
  <c r="I387" i="38"/>
  <c r="K394" i="38"/>
  <c r="O5" i="37"/>
  <c r="P19" i="37"/>
  <c r="J6" i="37"/>
  <c r="O3" i="37"/>
  <c r="M2" i="37"/>
  <c r="Q15" i="37"/>
  <c r="N3" i="37"/>
  <c r="J13" i="37"/>
  <c r="K3" i="37"/>
  <c r="M11" i="37"/>
  <c r="L5" i="37"/>
  <c r="Q18" i="37"/>
  <c r="Q16" i="37"/>
  <c r="N2" i="37"/>
  <c r="P18" i="37"/>
  <c r="N7" i="37"/>
  <c r="Q5" i="37"/>
  <c r="O14" i="37"/>
  <c r="P7" i="37"/>
  <c r="K20" i="37"/>
  <c r="O12" i="37"/>
  <c r="P13" i="37"/>
  <c r="J9" i="37"/>
  <c r="Q19" i="37"/>
  <c r="N6" i="37"/>
  <c r="M16" i="37"/>
  <c r="N9" i="37"/>
  <c r="J5" i="37"/>
  <c r="M9" i="37"/>
  <c r="N18" i="37"/>
  <c r="O19" i="37"/>
  <c r="L15" i="37"/>
  <c r="L4" i="37"/>
  <c r="K4" i="37"/>
  <c r="K7" i="37"/>
  <c r="M19" i="37"/>
  <c r="L17" i="37"/>
  <c r="Q13" i="37"/>
  <c r="K19" i="37"/>
  <c r="L16" i="37"/>
  <c r="O15" i="37"/>
  <c r="J11" i="37"/>
  <c r="M5" i="37"/>
  <c r="M6" i="37"/>
  <c r="L20" i="37"/>
  <c r="Q11" i="37"/>
  <c r="Q12" i="37"/>
  <c r="Q10" i="37"/>
  <c r="L7" i="37"/>
  <c r="Q6" i="37"/>
  <c r="K10" i="37"/>
  <c r="L13" i="37"/>
  <c r="G2" i="38"/>
  <c r="J10" i="37"/>
  <c r="P3" i="37"/>
  <c r="L14" i="37"/>
  <c r="K18" i="37"/>
  <c r="J3" i="37"/>
  <c r="K14" i="37"/>
  <c r="M17" i="37"/>
  <c r="L9" i="37"/>
  <c r="K8" i="37"/>
  <c r="L2" i="37"/>
</calcChain>
</file>

<file path=xl/comments1.xml><?xml version="1.0" encoding="utf-8"?>
<comments xmlns="http://schemas.openxmlformats.org/spreadsheetml/2006/main">
  <authors>
    <author>Milan Grahovac</author>
  </authors>
  <commentList>
    <comment ref="B20" authorId="0" shapeId="0">
      <text>
        <r>
          <rPr>
            <sz val="9"/>
            <color indexed="81"/>
            <rFont val="Tahoma"/>
            <family val="2"/>
          </rPr>
          <t>Službeni glasnik RS 63/16</t>
        </r>
      </text>
    </comment>
    <comment ref="B25" authorId="0" shapeId="0">
      <text>
        <r>
          <rPr>
            <sz val="9"/>
            <color indexed="81"/>
            <rFont val="Tahoma"/>
            <family val="2"/>
          </rPr>
          <t>Službeni glasnik RS 63/16</t>
        </r>
      </text>
    </comment>
    <comment ref="B28" authorId="0" shapeId="0">
      <text>
        <r>
          <rPr>
            <sz val="9"/>
            <color indexed="81"/>
            <rFont val="Tahoma"/>
            <family val="2"/>
          </rPr>
          <t>Službeni glasnik RS 63/16</t>
        </r>
      </text>
    </comment>
    <comment ref="B31" authorId="0" shapeId="0">
      <text>
        <r>
          <rPr>
            <sz val="9"/>
            <color indexed="81"/>
            <rFont val="Tahoma"/>
            <family val="2"/>
          </rPr>
          <t>Službeni glasnik RS 63/16</t>
        </r>
      </text>
    </comment>
    <comment ref="B34" authorId="0" shapeId="0">
      <text>
        <r>
          <rPr>
            <sz val="9"/>
            <color indexed="81"/>
            <rFont val="Tahoma"/>
            <family val="2"/>
          </rPr>
          <t>Službeni glasnik RS 62/16</t>
        </r>
      </text>
    </comment>
    <comment ref="B37" authorId="0" shapeId="0">
      <text>
        <r>
          <rPr>
            <sz val="9"/>
            <color indexed="81"/>
            <rFont val="Tahoma"/>
            <family val="2"/>
          </rPr>
          <t>Službeni glasnik RS 63/16</t>
        </r>
      </text>
    </comment>
  </commentList>
</comments>
</file>

<file path=xl/comments2.xml><?xml version="1.0" encoding="utf-8"?>
<comments xmlns="http://schemas.openxmlformats.org/spreadsheetml/2006/main">
  <authors>
    <author>Milan Grahovac</author>
  </authors>
  <commentList>
    <comment ref="D113" authorId="0" shapeId="0">
      <text>
        <r>
          <rPr>
            <sz val="9"/>
            <color indexed="81"/>
            <rFont val="Tahoma"/>
            <family val="2"/>
          </rPr>
          <t>Gubitak grupa računa 35 (AOP 123) obuhvata gubitak ranijih godina, račun 350 i gubitak tekuće godine, račun 351, znači sve do vrednosti kapitala, a sve preko toga u klasi 2, račun 290.</t>
        </r>
      </text>
    </comment>
  </commentList>
</comments>
</file>

<file path=xl/comments3.xml><?xml version="1.0" encoding="utf-8"?>
<comments xmlns="http://schemas.openxmlformats.org/spreadsheetml/2006/main">
  <authors>
    <author>Milan Grahovac</author>
  </authors>
  <commentList>
    <comment ref="N15" authorId="0" shapeId="0">
      <text>
        <r>
          <rPr>
            <sz val="9"/>
            <color indexed="81"/>
            <rFont val="Tahoma"/>
            <family val="2"/>
          </rPr>
          <t>Kolone 9 i 10 Izvještaja popunjavaju samo matična pravna lica prilikom izrade konsolidovanog finansijskog izvještaja i ova pravna lica, u skladu sa MRS 1 - Prezentacija finansijskih izvještaja imaju obavezu da u Izvještaju odvojeno prikažu iznose kapitala koji pripadaju vlasnicima matičnog pravnog lica od iznosa koji pripadaju manjinskim vlasnicima.</t>
        </r>
      </text>
    </comment>
  </commentList>
</comments>
</file>

<file path=xl/comments4.xml><?xml version="1.0" encoding="utf-8"?>
<comments xmlns="http://schemas.openxmlformats.org/spreadsheetml/2006/main">
  <authors>
    <author>Milan Grahovac</author>
  </authors>
  <commentList>
    <comment ref="Q2" authorId="0" shapeId="0">
      <text>
        <r>
          <rPr>
            <sz val="9"/>
            <color indexed="81"/>
            <rFont val="Tahoma"/>
            <family val="2"/>
          </rPr>
          <t>Koristi se za kreiranje APIF import fajla.</t>
        </r>
      </text>
    </comment>
  </commentList>
</comments>
</file>

<file path=xl/comments5.xml><?xml version="1.0" encoding="utf-8"?>
<comments xmlns="http://schemas.openxmlformats.org/spreadsheetml/2006/main">
  <authors>
    <author>Milan Grahovac</author>
  </authors>
  <commentList>
    <comment ref="D1" authorId="0" shapeId="0">
      <text>
        <r>
          <rPr>
            <sz val="9"/>
            <color indexed="81"/>
            <rFont val="Tahoma"/>
            <family val="2"/>
          </rPr>
          <t>Kod decimalnih brojeva, tačka je separator (15.57).</t>
        </r>
      </text>
    </comment>
    <comment ref="E1" authorId="0" shapeId="0">
      <text>
        <r>
          <rPr>
            <sz val="9"/>
            <color indexed="81"/>
            <rFont val="Tahoma"/>
            <family val="2"/>
          </rPr>
          <t>Kod decimalnih brojeva, tačka je separator (15.57).</t>
        </r>
      </text>
    </comment>
  </commentList>
</comments>
</file>

<file path=xl/sharedStrings.xml><?xml version="1.0" encoding="utf-8"?>
<sst xmlns="http://schemas.openxmlformats.org/spreadsheetml/2006/main" count="3319" uniqueCount="2058">
  <si>
    <t>3. Obaveze po emitovanim dugoročnim hartijama od vrijednosti</t>
  </si>
  <si>
    <t>5. Dugoročne obaveze po finansijskom lizingu</t>
  </si>
  <si>
    <t>6. Dugoročne obaveze po fer vrijednosti kroz bilans uspjeha</t>
  </si>
  <si>
    <t>a) Kratkoročni krediti i obaveze po emitovanim kratkoročnim hartijama od vrijednosti</t>
  </si>
  <si>
    <t>v) Kratkoročne obaveze po fer vrijednosti kroz bilans uspjeha</t>
  </si>
  <si>
    <t>g) Ostale kratkoročne finansijske obaveze</t>
  </si>
  <si>
    <t>10. Odložene poreske obaveze</t>
  </si>
  <si>
    <t>D. VANBILANSNA PASIVA</t>
  </si>
  <si>
    <t>3. Obaveze iz specifičnih poslova</t>
  </si>
  <si>
    <t>A. POSLOVNI PRIHODI I RASHODI</t>
  </si>
  <si>
    <t>650 do 659</t>
  </si>
  <si>
    <t>8. Ostali poslovni prihodi</t>
  </si>
  <si>
    <t>500 do 502</t>
  </si>
  <si>
    <t>510 do 513</t>
  </si>
  <si>
    <t>2. Troškovi materijala</t>
  </si>
  <si>
    <t>530 do 539</t>
  </si>
  <si>
    <t>4. Troškovi proizvodnih usluga</t>
  </si>
  <si>
    <t>a) Troškovi amortizacije</t>
  </si>
  <si>
    <t>7. Smanjenje vrijednosti investicionih nekretnina i bioloških sredstava koja se ne amortizuju</t>
  </si>
  <si>
    <t>2. Prihodi od prodaje učinaka (207 do 209)</t>
  </si>
  <si>
    <t>a) Prihodi od prodaje učinaka povezanim pravnim licima</t>
  </si>
  <si>
    <t>b) Prihodi od prodaje učinaka na domaćem tržištu</t>
  </si>
  <si>
    <t>5. Smanjenje vrijednosti zaliha učinaka</t>
  </si>
  <si>
    <t>v) Prihodi od prodaje učinaka na inostranom tržištu</t>
  </si>
  <si>
    <t>b) Troškovi rezervisanja</t>
  </si>
  <si>
    <t>7. Troškovi poreza</t>
  </si>
  <si>
    <t>8. Troškovi doprinosa</t>
  </si>
  <si>
    <t>6. Nematerijalni troškovi (bez poreza i doprinosa)</t>
  </si>
  <si>
    <t>4. Prihodi od efekata valutne klauzule</t>
  </si>
  <si>
    <t>6. Ostali finansijski prihodi</t>
  </si>
  <si>
    <t>4. Rashodi po osnovu valutne klauzule</t>
  </si>
  <si>
    <t>5. Ostali finansijski rashodi</t>
  </si>
  <si>
    <t>5. Prihodi od učešća u dobitku zajedničkih ulaganja</t>
  </si>
  <si>
    <t>E. OSTALI PRIHODI I RASHODI</t>
  </si>
  <si>
    <t>2. Dobici po osnovu prodaje investicionih nekretnina</t>
  </si>
  <si>
    <t>3. Dobici po osnovu prodaje bioloških sredstava</t>
  </si>
  <si>
    <t>4. Dobici po osnovu prodaje sredstava obustavljenog poslovanja</t>
  </si>
  <si>
    <t>6. Dobici po osnovu prodaje materijala</t>
  </si>
  <si>
    <t>9. Prihodi po osnovu ugovorene zaštite od rizika, koji ne ispunjavaju uslove da se iskažu u okviru revalorizacionih rezervi</t>
  </si>
  <si>
    <t>2. Gubici po osnovu prodaje i rashodovanja investicionih nekretnina</t>
  </si>
  <si>
    <t>3. Gubici po osnovu prodaje i rashodovanja bioloških sredstava</t>
  </si>
  <si>
    <t>4. Gubici po osnovu prodaje sredstava obustavljenog poslovanja</t>
  </si>
  <si>
    <t>10. Rashodi po osnovu rashodovanja zaliha materijala i robe i ostali rashodi</t>
  </si>
  <si>
    <t>7. Viškovi, izuzimajući viškove zaliha učinaka</t>
  </si>
  <si>
    <t>7. Manjkovi, izuzimajući manjkove zaliha učinaka</t>
  </si>
  <si>
    <t>I. PRIHODI I RASHODI OD USKLAĐIVANJA VRIJEDNOSTI IMOVINE</t>
  </si>
  <si>
    <t>2. Prihodi od usklađivanja vrijednosti nekretnina, postrojenja i opreme</t>
  </si>
  <si>
    <t>3. Prihodi od usklađivanja vrijednosti investicionih nekretnina za koje se obračunava amortizacija</t>
  </si>
  <si>
    <t>6. Prihodi od usklađivanja vrijednosti zaliha materijala i robe</t>
  </si>
  <si>
    <t>7. Prihodi od usklađivanja vrijednosti kratkoročnih finansijskih plasmana</t>
  </si>
  <si>
    <t>9. Prihodi od usklađivanja vrijednosti ostale imovine</t>
  </si>
  <si>
    <t>Razrijeđena zarada po akciji</t>
  </si>
  <si>
    <t>5. Efektivni dio dobitaka po osnovu zaštite od rizika gotovinskih tokova</t>
  </si>
  <si>
    <t>5. Avansi i biološka sredstva i sredstva kulture u pripremi</t>
  </si>
  <si>
    <t>d) Finansijska sredstva po fer vrijednosti kroz bilans uspjeha namijenjena trgovanju</t>
  </si>
  <si>
    <t>9. Rashodi po osnovu ispravke vrijednosti i otpisa potraživanja</t>
  </si>
  <si>
    <t>G. FINANSIJSKI PRIHODI I RASHODI</t>
  </si>
  <si>
    <t>3. Prihodi od aktiviranja ili potrošnje robe i učinaka</t>
  </si>
  <si>
    <t>4. Odlivi po osnovu ostalih dugoročnih finansijskih plasmana</t>
  </si>
  <si>
    <t>4. Prilivi po osnovu kamata</t>
  </si>
  <si>
    <t>b) Domestic costumers</t>
  </si>
  <si>
    <t>a) Short-term borrowings and liabilities from short-term securities</t>
  </si>
  <si>
    <t>b) Share in long-term financial liabilities which mature in one year</t>
  </si>
  <si>
    <t>4. Efektivni dio gubitaka po osnovu zaštite od rizika gotovinskih tokova</t>
  </si>
  <si>
    <t>1. Finansijski rashodi po osnovu odnosa povezanih pravnih lica</t>
  </si>
  <si>
    <t>a) Prepayments, deposits and bails received</t>
  </si>
  <si>
    <t>200, part 209</t>
  </si>
  <si>
    <t>230, part 239</t>
  </si>
  <si>
    <t>231, part 239</t>
  </si>
  <si>
    <t>232, part 239</t>
  </si>
  <si>
    <t>235, part 239</t>
  </si>
  <si>
    <t>236, part 239</t>
  </si>
  <si>
    <t>238, part 239</t>
  </si>
  <si>
    <t>241 to 249</t>
  </si>
  <si>
    <t>270 do 279</t>
  </si>
  <si>
    <t>270 to 279</t>
  </si>
  <si>
    <t>880 to 888</t>
  </si>
  <si>
    <t>210 to 219</t>
  </si>
  <si>
    <t>220 to 229</t>
  </si>
  <si>
    <t>420 to 423</t>
  </si>
  <si>
    <t>440 to 449</t>
  </si>
  <si>
    <t>450 to 458</t>
  </si>
  <si>
    <t>460 to 469</t>
  </si>
  <si>
    <t>470 to 479</t>
  </si>
  <si>
    <t>890 to 898</t>
  </si>
  <si>
    <t>49, except 495</t>
  </si>
  <si>
    <t>650 to 659</t>
  </si>
  <si>
    <t>500 to 502</t>
  </si>
  <si>
    <t>510 to 513</t>
  </si>
  <si>
    <t>530 to 539</t>
  </si>
  <si>
    <t>Balance Sheet</t>
  </si>
  <si>
    <t>Income Statement</t>
  </si>
  <si>
    <t>b) Dobavljači - povezana pravna lica</t>
  </si>
  <si>
    <t>Bilans stanja</t>
  </si>
  <si>
    <t>Bilans uspjeha</t>
  </si>
  <si>
    <t>Bilans tokova gotovine</t>
  </si>
  <si>
    <t>Group and part of group of accounts</t>
  </si>
  <si>
    <t>D. FINANCE INCOME AND EXPENSES</t>
  </si>
  <si>
    <t>G. OTHER INCOME AND EXPENSES</t>
  </si>
  <si>
    <t>J. INCOME AND LOSSES FROM REVALUATION OF PROPERTY VALUE</t>
  </si>
  <si>
    <t>E. OFF BALANCE SHEET EQUITY AND LIABILITIES</t>
  </si>
  <si>
    <t>Engleska verzija finansijskih izvještaja je samo za informacione svrhe.</t>
  </si>
  <si>
    <t>The English version of financial statements is provided for information purposes only.</t>
  </si>
  <si>
    <t xml:space="preserve">The Banja Luka Stock Exchange cannot be held responsible and accountable for the accuracy of translation into English.   </t>
  </si>
  <si>
    <t>Cash Flow Statement</t>
  </si>
  <si>
    <t>B. CASH FLOWS FROM INVESTING ACTIVITIES</t>
  </si>
  <si>
    <t>Akcijski kapital i udjeli u društvo sa ograničenom odgovornošću</t>
  </si>
  <si>
    <t>Revalorizacione rezerve (MRS 16, MRS 21 i MRS 38)</t>
  </si>
  <si>
    <t>Nerealizovani dobici/ gubici po osnovu finansijskih sredstava raspoloživih za prodaju</t>
  </si>
  <si>
    <t>Efekti ispravke grešaka</t>
  </si>
  <si>
    <t>Nerealizovani dobici/gubici po osnovu finansijskih sredstava raspoloživih za prodaju</t>
  </si>
  <si>
    <t>Kursne razlike nastale po osnovu preračuna finansijskih izvještaja u drugu funkcionalnu valutu</t>
  </si>
  <si>
    <t>Neto dobitak/gubitak perioda iskazan u bilansu uspjeha</t>
  </si>
  <si>
    <t>Neto dobici/gubici perioda priznati direktno u kapitalu</t>
  </si>
  <si>
    <t>Objavljene dividende i drugi vidovi raspodjele dobitka i pokriće gubitka</t>
  </si>
  <si>
    <t>Emisija akcijskog kapitala i drugi vidovi povećanja ili smanjenje osnovnog kapitala</t>
  </si>
  <si>
    <t xml:space="preserve">Efekti promjena u računovodstvenim politikama </t>
  </si>
  <si>
    <t xml:space="preserve">Ostale rezerve (emisiona premija, zakonske i statutarne rezerve, zaštita gotovinskih tokova) </t>
  </si>
  <si>
    <t>Dio kapitala koji pripada vlasnicima matičnog privrednog društva</t>
  </si>
  <si>
    <t>UKUPNI KAPITAL</t>
  </si>
  <si>
    <t>Banjalučka berza ne odgovara za tačnost prevoda na engleski jezik.</t>
  </si>
  <si>
    <t>47, except 479</t>
  </si>
  <si>
    <t>27, except 279</t>
  </si>
  <si>
    <t>Statement on Changes in Equity</t>
  </si>
  <si>
    <t>Effects of the changes in accounting policies</t>
  </si>
  <si>
    <t>Effects of the corrections of material errors</t>
  </si>
  <si>
    <t>Effects of the revaluation of the material and immaterial assets</t>
  </si>
  <si>
    <t>Declared dividends and other distributions of the net income and covering the loss</t>
  </si>
  <si>
    <t>New issuance of the shareholders equity and other increases in capital or decrease in capital</t>
  </si>
  <si>
    <t>New issuance of the shareholders equity and other increases in capital</t>
  </si>
  <si>
    <t>Unrealized gains/losses arising from financial assets available for sale</t>
  </si>
  <si>
    <t>Net income/ loss of the reporting period as reported in income statement</t>
  </si>
  <si>
    <t>Net income/losses of the period recognized directly in equity</t>
  </si>
  <si>
    <t>Effects of errors corrections</t>
  </si>
  <si>
    <t>Foreign exchange differences from the translation of the financial statements in other foreign currency</t>
  </si>
  <si>
    <t>b) Income from sale of products and services on domestic market</t>
  </si>
  <si>
    <t>Diluted earnings per share</t>
  </si>
  <si>
    <t>U obrazacu Promjene na kapitalu potrebno je popuniti čitavu tabelu.</t>
  </si>
  <si>
    <t>2. Obezvrjeđenje nekretnina, postrojenja i opreme</t>
  </si>
  <si>
    <t>3. Obezvrjeđenje investicionih nekretnina za koje se obračunava amortizacija</t>
  </si>
  <si>
    <t>5. Obezvrjeđenje dugoročnih finansijskih plasmana i finansijskih sredstava raspoloživih za prodaju</t>
  </si>
  <si>
    <t>6. Obezvrjeđenje zaliha materijala i robe</t>
  </si>
  <si>
    <t>7. Obezvrjeđenje kratkoročnih finansijskih plasmana</t>
  </si>
  <si>
    <t>L. PRIHODI PO OSNOVU PROMJENE RAČUNOVODSTVENIH POLITIKA I ISPRAVKE GREŠAKA IZ RANIJIH GODINA</t>
  </si>
  <si>
    <t>LJ. RASHODI PO OSNOVU PROMJENE RAČUNOVODSTVENIH POLITIKA I ISPRAVKE GREŠAKA IZ RANIJIH GODINA</t>
  </si>
  <si>
    <t>M. DOBITAK I GUBITAK PRIJE OPOREZIVANJA</t>
  </si>
  <si>
    <t>N. TEKUĆI I ODLOŽENI POREZ NA DOBIT</t>
  </si>
  <si>
    <t>1. Poreski rashodi perioda</t>
  </si>
  <si>
    <t>2. Odloženi poreski rashodi perioda</t>
  </si>
  <si>
    <t>3. Odloženi poreski prihodi perioda</t>
  </si>
  <si>
    <t>NJ. NETO DOBITAK I NETO GUBITAK PERIODA</t>
  </si>
  <si>
    <t>O. MEĐUDIVIDENDE I DRUGI VIDOVI RASPODJELE DOBITKA U TOKU PERIODA</t>
  </si>
  <si>
    <t>1. Dobici po osnovu smanjenja revalorizacionih rezervi na stalnim sredstvima, osim HOV raspoloživih za prodaju</t>
  </si>
  <si>
    <t>2. Dobici po osnovu promjene fer vrijednosti HOV raspoloživih za prodaju</t>
  </si>
  <si>
    <t>3. Dobici po osnovu prevođenja finansijskih izvještaja inostranog poslovanja</t>
  </si>
  <si>
    <t>4. Aktuarski dobici od planova definisanih primanja</t>
  </si>
  <si>
    <t>6. Ostali dobici utvrđeni direktno u kapitalu</t>
  </si>
  <si>
    <t>1. Gubici po osnovu promjene fer vrijednosti HOV raspoloživih za prodaju</t>
  </si>
  <si>
    <t>3. Aktuarski gubici od planova definisanih primanja</t>
  </si>
  <si>
    <t>2. Gubici po osnovu prevođenja finansijskih izvještaja inostranog poslovanja</t>
  </si>
  <si>
    <t>5. Ostali gubici utvrđeni direktno u kapitalu</t>
  </si>
  <si>
    <t>Dio neto dobitka/gubitka koji pripada manjinskim vlasnicima</t>
  </si>
  <si>
    <t>Obična zarada po akciji</t>
  </si>
  <si>
    <t>Prosječan broj zaposlenih po osnovu časova rada</t>
  </si>
  <si>
    <t>Dio neto dobitka/gubitka koji pripada većinskim vlasnicima</t>
  </si>
  <si>
    <t>A. TOKOVI GOTOVINE IZ POSLOVNIH AKTIVNOSTI</t>
  </si>
  <si>
    <t>1. Prilivi od kupaca i primljeni avansi</t>
  </si>
  <si>
    <t>2. Prilivi od premija, subvencija, dotacija i sl.</t>
  </si>
  <si>
    <t>3. Ostali prilivi iz poslovnih aktivnosti</t>
  </si>
  <si>
    <t>4. Odlivi po osnovu poreza na dobit</t>
  </si>
  <si>
    <t>5. Ostali odlivi iz poslovnih aktivnosti</t>
  </si>
  <si>
    <t>1. Odlivi po osnovu isplata dobavljačima i dati avansi</t>
  </si>
  <si>
    <t>2. Odlivi po osnovu isplata zarada, naknada zarada i ostalih ličnih rashoda</t>
  </si>
  <si>
    <t>3. Odlivi po osnovu plaćenih kamata</t>
  </si>
  <si>
    <t>2. Prilivi po osnovu prodaje akcija i udjela</t>
  </si>
  <si>
    <t>2. Odlivi po osnovu kupovine akcija i udjela</t>
  </si>
  <si>
    <t>1. Prilivi po osnovu kratkoročnih finansijskih plasmana</t>
  </si>
  <si>
    <t>5. Prilivi od dividendi i učešća u dobitku</t>
  </si>
  <si>
    <t>6. Prilivi po osnovu ostalih dugoročnih finansijskih plasmana</t>
  </si>
  <si>
    <t>1. Odlivi po osnovu kratkoročnih finansijskih plasmana</t>
  </si>
  <si>
    <t>V. TOKOVI GOTOVINE IZ AKTIVNOSTI FINANSIRANJA</t>
  </si>
  <si>
    <t>1. Odlivi po osnovu otkupa sopstvenih akcija i udjela</t>
  </si>
  <si>
    <t>4. Odlivi po osnovu finansijskog lizinga</t>
  </si>
  <si>
    <t>1. Prilivi po osnovu povećanja osnovnog kapitala</t>
  </si>
  <si>
    <t>2. Prilivi po osnovu dugoročnih kredita</t>
  </si>
  <si>
    <t>3. Prilivi po osnovu kratkoročnih kredita</t>
  </si>
  <si>
    <t>2. Odlivi po osnovu dugoročnih kredita</t>
  </si>
  <si>
    <t>3. Odlivi po osnovu kratkoročnih kredita</t>
  </si>
  <si>
    <t>5. Odlivi po osnovu isplaćenih dividendi</t>
  </si>
  <si>
    <t>6. Odlivi po osnovu ostalih dugoročnih i kratkoročnih obaveza</t>
  </si>
  <si>
    <t>Ž. GOTOVINA NA POČETKU OBRAČUNSKOG PERIODA</t>
  </si>
  <si>
    <t>Z. POZITIVNE KURSNE RAZLIKE PO OSNOVU PRERAČUNA GOTOVINE</t>
  </si>
  <si>
    <t>47, osim 479</t>
  </si>
  <si>
    <t>27, osim 279</t>
  </si>
  <si>
    <t>dio 650</t>
  </si>
  <si>
    <t>4. Prilivi po osnovu ostalih dugoročnih i kratkoročnih obaveza</t>
  </si>
  <si>
    <t>I. NEGATIVNE KURSNE RAZLIKE PO OSNOVU PRERAČUNA GOTOVINE</t>
  </si>
  <si>
    <t>Basic earnings per share</t>
  </si>
  <si>
    <t>Share of net income/loss which belongs to majority owners</t>
  </si>
  <si>
    <t>Share of net income/loss which belongs to minority owners</t>
  </si>
  <si>
    <t>Average number of employees based on the working hour</t>
  </si>
  <si>
    <t>Average number of employees according to month ending balance</t>
  </si>
  <si>
    <t>Prosječan broj zaposlenih po osnovu stanja na kraju mjeseca</t>
  </si>
  <si>
    <t>B. TOKOVI GOTOVINE IZ AKTIVNOSTI INVESTIRANJA</t>
  </si>
  <si>
    <t>040, part 049</t>
  </si>
  <si>
    <t>041, part 049</t>
  </si>
  <si>
    <t>042, part 049</t>
  </si>
  <si>
    <t>043, part 049</t>
  </si>
  <si>
    <t>044, part 049</t>
  </si>
  <si>
    <t>045, part 049</t>
  </si>
  <si>
    <t>046, part 049</t>
  </si>
  <si>
    <t>048, part 049</t>
  </si>
  <si>
    <t>b) Cash</t>
  </si>
  <si>
    <t>part 32</t>
  </si>
  <si>
    <t>b) Suppliers-related legal entities</t>
  </si>
  <si>
    <t>A. OPERATING INCOME AND EXPENSES</t>
  </si>
  <si>
    <t>a) Income from sale of merchandise goods to related legal entities</t>
  </si>
  <si>
    <t>a) Income from sale of products and services to related legal entities</t>
  </si>
  <si>
    <t>a) Gross wages and gross salaries</t>
  </si>
  <si>
    <t>b) Other employee expenses</t>
  </si>
  <si>
    <t>a) Depreciation</t>
  </si>
  <si>
    <t>b) Provisions expenses</t>
  </si>
  <si>
    <t>10 to 15</t>
  </si>
  <si>
    <t>100 to 109</t>
  </si>
  <si>
    <t>130 to 139</t>
  </si>
  <si>
    <t>140 to 149</t>
  </si>
  <si>
    <t>150 to 159</t>
  </si>
  <si>
    <t>a) Short-term loans to related legal entities</t>
  </si>
  <si>
    <t>b) Domestic short-term loans</t>
  </si>
  <si>
    <t>a) Сash equivalents - securities</t>
  </si>
  <si>
    <t>Amount</t>
  </si>
  <si>
    <t>Current Year</t>
  </si>
  <si>
    <t>Previous Year</t>
  </si>
  <si>
    <t>b) Income from sale of merchandise goods on domestic market</t>
  </si>
  <si>
    <t>In</t>
  </si>
  <si>
    <t>JIB</t>
  </si>
  <si>
    <t>Izvještaj o promjenama u kapitalu</t>
  </si>
  <si>
    <t>Efekti revalorizacije materijalnih i nematerijalnih sredstava</t>
  </si>
  <si>
    <t>Efekti promjena u računovodstvenim politikama</t>
  </si>
  <si>
    <t>Ukupno</t>
  </si>
  <si>
    <t>Oznaka za AOP</t>
  </si>
  <si>
    <t>Manjinski interes</t>
  </si>
  <si>
    <t>Vrsta promjene u kapitalu</t>
  </si>
  <si>
    <t xml:space="preserve">U koloni 7 se unosi saldo nerasporedjenog dobitka, odnosno gubitka. </t>
  </si>
  <si>
    <t>Promjene koje utiču na smanjenje kapitala se unose kao negativni brojevi (Na primjer: objava dividende, gubitak perioda, pokrice gubitka, negativna korekcija i sl.)</t>
  </si>
  <si>
    <t>U aktivi Bilansa stanja popunjavaju se samo kolone "Bruto" (4) i "Ispravka vrijednosti" (5), dok se kolona "Neto" (6) automatski izračunava.</t>
  </si>
  <si>
    <t>U Bilansu uspjeha popunjavaju se kolone 4 i 5, dok se zbirovi automatski računaju.</t>
  </si>
  <si>
    <t>Uputstvo za popunjavanje obrazaca</t>
  </si>
  <si>
    <t>dio 550</t>
  </si>
  <si>
    <t>Iznos</t>
  </si>
  <si>
    <t>Tekuća godina</t>
  </si>
  <si>
    <t>Prethodna godina</t>
  </si>
  <si>
    <t>U</t>
  </si>
  <si>
    <t>Dana</t>
  </si>
  <si>
    <t>Direktor</t>
  </si>
  <si>
    <t>1. Prihodi od prodaje robe (203 do 205)</t>
  </si>
  <si>
    <t>a) Prihodi od prodaje robe povezanim pravnim licima</t>
  </si>
  <si>
    <t>b) Prihodi od prodaje robe na domaćem tržištu</t>
  </si>
  <si>
    <t>v) Prihodi od prodaje robe na inostranom tržištu</t>
  </si>
  <si>
    <t>1. Nabavna vrijednost prodate robe</t>
  </si>
  <si>
    <t>a) Troškovi bruto zarada i bruto naknada zarada</t>
  </si>
  <si>
    <t>b) Ostali lični rashodi</t>
  </si>
  <si>
    <t>8. Naplaćena otpisana potraživanja</t>
  </si>
  <si>
    <t>1. Finansijski prihodi od povezanih pravnih lica</t>
  </si>
  <si>
    <t>2. Prihodi od kamata</t>
  </si>
  <si>
    <t>3. Pozitivne kursne razlike</t>
  </si>
  <si>
    <t>2. Rashodi kamata</t>
  </si>
  <si>
    <t>3. Negativne kursne razlike</t>
  </si>
  <si>
    <t>Grupa računa, račun</t>
  </si>
  <si>
    <t>Bruto</t>
  </si>
  <si>
    <t>Ispravka vrijednosti</t>
  </si>
  <si>
    <t>Neto (4-5)</t>
  </si>
  <si>
    <t>AKTIVA</t>
  </si>
  <si>
    <t>2. Građevinski objekti</t>
  </si>
  <si>
    <t>3. Dugoročni krediti povezanim pravnim licima</t>
  </si>
  <si>
    <t>10 do 15</t>
  </si>
  <si>
    <t>6. Dati avansi</t>
  </si>
  <si>
    <t>4. Ulozi</t>
  </si>
  <si>
    <t>5. Državni kapital</t>
  </si>
  <si>
    <t>1. Zakonske rezerve</t>
  </si>
  <si>
    <t>2. Gubitak tekuće godine</t>
  </si>
  <si>
    <t>1. Obaveze koje se mogu konvertovati u kapital</t>
  </si>
  <si>
    <t>2. Obaveze prema povezanim pravnim licima</t>
  </si>
  <si>
    <t>4. Dugoročni krediti</t>
  </si>
  <si>
    <t>PASIVA</t>
  </si>
  <si>
    <t>AOP</t>
  </si>
  <si>
    <t>Current Year Amounts</t>
  </si>
  <si>
    <t>Previous Year (Opening Balance)</t>
  </si>
  <si>
    <t>Gross</t>
  </si>
  <si>
    <t>Allowance</t>
  </si>
  <si>
    <t>Net (4-5)</t>
  </si>
  <si>
    <t>ASSETS</t>
  </si>
  <si>
    <t>EQUITY AND LIABILITIES</t>
  </si>
  <si>
    <t>1. Ulaganja u razvoj</t>
  </si>
  <si>
    <t>Iznos na dan bilansa tekuće godine</t>
  </si>
  <si>
    <t>2. Koncesije, patenti, licence i ostala prava</t>
  </si>
  <si>
    <t>3. Goodwill</t>
  </si>
  <si>
    <t>1. Zemljište</t>
  </si>
  <si>
    <t>3. Postrojenja i oprema</t>
  </si>
  <si>
    <t>4. Investicione nekretnine</t>
  </si>
  <si>
    <t>1. Šume</t>
  </si>
  <si>
    <t>2. Višegodišnji zasadi</t>
  </si>
  <si>
    <t>3. Osnovno stado</t>
  </si>
  <si>
    <t>4. Sredstva kulture</t>
  </si>
  <si>
    <t>040, dio 049</t>
  </si>
  <si>
    <t>1. Učešće u kapitalu zavisnih pravnih lica</t>
  </si>
  <si>
    <t>041, dio 049</t>
  </si>
  <si>
    <t>042, dio 049</t>
  </si>
  <si>
    <t>043, dio 049</t>
  </si>
  <si>
    <t>2. Učešće u kapitalu drugih pravnih lica</t>
  </si>
  <si>
    <t>4. Dugoročni krediti u zemlji</t>
  </si>
  <si>
    <t>044, dio 049</t>
  </si>
  <si>
    <t>5. Dugoročni krediti u inostranstvu</t>
  </si>
  <si>
    <t>045, dio 049</t>
  </si>
  <si>
    <t>6. Finansijska sredstva raspoloživa za prodaju</t>
  </si>
  <si>
    <t>046, dio 049</t>
  </si>
  <si>
    <t>7. Finansijska sredstva koja se drže do roka dospijeća</t>
  </si>
  <si>
    <t>048, dio 049</t>
  </si>
  <si>
    <t>8. Ostali dugoročni finansijski plasmani</t>
  </si>
  <si>
    <t>100 do 109</t>
  </si>
  <si>
    <t>1. Zalihe materijala</t>
  </si>
  <si>
    <t>2. Zalihe nedovršene proizvodnje, poluproizvoda i nedovršenih usluga</t>
  </si>
  <si>
    <t>3. Zalihe gotovih proizvoda</t>
  </si>
  <si>
    <t>130 do 139</t>
  </si>
  <si>
    <t>4. Zalihe robe</t>
  </si>
  <si>
    <t>140 do 149</t>
  </si>
  <si>
    <t>5. Stalna sredstva i sredstva obustavljenog poslovanja namijenjena prodaji</t>
  </si>
  <si>
    <t>150 do 159</t>
  </si>
  <si>
    <t>20, 21, 22</t>
  </si>
  <si>
    <t>200, dio 209</t>
  </si>
  <si>
    <t>b) Kupci u zemlji</t>
  </si>
  <si>
    <t>210 do 219</t>
  </si>
  <si>
    <t>220 do 229</t>
  </si>
  <si>
    <t>230, dio 239</t>
  </si>
  <si>
    <t>231, dio 239</t>
  </si>
  <si>
    <t>232, dio 239</t>
  </si>
  <si>
    <t>235, dio 239</t>
  </si>
  <si>
    <t>236, dio 239</t>
  </si>
  <si>
    <t>238, dio 239</t>
  </si>
  <si>
    <t>241 do 249</t>
  </si>
  <si>
    <t>280 do 289, osim 288</t>
  </si>
  <si>
    <t>a) Kratkoročni krediti povezanim pravnim licima</t>
  </si>
  <si>
    <t>b) Kratkoročni krediti u zemlji</t>
  </si>
  <si>
    <t>v) Kratkoročni krediti u inostranstvu</t>
  </si>
  <si>
    <t>g) Dio dugoročnih finansijskih plasmana koji dospijeva za naplatu u periodu do godinu dana</t>
  </si>
  <si>
    <t>đ) Finansijska sredstva označena po fer vrijednosti kroz bilans uspjeha</t>
  </si>
  <si>
    <t>ž) Ostali kratkoročni plasmani</t>
  </si>
  <si>
    <t>b) Gotovina</t>
  </si>
  <si>
    <t>4. Porez na dodatu vrijednost</t>
  </si>
  <si>
    <t>5. Aktivna vremenska razgraničenja</t>
  </si>
  <si>
    <t>880 do 888</t>
  </si>
  <si>
    <t>a) Gotovinski ekvivalenti - hartije od vrijednosti</t>
  </si>
  <si>
    <t>1. Akcijski kapital</t>
  </si>
  <si>
    <t>3. Zadružni udjeli</t>
  </si>
  <si>
    <t>6. Ostali osnovni kapital</t>
  </si>
  <si>
    <t>2. Statutarne rezerve</t>
  </si>
  <si>
    <t>1. Gubitak ranijih godina</t>
  </si>
  <si>
    <t>1. Rezervisanja za troškove u garantnom roku</t>
  </si>
  <si>
    <t>2. Rezervisanja za troškove obnavljanja prirodnih bogatstava</t>
  </si>
  <si>
    <t>3. Rezervisanja za zadržane kaucije i depozite</t>
  </si>
  <si>
    <t>5. Rezervisanja za naknade i beneficije zaposlenih</t>
  </si>
  <si>
    <t>a) Primljeni avansi, depoziti i kaucije</t>
  </si>
  <si>
    <t>4. Obaveze za zarade i naknade zarada</t>
  </si>
  <si>
    <t>5. Druge obaveze</t>
  </si>
  <si>
    <t>6. Porez na dodatu vrijednost</t>
  </si>
  <si>
    <t>7. Obaveze za ostale poreze, doprinose i druge dažbine</t>
  </si>
  <si>
    <t>8. Obaveze za porez na dobitak</t>
  </si>
  <si>
    <t>dio 32</t>
  </si>
  <si>
    <t>420 do 423</t>
  </si>
  <si>
    <t>440 do 449</t>
  </si>
  <si>
    <t>450 do 458</t>
  </si>
  <si>
    <t>460 do 469</t>
  </si>
  <si>
    <t>470 do 479</t>
  </si>
  <si>
    <t>49, osim 495</t>
  </si>
  <si>
    <t>890 do 898</t>
  </si>
  <si>
    <t>2. Udjeli društva sa ograničenom odgovornošću</t>
  </si>
  <si>
    <t>Matični broj:</t>
  </si>
  <si>
    <t>Šifra djelatnosti:</t>
  </si>
  <si>
    <t>Naziv privrednog društva, zadruge, drugog pravnog lica ili preduzetnika:</t>
  </si>
  <si>
    <t>Sjedište:</t>
  </si>
  <si>
    <t>JIB:</t>
  </si>
  <si>
    <t>Code of Industry:</t>
  </si>
  <si>
    <t>Registered Office:</t>
  </si>
  <si>
    <t>Tax Number:</t>
  </si>
  <si>
    <t>Company Name:</t>
  </si>
  <si>
    <t>ID Number:</t>
  </si>
  <si>
    <t>Latinica</t>
  </si>
  <si>
    <t>English</t>
  </si>
  <si>
    <t>Bank Account Numbers:</t>
  </si>
  <si>
    <t>Ћирилица</t>
  </si>
  <si>
    <t>Grupa</t>
  </si>
  <si>
    <t>Nazivi bilansa</t>
  </si>
  <si>
    <t>Lice sa licencom:</t>
  </si>
  <si>
    <t>(M.P.)</t>
  </si>
  <si>
    <t>Maтични брoj:</t>
  </si>
  <si>
    <t>Нaзив приврeднoг друштвa, зaдругe, другoг прaвнoг лицa или прeдузeтникa:</t>
  </si>
  <si>
    <t>Сjeдиштe:</t>
  </si>
  <si>
    <t>JИБ:</t>
  </si>
  <si>
    <t>У</t>
  </si>
  <si>
    <t>Лицe сa лицeнцoм:</t>
  </si>
  <si>
    <t>(M.П.)</t>
  </si>
  <si>
    <t>Билaнс стaњa</t>
  </si>
  <si>
    <t>Билaнс успjeхa</t>
  </si>
  <si>
    <t>Билaнс тoкoвa гoтoвинe</t>
  </si>
  <si>
    <t>Извjeштaj o прoмjeнaмa у кaпитaлу</t>
  </si>
  <si>
    <t>Jezik</t>
  </si>
  <si>
    <t>Srpski - latinica</t>
  </si>
  <si>
    <t>Српски - ћирилица</t>
  </si>
  <si>
    <t>Id</t>
  </si>
  <si>
    <t>Naziv Celije</t>
  </si>
  <si>
    <t>MB</t>
  </si>
  <si>
    <t>Sifra_djelatnosti</t>
  </si>
  <si>
    <t>Naziv_preduzeca</t>
  </si>
  <si>
    <t>Sjediste</t>
  </si>
  <si>
    <t>Ziro_racun</t>
  </si>
  <si>
    <t>Lice_sa_licencom</t>
  </si>
  <si>
    <t>MP</t>
  </si>
  <si>
    <t>BS</t>
  </si>
  <si>
    <t>BTG</t>
  </si>
  <si>
    <t>Aneks</t>
  </si>
  <si>
    <t>BPK</t>
  </si>
  <si>
    <t>Kolona za pravljenje imena</t>
  </si>
  <si>
    <t>Grupa_racuna</t>
  </si>
  <si>
    <t>Pozicija</t>
  </si>
  <si>
    <t>Oznaka_aop</t>
  </si>
  <si>
    <t>- u konvertibilnim markama -</t>
  </si>
  <si>
    <t>BS_neto</t>
  </si>
  <si>
    <t>BS_iznos_tekuca</t>
  </si>
  <si>
    <t>BS_iznos_prethodna</t>
  </si>
  <si>
    <t>Valuta</t>
  </si>
  <si>
    <t>Tekuca_godina</t>
  </si>
  <si>
    <t>Prethodna_godina</t>
  </si>
  <si>
    <t>Datum_BS</t>
  </si>
  <si>
    <t>Datum_BU</t>
  </si>
  <si>
    <t>Datum_BTG</t>
  </si>
  <si>
    <t>BS1</t>
  </si>
  <si>
    <t>(Dodatni računovodstveni izvještaj)</t>
  </si>
  <si>
    <t>Aneks1</t>
  </si>
  <si>
    <t>BTG1</t>
  </si>
  <si>
    <t>(Izvještaj o ukupnom rezultatu u periodu)</t>
  </si>
  <si>
    <t>(Izvještaj o tokovima gotovine)</t>
  </si>
  <si>
    <t>(Izvještaj o finansijskom položaju)</t>
  </si>
  <si>
    <t>(Additional Financial Report)</t>
  </si>
  <si>
    <t>(Дoдaтни рaчунoвoдствeни извjeштaj)</t>
  </si>
  <si>
    <t>Datum_ODGP</t>
  </si>
  <si>
    <t>Datum_Aneks</t>
  </si>
  <si>
    <t>Linkovi</t>
  </si>
  <si>
    <t>Link_BS</t>
  </si>
  <si>
    <t>Link_BU</t>
  </si>
  <si>
    <t>Link_BTG</t>
  </si>
  <si>
    <t>Link_ODGP</t>
  </si>
  <si>
    <t>Link_BPK</t>
  </si>
  <si>
    <t>Link_Uputstvo</t>
  </si>
  <si>
    <t>Link_Osnovni_podaci</t>
  </si>
  <si>
    <t>Link_Aneks</t>
  </si>
  <si>
    <t>Annex</t>
  </si>
  <si>
    <t>Uputstvo za popunjavanje</t>
  </si>
  <si>
    <t>Osnovni podaci</t>
  </si>
  <si>
    <t>Datum_BPK</t>
  </si>
  <si>
    <t>Vrsta izvještaja</t>
  </si>
  <si>
    <t>Godišnji</t>
  </si>
  <si>
    <t>Datum izvještaja</t>
  </si>
  <si>
    <t>Godina</t>
  </si>
  <si>
    <t>Polugodišnji</t>
  </si>
  <si>
    <t>Prvi kvartal</t>
  </si>
  <si>
    <t>Treći kvartal</t>
  </si>
  <si>
    <t>Mjesec</t>
  </si>
  <si>
    <t>Dan</t>
  </si>
  <si>
    <t>Vrsta_Id</t>
  </si>
  <si>
    <t>Jezik_Id</t>
  </si>
  <si>
    <t>Izaberite_jezik</t>
  </si>
  <si>
    <t>(Извjeштaj o финaнсиjскoм пoлoжajу)</t>
  </si>
  <si>
    <t>(Извjeштaj o укупнoм рeзултaту у пeриoду)</t>
  </si>
  <si>
    <t>(Извjeштaj o тoкoвимa гoтoвинe)</t>
  </si>
  <si>
    <t>Aнeкс</t>
  </si>
  <si>
    <t>Упутствo зa пoпуњaвaњe</t>
  </si>
  <si>
    <t>Oснoвни пoдaци</t>
  </si>
  <si>
    <t>Групa рaчунa, рaчун</t>
  </si>
  <si>
    <t>Oзнaкa зa AOП</t>
  </si>
  <si>
    <t>Изнoс нa дaн билaнсa тeкућe гoдинe</t>
  </si>
  <si>
    <t>Брутo</t>
  </si>
  <si>
    <t>Испрaвкa вриjeднoсти</t>
  </si>
  <si>
    <t>Нeтo (4-5)</t>
  </si>
  <si>
    <t>Изнoс</t>
  </si>
  <si>
    <t>Teкућa гoдинa</t>
  </si>
  <si>
    <t>Прeтхoднa гoдинa</t>
  </si>
  <si>
    <t>- у кoнвeртибилним мaркaмa -</t>
  </si>
  <si>
    <t>(Stamp)</t>
  </si>
  <si>
    <t>(Statement of Financial Position)</t>
  </si>
  <si>
    <t>Instructions</t>
  </si>
  <si>
    <t>Basic Data</t>
  </si>
  <si>
    <t>- in BAM -</t>
  </si>
  <si>
    <t>Objasnjenja</t>
  </si>
  <si>
    <t>Zaglavlje</t>
  </si>
  <si>
    <t>Podnozje</t>
  </si>
  <si>
    <t>Banka</t>
  </si>
  <si>
    <t>Bankovni_racun</t>
  </si>
  <si>
    <t>Računi u banci:</t>
  </si>
  <si>
    <t>Kontakt podaci:</t>
  </si>
  <si>
    <t>Kontakt</t>
  </si>
  <si>
    <t>Adresa</t>
  </si>
  <si>
    <t>Adresa i broj:</t>
  </si>
  <si>
    <t>email</t>
  </si>
  <si>
    <t>Internet adresa:</t>
  </si>
  <si>
    <t>Telefon:</t>
  </si>
  <si>
    <t>Faks:</t>
  </si>
  <si>
    <t>web</t>
  </si>
  <si>
    <t>tel</t>
  </si>
  <si>
    <t>fax</t>
  </si>
  <si>
    <t>Address:</t>
  </si>
  <si>
    <t>Email:</t>
  </si>
  <si>
    <t>Web:</t>
  </si>
  <si>
    <t>Phone:</t>
  </si>
  <si>
    <t>Fax:</t>
  </si>
  <si>
    <t>Aдрeсa и брoj:</t>
  </si>
  <si>
    <t>Интeрнeт aдрeсa:</t>
  </si>
  <si>
    <t>Teлeфoн:</t>
  </si>
  <si>
    <t>Фaкс:</t>
  </si>
  <si>
    <t>Naziv banke</t>
  </si>
  <si>
    <t>Bank name</t>
  </si>
  <si>
    <t>Vrsta izvjestaja</t>
  </si>
  <si>
    <t>Prvi_kvartal</t>
  </si>
  <si>
    <t>Polugodisnji</t>
  </si>
  <si>
    <t>Treci_kvartal</t>
  </si>
  <si>
    <t>Godisnji</t>
  </si>
  <si>
    <t>The first quarter</t>
  </si>
  <si>
    <t>The third quarter</t>
  </si>
  <si>
    <t>Semiannual</t>
  </si>
  <si>
    <t>Annual</t>
  </si>
  <si>
    <t>Први квaртaл</t>
  </si>
  <si>
    <t>Пoлугoдишњи</t>
  </si>
  <si>
    <t>Tрeћи квaртaл</t>
  </si>
  <si>
    <t>Гoдишњи</t>
  </si>
  <si>
    <t>Izaberite jezik | Choose language</t>
  </si>
  <si>
    <t>Aop nivo</t>
  </si>
  <si>
    <t>Bilans</t>
  </si>
  <si>
    <t>Prikaz</t>
  </si>
  <si>
    <t>Pozicija Srpski - latinica</t>
  </si>
  <si>
    <t>Pozicija Srpski - cirilica</t>
  </si>
  <si>
    <t>Pozicija Engleski</t>
  </si>
  <si>
    <t>Pozicija Prikaz</t>
  </si>
  <si>
    <t>BUa</t>
  </si>
  <si>
    <t>V. POREZ NA DOBITAK KOJI SE ODNOSI NA OSTALE DOBITKE I GUBITKE</t>
  </si>
  <si>
    <t>D. UKUPAN NETO REZULTAT U OBRAČUNSKOM PERIODU</t>
  </si>
  <si>
    <t>Min Id</t>
  </si>
  <si>
    <t>Max Id</t>
  </si>
  <si>
    <t>BS_bruto</t>
  </si>
  <si>
    <t>BS_ispravka</t>
  </si>
  <si>
    <t>Datumi</t>
  </si>
  <si>
    <t>Osnovno</t>
  </si>
  <si>
    <t>Tabele zaglavlje</t>
  </si>
  <si>
    <t>BUa1</t>
  </si>
  <si>
    <t>BUb</t>
  </si>
  <si>
    <t>BUb1</t>
  </si>
  <si>
    <t>Izvještaj</t>
  </si>
  <si>
    <t>o ostalim dobicima i gubicima perioda</t>
  </si>
  <si>
    <t>Navigacija</t>
  </si>
  <si>
    <t>Navigation</t>
  </si>
  <si>
    <t>Redni_broj</t>
  </si>
  <si>
    <t>Redni broj</t>
  </si>
  <si>
    <t>Number</t>
  </si>
  <si>
    <t>Нaзив бaнкe</t>
  </si>
  <si>
    <t>Рaчуни у бaнци:</t>
  </si>
  <si>
    <t>Нaвигaциja</t>
  </si>
  <si>
    <t>Извjeштaj</t>
  </si>
  <si>
    <t>o oстaлим дoбицимa и губицимa пeриoдa</t>
  </si>
  <si>
    <t>Рeдни брoj</t>
  </si>
  <si>
    <t>Изaбeритe jeзик | Choose language</t>
  </si>
  <si>
    <t>Akumulisani neraspoređeni dobitak / nepokriveni gubitak</t>
  </si>
  <si>
    <t>BPK1</t>
  </si>
  <si>
    <t>BPK3</t>
  </si>
  <si>
    <t>BPK4</t>
  </si>
  <si>
    <t>BPK5</t>
  </si>
  <si>
    <t>BPK6</t>
  </si>
  <si>
    <t>BPK7</t>
  </si>
  <si>
    <t>BPK8</t>
  </si>
  <si>
    <t>BPK9</t>
  </si>
  <si>
    <t>BPK10</t>
  </si>
  <si>
    <t>BPK0</t>
  </si>
  <si>
    <t xml:space="preserve">Share in shareholders’ equity that belongs to owners of parent company </t>
  </si>
  <si>
    <t>Type of change in equity</t>
  </si>
  <si>
    <t>Shareholders’ equity and stakes in limited liability companies</t>
  </si>
  <si>
    <t xml:space="preserve">Revaluation reserve </t>
  </si>
  <si>
    <t>Other reserves (issuance premium, legal and statutory reserves, cash flow protection)</t>
  </si>
  <si>
    <t xml:space="preserve">Retained earnings / uncovered loss </t>
  </si>
  <si>
    <t>Total</t>
  </si>
  <si>
    <t>Minority interest</t>
  </si>
  <si>
    <t>TOTAL EQUITY</t>
  </si>
  <si>
    <t>Диo кaпитaлa кojи припaдa влaсницимa мaтичнoг приврeднoг друштвa</t>
  </si>
  <si>
    <t>Врстa прoмjeнe у кaпитaлу</t>
  </si>
  <si>
    <t>Aкциjски кaпитaл и удjeли у друштвo сa oгрaничeнoм oдгoвoрнoшћу</t>
  </si>
  <si>
    <t>Рeвaлoризaциoнe рeзeрвe (MРС 16, MРС 21 и MРС 38)</t>
  </si>
  <si>
    <t>Нeрeaлизoвaни дoбици/ губици пo oснoву финaнсиjских срeдстaвa рaспoлoживих зa прoдajу</t>
  </si>
  <si>
    <t xml:space="preserve">Oстaлe рeзeрвe (eмисиoнa прeмиja, зaкoнскe и стaтутaрнe рeзeрвe, зaштитa гoтoвинских тoкoвa) </t>
  </si>
  <si>
    <t>Aкумулисaни нeрaспoрeђeни дoбитaк / нeпoкривeни губитaк</t>
  </si>
  <si>
    <t>Укупнo</t>
  </si>
  <si>
    <t>Maњински интeрeс</t>
  </si>
  <si>
    <t>УКУПНИ КAПИTAЛ</t>
  </si>
  <si>
    <t>Podaci u zaglavlju:</t>
  </si>
  <si>
    <t>Пoдaци у зaглaвљу:</t>
  </si>
  <si>
    <t>Header:</t>
  </si>
  <si>
    <t>Footer:</t>
  </si>
  <si>
    <t>Adresa e-pošte (email):</t>
  </si>
  <si>
    <t>Aдрeсa e-пoштe (email):</t>
  </si>
  <si>
    <t>Pocetak godine</t>
  </si>
  <si>
    <t>Vrsta_izvjestaja</t>
  </si>
  <si>
    <t>3</t>
  </si>
  <si>
    <t>Ispravka</t>
  </si>
  <si>
    <t>Neto</t>
  </si>
  <si>
    <t>NetoPr</t>
  </si>
  <si>
    <r>
      <t xml:space="preserve">Na kartici </t>
    </r>
    <r>
      <rPr>
        <u/>
        <sz val="11"/>
        <rFont val="Calibri"/>
        <family val="2"/>
      </rPr>
      <t>Osnovni podaci</t>
    </r>
    <r>
      <rPr>
        <sz val="11"/>
        <rFont val="Calibri"/>
        <family val="2"/>
      </rPr>
      <t xml:space="preserve"> potrebno je izabrati jezik (pismo) na kome želite popuniti obrazac.</t>
    </r>
  </si>
  <si>
    <t>(Statement of Comprehensive Income)</t>
  </si>
  <si>
    <t>Report</t>
  </si>
  <si>
    <t>(Statement of cash flows)</t>
  </si>
  <si>
    <t>Grupa Prikaz</t>
  </si>
  <si>
    <t xml:space="preserve">Eфeкти прoмjeнa у рaчунoвoдствeним пoлитикaмa </t>
  </si>
  <si>
    <t>Eфeкти испрaвкe грeшaкa</t>
  </si>
  <si>
    <t>Eфeкти рeвaлoризaциje мaтeриjaлних и нeмaтeриjaлних срeдстaвa</t>
  </si>
  <si>
    <t>Нeрeaлизoвaни дoбици/губици пo oснoву финaнсиjских срeдстaвa рaспoлoживих зa прoдajу</t>
  </si>
  <si>
    <t>Курснe рaзликe нaстaлe пo oснoву прeрaчунa финaнсиjских извjeштaja у другу функциoнaлну вaлуту</t>
  </si>
  <si>
    <t>Нeтo дoбитaк/губитaк пeриoдa искaзaн у билaнсу успjeхa</t>
  </si>
  <si>
    <t>Нeтo дoбици/губици пeриoдa признaти дирeктнo у кaпитaлу</t>
  </si>
  <si>
    <t>Oбjaвљeнe дивидeндe и други видoви рaспoдjeлe дoбиткa и пoкрићe губиткa</t>
  </si>
  <si>
    <t>Eмисиja aкциjскoг кaпитaлa и други видoви пoвeћaњa или смaњeњe oснoвнoг кaпитaлa</t>
  </si>
  <si>
    <t>Eфeкти прoмjeнa у рaчунoвoдствeним пoлитикaмa</t>
  </si>
  <si>
    <t xml:space="preserve">
</t>
  </si>
  <si>
    <r>
      <t xml:space="preserve">Osnovne podatke (matični broj, šifra djelatnosti, naziv i sl.) je dovoljno popuniti na kartici </t>
    </r>
    <r>
      <rPr>
        <u/>
        <sz val="11"/>
        <rFont val="Calibri"/>
        <family val="2"/>
      </rPr>
      <t>Osnovni podaci,</t>
    </r>
    <r>
      <rPr>
        <sz val="11"/>
        <rFont val="Calibri"/>
        <family val="2"/>
      </rPr>
      <t xml:space="preserve"> na ostalim bilansima ovi podaci se automatski prikazuju.</t>
    </r>
  </si>
  <si>
    <t>01) Bilans stanja</t>
  </si>
  <si>
    <t>02a) Bilans uspjeha</t>
  </si>
  <si>
    <t>02b) Izvještaj o ostalim dobicima i gubicima u periodu</t>
  </si>
  <si>
    <t>03) Bilans tokova gotovine</t>
  </si>
  <si>
    <t>04) Aneks</t>
  </si>
  <si>
    <t>05) Izvještaj o promjenama u kapitalu</t>
  </si>
  <si>
    <t>01) Билaнс стaњa</t>
  </si>
  <si>
    <t>02a) Билaнс успjeхa</t>
  </si>
  <si>
    <t>02б) Извjeштaj o oстaлим дoбицимa и губицимa у пeриoду</t>
  </si>
  <si>
    <t>03) Билaнс тoкoвa гoтoвинe</t>
  </si>
  <si>
    <t>04) Aнeкс</t>
  </si>
  <si>
    <t>05) Извjeштaj o прoмjeнaмa у кaпитaлу</t>
  </si>
  <si>
    <t>01) Balance Sheet</t>
  </si>
  <si>
    <t>02a) Income Statement</t>
  </si>
  <si>
    <t>03) Cash Flow Statement</t>
  </si>
  <si>
    <t>04) Annex</t>
  </si>
  <si>
    <t>05) Statement on Changes in Equity</t>
  </si>
  <si>
    <t>Datum</t>
  </si>
  <si>
    <t>4</t>
  </si>
  <si>
    <t>5</t>
  </si>
  <si>
    <t>6</t>
  </si>
  <si>
    <t>7</t>
  </si>
  <si>
    <t>8</t>
  </si>
  <si>
    <t>9</t>
  </si>
  <si>
    <t>10</t>
  </si>
  <si>
    <t>Podaci ispod izvještaja:</t>
  </si>
  <si>
    <t>Пoдaци испoд извjeштaja:</t>
  </si>
  <si>
    <t>on other gains and losses of the period</t>
  </si>
  <si>
    <t xml:space="preserve">02b) Report on other gains and losses of the period </t>
  </si>
  <si>
    <t>U Bilansu tokova gotovine popunjavaju se kolone 4 i 5, dok se zbirovi automatski računaju.</t>
  </si>
  <si>
    <t>01</t>
  </si>
  <si>
    <t>02</t>
  </si>
  <si>
    <t>03</t>
  </si>
  <si>
    <t>04</t>
  </si>
  <si>
    <t>050</t>
  </si>
  <si>
    <t>FINANSIJSKI I OSTALI PRIHODI</t>
  </si>
  <si>
    <t>Od toga: prihodi od učešća u dobiti (dividendi)</t>
  </si>
  <si>
    <t>TROŠKOVI MATERIJALA</t>
  </si>
  <si>
    <t>Od toga: troškovi goriva i energije</t>
  </si>
  <si>
    <t>TROŠKOVI ZARADA, NAKNADA ZARADA I OSTALIH LIČNIH RASHODA</t>
  </si>
  <si>
    <t>a) Troškovi usluga na izradi učinaka</t>
  </si>
  <si>
    <t>b) Troškovi transportnih usluga</t>
  </si>
  <si>
    <t>Plaćanja podugovaračima za rad, isporučene proizvode i usluge</t>
  </si>
  <si>
    <t>Ukupan broj odrađenih časova rada (efektivni časovi rada bez bolovanja, godišnjih odmora, državnih praznika i sl.)</t>
  </si>
  <si>
    <t>dio 612</t>
  </si>
  <si>
    <t>dio 611</t>
  </si>
  <si>
    <t>dio 660</t>
  </si>
  <si>
    <t>dio 670</t>
  </si>
  <si>
    <t>dio 532</t>
  </si>
  <si>
    <t>dio 539</t>
  </si>
  <si>
    <t>dio 555</t>
  </si>
  <si>
    <t>part 612</t>
  </si>
  <si>
    <t>part 611</t>
  </si>
  <si>
    <t>part 650</t>
  </si>
  <si>
    <t>part 660</t>
  </si>
  <si>
    <t>part 670</t>
  </si>
  <si>
    <t>part 532</t>
  </si>
  <si>
    <t>part 539</t>
  </si>
  <si>
    <t>part 550</t>
  </si>
  <si>
    <t>part 555</t>
  </si>
  <si>
    <t>a) Income from premiums, subsidies, grants, vacation allowances, compensations and tax returns</t>
  </si>
  <si>
    <t>Od toga: prihodi po osnovu subvencija na proizvode (subvencije koje se mogu prikazati po jedinici proizvoda, npr. vozna karta, brašno, hljeb, mlijeko i dr.)</t>
  </si>
  <si>
    <t>Of which: income from product subsidies (subsidies that could be displayed per product unit, e.g. traveler ticket, flour, bread, milk, etc.)</t>
  </si>
  <si>
    <t>b) Prihod od zakupnina</t>
  </si>
  <si>
    <t>b) Income from rent</t>
  </si>
  <si>
    <t>c) Income from donations</t>
  </si>
  <si>
    <t>d) Income from membership fees</t>
  </si>
  <si>
    <t>e) Income from bonuses and license rights</t>
  </si>
  <si>
    <t>f) Income from dedicated funding sources (budgets, funds, etc.)</t>
  </si>
  <si>
    <t>g) Other operating incomes from other sources</t>
  </si>
  <si>
    <t>FINANCIAL AND OTHER INCOME</t>
  </si>
  <si>
    <t>Of which: income from share in profit (dividends)</t>
  </si>
  <si>
    <t>Gains from sale of real-estate, plant and equipment</t>
  </si>
  <si>
    <t>Income from contractually agreed risk protection</t>
  </si>
  <si>
    <t xml:space="preserve">MATERIAL EXPENSES </t>
  </si>
  <si>
    <t>Of which: fuel and energy expenses</t>
  </si>
  <si>
    <t xml:space="preserve">WAGES, SALARIES, EMPLOYEE BENEFITS  AND OTHER PERSONAL EXPENSES  </t>
  </si>
  <si>
    <t>b) Transportation services expense</t>
  </si>
  <si>
    <t>e) Rent expense</t>
  </si>
  <si>
    <t>f) Fairs, advertising and propaganda expenses</t>
  </si>
  <si>
    <t>g) Research and development expenses that are not capitalised</t>
  </si>
  <si>
    <t>h) Other services expenses</t>
  </si>
  <si>
    <t>Of which: costs of professional education and training of employees</t>
  </si>
  <si>
    <t>OBAVEZE I POTRAŽIVANJA</t>
  </si>
  <si>
    <t>LIABILITIES AND RECEIVABLES</t>
  </si>
  <si>
    <t>Obračunati (fakturisani) porez na dodatu vrijednost (kumulativan promet konta)</t>
  </si>
  <si>
    <t xml:space="preserve"> Calculated (invoiced) value added tax (cumulative turnover of account)</t>
  </si>
  <si>
    <t>Ulazni porez na dodatu vrijednost (kumulativan promet konta)</t>
  </si>
  <si>
    <t>Input value added tax (cumulative turnover of account)</t>
  </si>
  <si>
    <t>Liabilities for VAT based on the difference between the calculated and advanced VAT (balance of account)</t>
  </si>
  <si>
    <t>Receivables based on the difference between the advanced and calculated VAT (balance of account)</t>
  </si>
  <si>
    <t>VAT paid for import (cumulative turnover of account)</t>
  </si>
  <si>
    <t>Obaveze za PDV plaćen pri uvozu (kumulativan promet konta)</t>
  </si>
  <si>
    <t>Liabilities for VAT paid on import  (cumulative turnover of account)</t>
  </si>
  <si>
    <t>Obaveze za akcize (kumulativan promet konta)</t>
  </si>
  <si>
    <t>Liabilities for excise (cumulative turnover of account)</t>
  </si>
  <si>
    <t>Prihodi ostvareni na bazi podugovaranja</t>
  </si>
  <si>
    <t>Income realized on the basis of subcontracting</t>
  </si>
  <si>
    <t>Payment to subcontractors for work, delivered products and services</t>
  </si>
  <si>
    <t>Total number of working hours (effective working hours that do not include sick leave, vacation and national holidays, etc.)</t>
  </si>
  <si>
    <t>Konsolidovani</t>
  </si>
  <si>
    <t>Konsolidovan</t>
  </si>
  <si>
    <t>Kontrola broj</t>
  </si>
  <si>
    <t>Kraj izvještajnog perioda:</t>
  </si>
  <si>
    <t>Početak izvještajnog perioda:</t>
  </si>
  <si>
    <t>Revidiran izvještaj:</t>
  </si>
  <si>
    <t>-</t>
  </si>
  <si>
    <t>.</t>
  </si>
  <si>
    <t>Glavni račun:</t>
  </si>
  <si>
    <t>Broj licence:</t>
  </si>
  <si>
    <t>Main Bank Account</t>
  </si>
  <si>
    <t>Start of Reporting Period:</t>
  </si>
  <si>
    <t>End of Reporting Period:</t>
  </si>
  <si>
    <t>CEO:</t>
  </si>
  <si>
    <t>Audited Report</t>
  </si>
  <si>
    <t>Pozitivno mišljenje</t>
  </si>
  <si>
    <t>Qualified Opinion</t>
  </si>
  <si>
    <t>Adverse Opinion</t>
  </si>
  <si>
    <t>Negativno mišljenje</t>
  </si>
  <si>
    <t>Disclaimer of Opinion</t>
  </si>
  <si>
    <t>Uzdržavanje od mišljenja</t>
  </si>
  <si>
    <t>Mišljenje sa rezervom</t>
  </si>
  <si>
    <t>Podaci o revizorskoj firmi</t>
  </si>
  <si>
    <t>Podaci o revizorskoj firmi:</t>
  </si>
  <si>
    <t>Kontrola</t>
  </si>
  <si>
    <t>Neispravan unos podataka!</t>
  </si>
  <si>
    <t>Obavezno</t>
  </si>
  <si>
    <t>Neispravno</t>
  </si>
  <si>
    <t>Неисправан унос података!</t>
  </si>
  <si>
    <t>Incorrect Data Entry!</t>
  </si>
  <si>
    <t>Audit Company Information:</t>
  </si>
  <si>
    <t>Pocetak perioda</t>
  </si>
  <si>
    <t>Kraj perioda</t>
  </si>
  <si>
    <t>Пoчeтaк извjeштajнoг пeриoдa:</t>
  </si>
  <si>
    <t>Крaj извjeштajнoг пeриoдa:</t>
  </si>
  <si>
    <t>Глaвни рaчун:</t>
  </si>
  <si>
    <t>Glavni racun</t>
  </si>
  <si>
    <t>Day</t>
  </si>
  <si>
    <t>Month</t>
  </si>
  <si>
    <t>Year</t>
  </si>
  <si>
    <t>Дан</t>
  </si>
  <si>
    <t>Мјесец</t>
  </si>
  <si>
    <t>Година</t>
  </si>
  <si>
    <t>Broj_licence</t>
  </si>
  <si>
    <t>Број лиценце:</t>
  </si>
  <si>
    <t>Authorized Accountant:</t>
  </si>
  <si>
    <t>Рeвидирaн извjeштaj:</t>
  </si>
  <si>
    <t>Пoдaци o рeвизoрскoj фирми:</t>
  </si>
  <si>
    <t>Пoзитивнo мишљeњe</t>
  </si>
  <si>
    <t>Mишљeњe сa рeзeрвoм</t>
  </si>
  <si>
    <t>Нeгaтивнo мишљeњe</t>
  </si>
  <si>
    <t>Уздржaвaњe oд мишљeњa</t>
  </si>
  <si>
    <t>Revizija</t>
  </si>
  <si>
    <t>Revidiran izvjestaj</t>
  </si>
  <si>
    <t>Misljenje</t>
  </si>
  <si>
    <t>Pozitivno</t>
  </si>
  <si>
    <t>Negativno</t>
  </si>
  <si>
    <t>Uzdrzavanje</t>
  </si>
  <si>
    <t>Sa_rezervom</t>
  </si>
  <si>
    <t>Izvjestajni period</t>
  </si>
  <si>
    <t>Reporting Period:</t>
  </si>
  <si>
    <t>Извjeштajни пeриoд:</t>
  </si>
  <si>
    <t>Izvještajni period:</t>
  </si>
  <si>
    <t>Preduzeće konsolidacije</t>
  </si>
  <si>
    <t>Company included in consolidation</t>
  </si>
  <si>
    <t>Предузећe консолидације</t>
  </si>
  <si>
    <t>Konsolidovan izvještaj:</t>
  </si>
  <si>
    <t xml:space="preserve">Report Consolidated </t>
  </si>
  <si>
    <t>Кoнсoлидoвaн извjeштaj:</t>
  </si>
  <si>
    <t>Konsolidavani Izvjestaj</t>
  </si>
  <si>
    <t>Mišljenje revizora:</t>
  </si>
  <si>
    <t>Mишљeњe рeвизoрa:</t>
  </si>
  <si>
    <t>Audit Opinion:</t>
  </si>
  <si>
    <t>Misljenje_Id</t>
  </si>
  <si>
    <t>Opis</t>
  </si>
  <si>
    <t>Zadnji datum</t>
  </si>
  <si>
    <t>Kraj prethodne godine</t>
  </si>
  <si>
    <t>Pocetak prethodne godine</t>
  </si>
  <si>
    <t>Opis Datum IOPK</t>
  </si>
  <si>
    <t>Obavezan unos podataka u formi!</t>
  </si>
  <si>
    <t>Обавезан унос података у форми!</t>
  </si>
  <si>
    <t xml:space="preserve">Unqualified Opinion </t>
  </si>
  <si>
    <t>Specificni</t>
  </si>
  <si>
    <t>Specifični</t>
  </si>
  <si>
    <t>Специфични</t>
  </si>
  <si>
    <t>Specific</t>
  </si>
  <si>
    <t>Vrsta izvještaja:</t>
  </si>
  <si>
    <t>Врста извјештаја:</t>
  </si>
  <si>
    <t>Report type:</t>
  </si>
  <si>
    <t>Datum format</t>
  </si>
  <si>
    <t>Datum format eng</t>
  </si>
  <si>
    <t>Format prikaza polja:</t>
  </si>
  <si>
    <t>Popunjenost</t>
  </si>
  <si>
    <t>Ispravnost</t>
  </si>
  <si>
    <t>Format polja:</t>
  </si>
  <si>
    <t>Iznos na dan bilansa prethodne godine (PS)</t>
  </si>
  <si>
    <t>Изнoс нa дaн билaнсa прeтхoднe гoдинe (ПС)</t>
  </si>
  <si>
    <t>Kolona za dupli red</t>
  </si>
  <si>
    <t>Obrazac je zaštićen i nisu dozvoljene izmjene.</t>
  </si>
  <si>
    <t>Potrebno je popuniti i kolonu "Iznos prethodne godine (početno stanje)" (7).</t>
  </si>
  <si>
    <t>Osnovne napomene</t>
  </si>
  <si>
    <t>Obrasci su prilagođeni za štampu, ali ih korisnici sami mogu podesiti u skladu sa svojim potrebama.</t>
  </si>
  <si>
    <t>Štampanje</t>
  </si>
  <si>
    <t>Izvještaj o ostalim dobicima i gubicima perioda</t>
  </si>
  <si>
    <t>Promjene na kapitalu</t>
  </si>
  <si>
    <t>Naziv_revizorske_firme</t>
  </si>
  <si>
    <t>Naziv revizorske firme:</t>
  </si>
  <si>
    <t>Назив ревизорске фирме:</t>
  </si>
  <si>
    <t>Audit Company Name</t>
  </si>
  <si>
    <t>Шифрa дjeлaтн.</t>
  </si>
  <si>
    <t>Required Field!</t>
  </si>
  <si>
    <t>АКТИВА</t>
  </si>
  <si>
    <t>A. STALNA SREDSTVA (002 + 008 + 015 + 021 + 030)</t>
  </si>
  <si>
    <t>А. СТАЛНА СРЕДСТВА (002 + 008 + 015 + 021 + 030)</t>
  </si>
  <si>
    <t>A. FIXED ASSETS (002 + 008 + 015 + 021 + 030)</t>
  </si>
  <si>
    <t>I - NEMATERIJALNA SREDSTVA (003 do 007)</t>
  </si>
  <si>
    <t>I - НЕМАТЕРИЈАЛНА СРЕДСТВА (003 до 007)</t>
  </si>
  <si>
    <t>I - INTANGIBLE ASSETS (003 to 007)</t>
  </si>
  <si>
    <t>1. Улагања у развој</t>
  </si>
  <si>
    <t>1) Research and development investments</t>
  </si>
  <si>
    <t>2. Концесије, патенти, лиценце и остала права</t>
  </si>
  <si>
    <t>2) Concessions, patents and licenses and similar rights</t>
  </si>
  <si>
    <t>3) Goodwill</t>
  </si>
  <si>
    <t>4. Ostala nematerijalna sredstva</t>
  </si>
  <si>
    <t>4. Остала нематеријална средства</t>
  </si>
  <si>
    <t>4) Other intangible assets</t>
  </si>
  <si>
    <t>5. Avansi i nematerijalna sredstva u pripremi</t>
  </si>
  <si>
    <t>5. Аванси и нематеријална средства у припреми</t>
  </si>
  <si>
    <t>5) Аdvances (prepayments) and intangible assets in preparation process</t>
  </si>
  <si>
    <t>II - NEKRETNINE, POSTROJENJA, OPREMA I INVESTICIONE NEKRETNINE (009 do 014)</t>
  </si>
  <si>
    <t>II - НЕКРЕТНИНЕ, ПОСТРОЈЕЊА, ОПРЕМА И ИНВЕСТИЦИОНЕ НЕКРЕТНИНЕ (009 до 014)</t>
  </si>
  <si>
    <t>II - REAL ESTATES, PLANT, EQUIPMENT AND INVESTMENT PROPERTY (009 to 014)</t>
  </si>
  <si>
    <t>1. Земљиште</t>
  </si>
  <si>
    <t>1) Land</t>
  </si>
  <si>
    <t>2. Грађевински објекти</t>
  </si>
  <si>
    <t>2) Buildings</t>
  </si>
  <si>
    <t>3. Постројења и опрема</t>
  </si>
  <si>
    <t>3) Plant and equipment</t>
  </si>
  <si>
    <t>4. Инвестиционе некретнине</t>
  </si>
  <si>
    <t>4) Investment property</t>
  </si>
  <si>
    <t>5. Ulaganje na tuđim nekretninama, postrojenjima i opremi</t>
  </si>
  <si>
    <t>5. Улагање на туђим некретнинама, постројењима и опреми</t>
  </si>
  <si>
    <t>5) Investment property, plants and equipment not owned by the company</t>
  </si>
  <si>
    <t>6. Avansi i nekretnine, postrojenja, oprema i investicione nekretnine u pripremi</t>
  </si>
  <si>
    <t>6. Аванси и некретнине, постројења, опрема и инвестиционе некретнине у припреми</t>
  </si>
  <si>
    <t>6) Advances (prepayments) and real estates, plant, equipment and investment property in preparation process</t>
  </si>
  <si>
    <t>III - BIOLOŠKA SREDSTVA I SREDSTVA KULTURE (016 do 020)</t>
  </si>
  <si>
    <t>III - БИОЛОШКА СРЕДСТВА И СРЕДСТВА КУЛТУРЕ (016 до 020)</t>
  </si>
  <si>
    <t>III - BIOLOGICAL ASSETS, ARTS AND CULTURAL ARTIFACTS (016 to 020)</t>
  </si>
  <si>
    <t>1. Шуме</t>
  </si>
  <si>
    <t>1) Forest</t>
  </si>
  <si>
    <t>2. Вишегодишњи засади</t>
  </si>
  <si>
    <t>2) Growing crops</t>
  </si>
  <si>
    <t>3. Основно стадо</t>
  </si>
  <si>
    <t>3) Live stock</t>
  </si>
  <si>
    <t>4. Средства културе</t>
  </si>
  <si>
    <t>4) Arts and cultural artifacts</t>
  </si>
  <si>
    <t>5. Аванси и биолошка средства и средства културе у припреми</t>
  </si>
  <si>
    <t>5) Advances (prepayments) and biological assets and arts and cultural artifacts in preparation process</t>
  </si>
  <si>
    <t>IV - DUGOROČNI FINANSIJSKI PLASMANI (022 do 029)</t>
  </si>
  <si>
    <t>IV - ДУГОРОЧНИ ФИНАНСИЈСКИ ПЛАСМАНИ (022 до 029)</t>
  </si>
  <si>
    <t>IV - LONG TERM FINANCIAL INVESTMENTS (022 to 029)</t>
  </si>
  <si>
    <t>1. Учешће у капиталу зависних правних лица</t>
  </si>
  <si>
    <t>1) Shares in related legal entities</t>
  </si>
  <si>
    <t>2. Учешће у капиталу других правних лица</t>
  </si>
  <si>
    <t>2) Shares in other legal entities</t>
  </si>
  <si>
    <t>3. Дугорочни кредити повезаним правним лицима</t>
  </si>
  <si>
    <t>3) Long-term loans to related legal entities</t>
  </si>
  <si>
    <t>4. Дугорочни кредити у земљи</t>
  </si>
  <si>
    <t>4) Domestic long-term loans</t>
  </si>
  <si>
    <t>5. Дугорочни кредити у иностранству</t>
  </si>
  <si>
    <t>5) Long-term loans abroad</t>
  </si>
  <si>
    <t>6. Финансијска средства расположива за продају</t>
  </si>
  <si>
    <t>6) Financial assets available for sale</t>
  </si>
  <si>
    <t>7. Финансијска средства која се држе до рока доспијећа</t>
  </si>
  <si>
    <t>7) Financial assets held to maturity</t>
  </si>
  <si>
    <t>8. Остали дугорочни финансијски пласмани</t>
  </si>
  <si>
    <t>8) Other long-term financial investments (placements)</t>
  </si>
  <si>
    <t>V - ODLOŽENA PORESKA SREDSTVA</t>
  </si>
  <si>
    <t>V - ОДЛОЖЕНА ПОРЕСКА СРЕДСТВА</t>
  </si>
  <si>
    <t>V - POSTPONED TAX FUNDS</t>
  </si>
  <si>
    <t>B. TEKUĆA SREDSTVA (032 + 039 + 061)</t>
  </si>
  <si>
    <t>Б. ТЕКУЋА СРЕДСТВА (032 + 039 + 061)</t>
  </si>
  <si>
    <t>B. CURRENT ASSETS (032 + 039 + 061)</t>
  </si>
  <si>
    <t>I - ZALIHE, STALNA SREDSTVA I SREDSTVA OBUSTAVLJENOG POSLOVANJA NAMIJENJENA PRODAJI (033 do 038)</t>
  </si>
  <si>
    <t>I - ЗАЛИХЕ, СТАЛНА СРЕДСТВА И СРЕДСТВА ОБУСТАВЉЕНОГ ПОСЛОВАЊА НАМИЈЕЊЕНА ПРОДАЈИ (033 до 038)</t>
  </si>
  <si>
    <t>I - INVENTORIES, FIXED ASSETS AND ASSETS OF DISCONTINUED OPERATIONS AVAILABLE FOR SALE (033 to 038)</t>
  </si>
  <si>
    <t>1. Залихе материјала</t>
  </si>
  <si>
    <t>1) Inventory of materials</t>
  </si>
  <si>
    <t>2. Залихе недовршене производње, полупроизвода и недовршених услуга</t>
  </si>
  <si>
    <t>2) Inventories of work in progress, goods, unfinished products and services</t>
  </si>
  <si>
    <t>3. Залихе готових производа</t>
  </si>
  <si>
    <t>3) Inventory of finished products</t>
  </si>
  <si>
    <t>4. Залихе робе</t>
  </si>
  <si>
    <t>4) Inventory of merchandise goods</t>
  </si>
  <si>
    <t>5. Стална средства и средства обустављеног пословања намијењена продаји</t>
  </si>
  <si>
    <t>5) Fixed assets and assets of discontinued operations available for sale</t>
  </si>
  <si>
    <t>6. Дати аванси</t>
  </si>
  <si>
    <t>6) Advances paid (prepayments)</t>
  </si>
  <si>
    <t>II - KRATKOROČNA POTRAŽIVANJA, KRATKOROČNI PLASMANI I GOTOVINA (040 + 047 + 056 + 059 + 060)</t>
  </si>
  <si>
    <t>II - КРАТКОРОЧНА ПОТРАЖИВАЊА, КРАТКОРОЧНИ ПЛАСМАНИ И ГОТОВИНА (040 + 047 + 056 + 059 + 060)</t>
  </si>
  <si>
    <t>II - SHORT-TERM RECEIVABLES, INVESTMENTS AND CASH (040 + 047 + 056 + 059 + 060)</t>
  </si>
  <si>
    <t>1. Kratkoročna potraživanja (041 do 046)</t>
  </si>
  <si>
    <t>1. Краткорочна потраживања (041 до 046)</t>
  </si>
  <si>
    <t>1) Short-term receivables (041 to 045)</t>
  </si>
  <si>
    <t>a) Kupci - povezana pravna lica</t>
  </si>
  <si>
    <t>а) Купци - повезана правна лица</t>
  </si>
  <si>
    <t>a) Customers - related legal entities</t>
  </si>
  <si>
    <t>б) Купци у земљи</t>
  </si>
  <si>
    <t>v) Kupci iz inostranstva</t>
  </si>
  <si>
    <t>в) Купци из иностранства</t>
  </si>
  <si>
    <t>c) Foreign costumers</t>
  </si>
  <si>
    <t>g) Sumnjiva i sporna potraživanja</t>
  </si>
  <si>
    <t>г) Сумњива и спорна потраживања</t>
  </si>
  <si>
    <t>d) Suspicious and doubtful receivables</t>
  </si>
  <si>
    <t>d) Potraživanja iz specifičnih poslova</t>
  </si>
  <si>
    <t>д) Потраживања из специфичних послова</t>
  </si>
  <si>
    <t>e) Receivables from specific products</t>
  </si>
  <si>
    <t>đ) Druga kratkoročna potraživanja</t>
  </si>
  <si>
    <t>ђ) Друга краткорочна потраживања</t>
  </si>
  <si>
    <t>f) Other short-term receivables</t>
  </si>
  <si>
    <t>2. Kratkoročni finansijski plasmani (048 do 055)</t>
  </si>
  <si>
    <t>2. Краткорочни финансијски пласмани (048 до 055)</t>
  </si>
  <si>
    <t>2) Short-term financial investments (048 to 055)</t>
  </si>
  <si>
    <t>а) Краткорочни кредити повезаним правним лицима</t>
  </si>
  <si>
    <t>б) Краткорочни кредити у земљи</t>
  </si>
  <si>
    <t>в) Краткорочни кредити у иностранству</t>
  </si>
  <si>
    <t>c) Short-term loans abroad</t>
  </si>
  <si>
    <t>г) Дио дугорочних финансијских пласмана који доспијева за наплату у периоду до годину дана</t>
  </si>
  <si>
    <t>d) Share of long-term financial placements which mature in one year</t>
  </si>
  <si>
    <t>д) Финансијска средства по фер вриједности кроз биланс успјеха намијењена трговању</t>
  </si>
  <si>
    <t>e) Financial assets at fair value through profit and loss available for trading</t>
  </si>
  <si>
    <t>ђ) Финансијска средства означена по фер вриједности кроз биланс успјеха</t>
  </si>
  <si>
    <t>f) Financial assets recognized at fair value through profit and loss</t>
  </si>
  <si>
    <t>e) Otkupljene sopstvene akcije i otkupljeni sopstveni udjeli namijenjeni prodaji ili poništavanju</t>
  </si>
  <si>
    <t>е) Откупљене сопствене акције и откупљени сопствени удјели намијењени продаји или поништавању</t>
  </si>
  <si>
    <t>g) Shares bought back indented for sale or cancelation</t>
  </si>
  <si>
    <t>ж) Остали краткорочни пласмани</t>
  </si>
  <si>
    <t>h) Other short-term investments</t>
  </si>
  <si>
    <t>3. Gotovinski ekvivalenti i gotovina (057 + 058)</t>
  </si>
  <si>
    <t>3. Готовински еквиваленти и готовина (057 + 058)</t>
  </si>
  <si>
    <t>3) Cash equivalents and cash (057 + 058)</t>
  </si>
  <si>
    <t>а) Готовински еквиваленти - хартије од вриједности</t>
  </si>
  <si>
    <t>б) Готовина</t>
  </si>
  <si>
    <t>4. Порез на додату вриједност</t>
  </si>
  <si>
    <t>4) Value added tax</t>
  </si>
  <si>
    <t>5. Активна временска разграничења</t>
  </si>
  <si>
    <t>5) Prepaid expenses and accrued income</t>
  </si>
  <si>
    <t>III - ODLOŽENA PORESKA SREDSTVA</t>
  </si>
  <si>
    <t>III - ОДЛОЖЕНА ПОРЕСКА СРЕДСТВА</t>
  </si>
  <si>
    <t>III - DEFERRED TAX ASSETS</t>
  </si>
  <si>
    <t>V. POSLOVNA SREDSTVA (001 + 031)</t>
  </si>
  <si>
    <t>В. ПОСЛОВНА СРЕДСТВА (001 + 031)</t>
  </si>
  <si>
    <t>C. BUSINESS ASSETS (001 + 031)</t>
  </si>
  <si>
    <t>G. GUBITAK IZNAD VISINE KAPITALA</t>
  </si>
  <si>
    <t>Г. ГУБИТАК ИЗНАД ВИСИНЕ КАПИТАЛА</t>
  </si>
  <si>
    <t>D. LOSS OVER THE CAPITAL</t>
  </si>
  <si>
    <t>D. POSLOVNA AKTIVA (062 + 063)</t>
  </si>
  <si>
    <t>Д. ПОСЛОВНА АКТИВА (062 + 063)</t>
  </si>
  <si>
    <t>E. OPERATING ASSETS (062 + 063)</t>
  </si>
  <si>
    <t>Đ. VANBILANSNA AKTIVA</t>
  </si>
  <si>
    <t>Ђ. ВАНБИЛАНСНА АКТИВА</t>
  </si>
  <si>
    <t>F. OFF BALANCE SHEET ASSETS</t>
  </si>
  <si>
    <t>E. UKUPNA AKTIVA (064 + 065)</t>
  </si>
  <si>
    <t>Е. УКУПНА АКТИВА (064 + 065)</t>
  </si>
  <si>
    <t>G. TOTAL ASSETS (064 + 065)</t>
  </si>
  <si>
    <t>ПАСИВА</t>
  </si>
  <si>
    <t>I - OSNOVNI KAPITAL (103 do 108)</t>
  </si>
  <si>
    <t>I - ОСНОВНИ КАПИТАЛ (103 до 108)</t>
  </si>
  <si>
    <t>I - SHARE CAPITAL (103 to 108)</t>
  </si>
  <si>
    <t>1. Акцијски капитал</t>
  </si>
  <si>
    <t>1) Share capital</t>
  </si>
  <si>
    <t>2. Удјели друштва са ограниченом одговорношћу</t>
  </si>
  <si>
    <t>2) Shares in limited liability company</t>
  </si>
  <si>
    <t>3. Задружни удјели</t>
  </si>
  <si>
    <t>3) Shares in cooperatives</t>
  </si>
  <si>
    <t>4. Улози</t>
  </si>
  <si>
    <t>4) Other shares</t>
  </si>
  <si>
    <t>5. Државни капитал</t>
  </si>
  <si>
    <t>5) State-owned capital</t>
  </si>
  <si>
    <t>6. Остали основни капитал</t>
  </si>
  <si>
    <t>6) Other capital</t>
  </si>
  <si>
    <t>II - UPISANI NEUPLAĆENI KAPITAL</t>
  </si>
  <si>
    <t>II - УПИСАНИ НЕУПЛАЋЕНИ КАПИТАЛ</t>
  </si>
  <si>
    <t>II - SUBSCRIBED CAPITAL UNPAID</t>
  </si>
  <si>
    <t>1. Законске резерве</t>
  </si>
  <si>
    <t>1) Legal reserves</t>
  </si>
  <si>
    <t>2. Статутарне резерве</t>
  </si>
  <si>
    <t>2) Statutory reserves</t>
  </si>
  <si>
    <t>3. Ostale rezerve</t>
  </si>
  <si>
    <t>3. Остале резерве</t>
  </si>
  <si>
    <t>3) Other reserves</t>
  </si>
  <si>
    <t>1) Profit from previous years</t>
  </si>
  <si>
    <t>2) Profit for the financial year</t>
  </si>
  <si>
    <t>1. Губитак ранијих година</t>
  </si>
  <si>
    <t>1) Loss of previous year</t>
  </si>
  <si>
    <t>2. Губитак текуће године</t>
  </si>
  <si>
    <t>2) Loss of current year</t>
  </si>
  <si>
    <t>B. REZERVISANJA, ODLOŽENE PORESKE OBAVEZE I RAZGRANIČENI PRIHODI (127 do 134)</t>
  </si>
  <si>
    <t>Б. РЕЗЕРВИСАЊА, ОДЛОЖЕНЕ ПОРЕСКЕ ОБАВЕЗЕ И РАЗГРАНИЧЕНИ ПРИХОДИ (127 до 134)</t>
  </si>
  <si>
    <t>B. LONG-TERM PROVISIONS, DEFERRED TAX LIABILITIES AND ACCRUED REVENUES (127 to 134)</t>
  </si>
  <si>
    <t>1. Резервисања за трошкове у гарантном року</t>
  </si>
  <si>
    <t>1) For expenses in warranty period</t>
  </si>
  <si>
    <t>2. Резервисања за трошкове обнављања природних богатстава</t>
  </si>
  <si>
    <t>2) For restoration of natural resources</t>
  </si>
  <si>
    <t>3. Резервисања за задржане кауције и депозите</t>
  </si>
  <si>
    <t>3) For kept down payments and deposits</t>
  </si>
  <si>
    <t>4. Rezervisanja za troškove restrukturisanja</t>
  </si>
  <si>
    <t>4. Резервисања за трошкове реструктурисања</t>
  </si>
  <si>
    <t>4) For costs of reorganization</t>
  </si>
  <si>
    <t>5. Резервисања за накнаде и бенефиције запослених</t>
  </si>
  <si>
    <t>5) For employees wages and benefits</t>
  </si>
  <si>
    <t>6. Odložene poreske obaveze</t>
  </si>
  <si>
    <t>6. Одложене пореске обавезе</t>
  </si>
  <si>
    <t>6) Deferred tax liabilities</t>
  </si>
  <si>
    <t>7. Razgraničeni prihodi i primljene donacije</t>
  </si>
  <si>
    <t>7. Разграничени приходи и примљене донације</t>
  </si>
  <si>
    <t>7) Accrued revenues and received donations</t>
  </si>
  <si>
    <t>8. Ostala dugoročna rezervisanja</t>
  </si>
  <si>
    <t>8. Остала дугорочна резервисања</t>
  </si>
  <si>
    <t>8) Other long-term provisions</t>
  </si>
  <si>
    <t>V. OBAVEZE (136 + 144)</t>
  </si>
  <si>
    <t>В. ОБАВЕЗЕ (136 + 144)</t>
  </si>
  <si>
    <t>C. LIABILITIES (136 + 144)</t>
  </si>
  <si>
    <t>I - DUGOROČNE OBAVEZE (137 do 143)</t>
  </si>
  <si>
    <t>I - ДУГОРОЧНЕ ОБАВЕЗЕ (137 до 143)</t>
  </si>
  <si>
    <t>I - LONG-TERM LIABILITIES (137 to 143)</t>
  </si>
  <si>
    <t>1. Обавезе које се могу конвертовати у капитал</t>
  </si>
  <si>
    <t>1) Liabilities convertible in capital</t>
  </si>
  <si>
    <t>2. Обавезе према повезаним правним лицима</t>
  </si>
  <si>
    <t>2) Liabilities toward related legal entities</t>
  </si>
  <si>
    <t>3. Обавезе по емитованим дугорочним хартијама од вриједности</t>
  </si>
  <si>
    <t>3) Long- term securities payable</t>
  </si>
  <si>
    <t>4. Дугорочни кредити</t>
  </si>
  <si>
    <t>4) Long-term debt (borrowings)</t>
  </si>
  <si>
    <t>5. Дугорочне обавезе по финансијском лизингу</t>
  </si>
  <si>
    <t>5) Long-term liabilities from financial leasing</t>
  </si>
  <si>
    <t>6. Дугорочне обавезе по фер вриједности кроз биланс успјеха</t>
  </si>
  <si>
    <t>6) Long-term liabilities at fair value through profit and loss</t>
  </si>
  <si>
    <t>7. Ostale dugoročne obaveze</t>
  </si>
  <si>
    <t>7. Остале дугорочне обавезе</t>
  </si>
  <si>
    <t>7) Other long-term liabilities</t>
  </si>
  <si>
    <t>II - KRATKOROČNE OBAVEZE (145 + 150 + 156 + 157 + 158 + 159 + 160 + 161 + 162 + 163)</t>
  </si>
  <si>
    <t>II - КРАТКОРОЧНЕ ОБАВЕЗЕ (145 + 150 + 156 + 157 + 158 + 159 + 160 + 161 + 162 + 163)</t>
  </si>
  <si>
    <t>II - SHORT-TERM LIABILITIES (145 + 150 + 156 + 157 + 158 + 159 + 160 + 161 + 162 + 163)</t>
  </si>
  <si>
    <t>1. Kratkoročne finansijske obaveze (146 do 149)</t>
  </si>
  <si>
    <t>1. Краткорочне финансијске обавезе (146 до 149)</t>
  </si>
  <si>
    <t>1) Short-term financial liabilities (146 to 149)</t>
  </si>
  <si>
    <t>а) Краткорочни кредити и обавезе по емитованим краткорочним хартијама од вриједности</t>
  </si>
  <si>
    <t>в) Краткорочне обавезе по фер вриједности кроз биланс успјеха</t>
  </si>
  <si>
    <t>c) Short-term liabilities at fair value through profit and loss</t>
  </si>
  <si>
    <t>г) Остале краткорочне финансијске обавезе</t>
  </si>
  <si>
    <t>d) Other short-term financial liabilities</t>
  </si>
  <si>
    <t>2. Obaveze iz poslovanja (151 do 155)</t>
  </si>
  <si>
    <t>2. Обавезе из пословања (151 до 155)</t>
  </si>
  <si>
    <t>2) Operating liabilities (151 to 155)</t>
  </si>
  <si>
    <t>а) Примљени аванси, депозити и кауције</t>
  </si>
  <si>
    <t>б) Добављачи - повезана правна лица</t>
  </si>
  <si>
    <t>v) Dobavljači u zemlji</t>
  </si>
  <si>
    <t>в) Добављачи у земљи</t>
  </si>
  <si>
    <t>c) Domestic suppliers</t>
  </si>
  <si>
    <t>g) Dobavljači iz inostranstva</t>
  </si>
  <si>
    <t>г) Добављачи из иностранства</t>
  </si>
  <si>
    <t>d) Foreign suppliers</t>
  </si>
  <si>
    <t>d) Ostale obaveze iz poslovanja</t>
  </si>
  <si>
    <t>д) Остале обавезе из пословања</t>
  </si>
  <si>
    <t>e) Other operating liabilities</t>
  </si>
  <si>
    <t>3. Обавезе из специфичних послова</t>
  </si>
  <si>
    <t>3) Liabilities from specific operations</t>
  </si>
  <si>
    <t>4. Обавезе за зараде и накнаде зарада</t>
  </si>
  <si>
    <t>4) Wages (salaries) and salaries (salaries compensations) payable</t>
  </si>
  <si>
    <t>5. Друге обавезе</t>
  </si>
  <si>
    <t>5) Other liabilities</t>
  </si>
  <si>
    <t>6. Порез на додату вриједност</t>
  </si>
  <si>
    <t>6) Value added tax</t>
  </si>
  <si>
    <t>7. Обавезе за остале порезе, доприносе и друге дажбине</t>
  </si>
  <si>
    <t>7) Other taxes, contributions and other fees payable</t>
  </si>
  <si>
    <t>8. Обавезе за порез на добитак</t>
  </si>
  <si>
    <t>8) Profit tax liabilities</t>
  </si>
  <si>
    <t>9. Pasivna vremenska razgraničenja i kratkoročna rezervisanja</t>
  </si>
  <si>
    <t>9. Пасивна временска разграничења и краткорочна резервисања</t>
  </si>
  <si>
    <t>9) Accrued expenses and deferred income, short-term provisions</t>
  </si>
  <si>
    <t>10. Одложене пореске обавезе</t>
  </si>
  <si>
    <t>10) Deferred tax liabilities</t>
  </si>
  <si>
    <t>G. POSLOVNA PASIVA (101 + 126 + 135)</t>
  </si>
  <si>
    <t>Г. ПОСЛОВНА ПАСИВА (101 + 126 + 135)</t>
  </si>
  <si>
    <t>D. OPERATING EQUITY AND LIABILITIES (101 + 126 + 135)</t>
  </si>
  <si>
    <t>Д. ВАНБИЛАНСНА ПАСИВА</t>
  </si>
  <si>
    <t>Đ. UKUPNA PASIVA (164 + 165)</t>
  </si>
  <si>
    <t>Ђ. УКУПНА ПАСИВА (164 + 165)</t>
  </si>
  <si>
    <t>F. TOTAL EQUITY AND LIABILITIES (164 + 165)</t>
  </si>
  <si>
    <t>А. ПОСЛОВНИ ПРИХОДИ И РАСХОДИ</t>
  </si>
  <si>
    <t>I - POSLOVNI PRIHODI (202 + 206 + 210 + 211 - 212 + 213 - 214 + 215)</t>
  </si>
  <si>
    <t>I - ПОСЛОВНИ ПРИХОДИ (202 + 206 + 210 + 211 - 212 + 213 - 214 + 215)</t>
  </si>
  <si>
    <t>I - OPERATING INCOME (202 + 206 + 210 + 211 - 212 + 213 - 214 + 215)</t>
  </si>
  <si>
    <t>1. Приходи од продаје робе (203 до 205)</t>
  </si>
  <si>
    <t>1) Income from sales of merchandise goods (203 to 205)</t>
  </si>
  <si>
    <t>а) Приходи од продаје робе повезаним правним лицима</t>
  </si>
  <si>
    <t>б) Приходи од продаје робе на домаћем тржишту</t>
  </si>
  <si>
    <t>в) Приходи од продаје робе на иностраном тржишту</t>
  </si>
  <si>
    <t>c) Income from sale of merchandise goods on foreign market</t>
  </si>
  <si>
    <t>2. Приходи од продаје учинака (207 до 209)</t>
  </si>
  <si>
    <t>2) Income from sale of products (207 to 209)</t>
  </si>
  <si>
    <t>а) Приходи од продаје учинака повезаним правним лицима</t>
  </si>
  <si>
    <t>б) Приходи од продаје учинака на домаћем тржишту</t>
  </si>
  <si>
    <t>в) Приходи од продаје учинака на иностраном тржишту</t>
  </si>
  <si>
    <t>c) Income from sale of products and services on foreign market</t>
  </si>
  <si>
    <t>3. Приходи од активирања или потрошње робе и учинака</t>
  </si>
  <si>
    <t>3) Income from employment (activation) or consumption of goods, products and services</t>
  </si>
  <si>
    <t>4) Increase in value of products in stock</t>
  </si>
  <si>
    <t>5. Смањење вриједности залиха учинака</t>
  </si>
  <si>
    <t>5) Decrease in value of products in stock</t>
  </si>
  <si>
    <t>6) Increase of the value of investment properties and biological assets that are not subject to depreciation</t>
  </si>
  <si>
    <t>7. Смањење вриједности инвестиционих некретнина и биолошких средстава која се не амортизују</t>
  </si>
  <si>
    <t>7) Decrease of the value of investment properties and biological assets that are not subject to depreciation</t>
  </si>
  <si>
    <t>8. Остали пословни приходи</t>
  </si>
  <si>
    <t>8) Other operating income</t>
  </si>
  <si>
    <t>II - POSLOVNI RASHODI (217 + 218 + 219 + 222 + 223 + 226 + 227 + 228)</t>
  </si>
  <si>
    <t>II - ПОСЛОВНИ РАСХОДИ (217 + 218 + 219 + 222 + 223 + 226 + 227 + 228)</t>
  </si>
  <si>
    <t>II - OPERATING EXPENSES (217 + 218 + 219 + 222 + 223 + 226 + 227 + 228)</t>
  </si>
  <si>
    <t>1. Набавна вриједност продате робе</t>
  </si>
  <si>
    <t>1) Merchandise goods sold at cost</t>
  </si>
  <si>
    <t>2. Трошкови материјала</t>
  </si>
  <si>
    <t>2) Materials expenses</t>
  </si>
  <si>
    <t>3. Troškovi zarada, naknada zarada i ostalih ličnih rashoda (220 + 221)</t>
  </si>
  <si>
    <t>3. Трошкови зарада, накнада зарада и осталих личних расхода (220 + 221)</t>
  </si>
  <si>
    <t>3) Wages, salaries and other employee benefits expenses (220 + 221)</t>
  </si>
  <si>
    <t>а) Трошкови бруто зарада и бруто накнада зарада</t>
  </si>
  <si>
    <t>б) Остали лични расходи</t>
  </si>
  <si>
    <t>4. Трошкови производних услуга</t>
  </si>
  <si>
    <t>4) Services expense</t>
  </si>
  <si>
    <t>5. Troškovi amortizacije i rezervisanja (224 + 225)</t>
  </si>
  <si>
    <t>5. Трошкови амортизације и резервисања (224 + 225)</t>
  </si>
  <si>
    <t>5) Depreciation and provisions expenses (224 + 225)</t>
  </si>
  <si>
    <t>а) Трошкови амортизације</t>
  </si>
  <si>
    <t>б) Трошкови резервисања</t>
  </si>
  <si>
    <t>6. Нематеријални трошкови (без пореза и доприноса)</t>
  </si>
  <si>
    <t>6) Immaterial expense (excluding taxes and contribution)</t>
  </si>
  <si>
    <t>7. Трошкови пореза</t>
  </si>
  <si>
    <t>7) Tax expense</t>
  </si>
  <si>
    <t>8. Трошкови доприноса</t>
  </si>
  <si>
    <t>8) Contribution expense</t>
  </si>
  <si>
    <t>B. POSLOVNI DOBITAK (201 - 216)</t>
  </si>
  <si>
    <t>Б. ПОСЛОВНИ ДОБИТАК (201 - 216)</t>
  </si>
  <si>
    <t>B. OPERATING INCOME (201 - 216)</t>
  </si>
  <si>
    <t>V. POSLOVNI GUBITAK (216 - 201)</t>
  </si>
  <si>
    <t>В. ПОСЛОВНИ ГУБИТАК (216 - 201)</t>
  </si>
  <si>
    <t>C. OPERATING LOSS (216 - 201)</t>
  </si>
  <si>
    <t>Г. ФИНАНСИЈСКИ ПРИХОДИ И РАСХОДИ</t>
  </si>
  <si>
    <t>I - FINANSIJSKI PRIHODI (232 do 237)</t>
  </si>
  <si>
    <t>I - ФИНАНСИЈСКИ ПРИХОДИ (232 до 237)</t>
  </si>
  <si>
    <t>I - FINANCE INCOME (232 to 237)</t>
  </si>
  <si>
    <t>1. Финансијски приходи од повезаних правних лица</t>
  </si>
  <si>
    <t>1) Finance income from related legal entities</t>
  </si>
  <si>
    <t>2. Приходи од камата</t>
  </si>
  <si>
    <t>2) Interest income</t>
  </si>
  <si>
    <t>3. Позитивне курсне разлике</t>
  </si>
  <si>
    <t>3) Foreign exchange gains</t>
  </si>
  <si>
    <t>4. Приходи од ефеката валутне клаузуле</t>
  </si>
  <si>
    <t>4) Incomes from currency clause</t>
  </si>
  <si>
    <t>5. Приходи од учешћа у добитку заједничких улагања</t>
  </si>
  <si>
    <t>5) Income from joint venture investments</t>
  </si>
  <si>
    <t>6. Остали финансијски приходи</t>
  </si>
  <si>
    <t>6) Other finance income</t>
  </si>
  <si>
    <t>II - FINANSIJSKI RASHODI (239 do 243)</t>
  </si>
  <si>
    <t>II - ФИНАНСИЈСКИ РАСХОДИ (239 до 243)</t>
  </si>
  <si>
    <t>II - FINANCE EXPENSES (239 to 243)</t>
  </si>
  <si>
    <t>1. Финансијски расходи по основу односа повезаних правних лица</t>
  </si>
  <si>
    <t>1) Finance expenses from relations with related legal entities</t>
  </si>
  <si>
    <t>2. Расходи камата</t>
  </si>
  <si>
    <t>2) Interests expense</t>
  </si>
  <si>
    <t>3. Негативне курсне разлике</t>
  </si>
  <si>
    <t>3) Foreign exchange losses</t>
  </si>
  <si>
    <t>4. Расходи по основу валутне клаузуле</t>
  </si>
  <si>
    <t>4) Currency clause expenses</t>
  </si>
  <si>
    <t>5. Остали финансијски расходи</t>
  </si>
  <si>
    <t>5) Other finance expense</t>
  </si>
  <si>
    <t>D. DOBITAK REDOVNE AKTIVNOSTI (229 + 231 - 238) ili (231 - 238 - 230)</t>
  </si>
  <si>
    <t>Д. ДОБИТАК РЕДОВНЕ АКТИВНОСТИ (229 + 231 - 238) или (231 - 238 - 230)</t>
  </si>
  <si>
    <t>E. OPERATING INCOME (229 + 231 - 238) or (231 - 238 - 230)</t>
  </si>
  <si>
    <t>Đ. GUBITAK REDOVNE AKTIVNOSTI (230 + 238 - 231) ili (238 - 229 - 231)</t>
  </si>
  <si>
    <t>Ђ. ГУБИТАК РЕДОВНЕ АКТИВНОСТИ (230 + 238 - 231) или (238 - 229 - 231)</t>
  </si>
  <si>
    <t>F. OPERATING LOSS (230 + 238 - 231) or (238 - 229 - 231)</t>
  </si>
  <si>
    <t>Е. ОСТАЛИ ПРИХОДИ И РАСХОДИ</t>
  </si>
  <si>
    <t>I - OSTALI PRIHODI (247 do 256)</t>
  </si>
  <si>
    <t>I - ОСТАЛИ ПРИХОДИ (247 до 256)</t>
  </si>
  <si>
    <t>I - OTHER INCOME (247 to 256)</t>
  </si>
  <si>
    <t>1. Dobici po osnovu prodaje nematerijalnih sredstava, nekretnina, postrojenja i opreme</t>
  </si>
  <si>
    <t>1. Добици по основу продаје нематеријалних средстава, некретнина, постројења и опреме</t>
  </si>
  <si>
    <t>1) Income from sale of intangible investments, real-estates, plant and equipment</t>
  </si>
  <si>
    <t>2. Добици по основу продаје инвестиционих некретнина</t>
  </si>
  <si>
    <t>2) Income from sale of investment property</t>
  </si>
  <si>
    <t>3. Добици по основу продаје биолошких средстава</t>
  </si>
  <si>
    <t>3) Income from sale of biological assets</t>
  </si>
  <si>
    <t>4. Добици по основу продаје средстава обустављеног пословања</t>
  </si>
  <si>
    <t>4) Income from sale of discontinued operations assets</t>
  </si>
  <si>
    <t>5. Dobici po osnovu prodaje učešća u kapitalu i HOV</t>
  </si>
  <si>
    <t>5. Добици по основу продаје учешћа у капиталу и ХОВ</t>
  </si>
  <si>
    <t>5) Income from sale of stakes in capital and long-term securities</t>
  </si>
  <si>
    <t>6. Добици по основу продаје материјала</t>
  </si>
  <si>
    <t>6) Income from sale of materials</t>
  </si>
  <si>
    <t>7. Вишкови, изузимајући вишкове залиха учинака</t>
  </si>
  <si>
    <t>7) Surpluses, excluding surpluses of products in stock</t>
  </si>
  <si>
    <t>8. Наплаћена отписана потраживања</t>
  </si>
  <si>
    <t>8) Collected written-off receivables</t>
  </si>
  <si>
    <t>9. Приходи по основу уговорене заштите од ризика, који не испуњавају услове да се искажу у оквиру ревалоризационих резерви</t>
  </si>
  <si>
    <t>9) Incomes from contractually agreed risk protection which cannot be included in the revaluation reserves</t>
  </si>
  <si>
    <t>10. Prihodi od smanjenja obaveza, ukidanja neiskorišćenih dugoročnih rezervisanja i ostali nepomenuti prihodi</t>
  </si>
  <si>
    <t>10. Приходи од смањења обавеза, укидања неискоришћених дугорочних резервисања и остали непоменути приходи</t>
  </si>
  <si>
    <t>10) Income from reduction of liabilities, termination of unused long-term provisions and other incomes</t>
  </si>
  <si>
    <t>II - OSTALI RASHODI (258 do 267)</t>
  </si>
  <si>
    <t>II - ОСТАЛИ РАСХОДИ (258 до 267)</t>
  </si>
  <si>
    <t>II - OTHER EXPENSES (258 to 267)</t>
  </si>
  <si>
    <t>1. Gubici po osnovu prodaje i rashodovanja nematerijalnih sredstava, nekretnina, postrojenja i opreme</t>
  </si>
  <si>
    <t>1. Губици по основу продаје и расходовања нематеријалних средстава, некретнина, постројења и опреме</t>
  </si>
  <si>
    <t>1) Losses arising from liquidation and write-off of fixed assets and intangible assets</t>
  </si>
  <si>
    <t>2. Губици по основу продаје и расходовања инвестиционих некретнина</t>
  </si>
  <si>
    <t>2) Losses arising from sale and write off of investment property</t>
  </si>
  <si>
    <t>3. Губици по основу продаје и расходовања биолошких средстава</t>
  </si>
  <si>
    <t>3) Losses arising from sale and write off of biological assets</t>
  </si>
  <si>
    <t>4. Губици по основу продаје средстава обустављеног пословања</t>
  </si>
  <si>
    <t>4) Losses arising from sale and write off of discontinued operations assets</t>
  </si>
  <si>
    <t>5. Gubici po osnovu prodaje učešća u kapitalu i HOV</t>
  </si>
  <si>
    <t>5. Губици по основу продаје учешћа у капиталу и ХОВ</t>
  </si>
  <si>
    <t>5) Losses from sale of stakes in capital and securities</t>
  </si>
  <si>
    <t>6) Losses from sale of materials</t>
  </si>
  <si>
    <t>7. Мањкови, изузимајући мањкове залиха учинака</t>
  </si>
  <si>
    <t>7) Deficits, excluding deficits of products in stock</t>
  </si>
  <si>
    <t>8. Rashodi po osnovu zaštite od rizika koji ne ispunjavaju uslove da se iskažu u okviru revalorizacionih rezervi</t>
  </si>
  <si>
    <t>8. Расходи по основу заштите од ризика који не испуњавају услове да се искажу у оквиру ревалоризационих резерви</t>
  </si>
  <si>
    <t>8) Losses from risk protection who do not qualify to be in the revaluation reserve</t>
  </si>
  <si>
    <t>9. Расходи по основу исправке вриједности и отписа потраживања</t>
  </si>
  <si>
    <t>9) Losses from revaluation and write-offs</t>
  </si>
  <si>
    <t>10. Расходи по основу расходовања залиха материјала и робе и остали расходи</t>
  </si>
  <si>
    <t>10) Losses from write-off of material and goods and other losses</t>
  </si>
  <si>
    <t>Ž. DOBITAK PO OSNOVU OSTALIH PRIHODA I RASHODA (246 - 257)</t>
  </si>
  <si>
    <t>Ж. ДОБИТАК ПО ОСНОВУ ОСТАЛИХ ПРИХОДА И РАСХОДА (246 - 257)</t>
  </si>
  <si>
    <t>H. GAIN FROM OTHER INCOMES AND EXPENSES (246 - 257)</t>
  </si>
  <si>
    <t>Z. GUBITAK PO OSNOVU OSTALIH PRIHODA I RASHODA (257 - 246)</t>
  </si>
  <si>
    <t>З. ГУБИТАК ПО ОСНОВУ ОСТАЛИХ ПРИХОДА И РАСХОДА (257 - 246)</t>
  </si>
  <si>
    <t>I. LOSS FROM OTHER INCOMES AND EXPENSES (257 - 246)</t>
  </si>
  <si>
    <t>И. ПРИХОДИ И РАСХОДИ ОД УСКЛАЂИВАЊА ВРИЈЕДНОСТИ ИМОВИНЕ</t>
  </si>
  <si>
    <t>I - PRIHODI OD USKLAĐIVANJA VRIJEDNOSTI IMOVINE (271 do 279)</t>
  </si>
  <si>
    <t>I - ПРИХОДИ ОД УСКЛАЂИВАЊА ВРИЈЕДНОСТИ ИМОВИНЕ (271 до 279)</t>
  </si>
  <si>
    <t>I - INCOME FROM REVALUATION OF PROPERTY VALUE (271 to 279)</t>
  </si>
  <si>
    <t>1. Prihodi od usklađivanja vrijednosti nematerijalnih sredstava</t>
  </si>
  <si>
    <t>1. Приходи од усклађивања вриједности нематеријалних средстава</t>
  </si>
  <si>
    <t>1) Income from revaluation of intangible assets</t>
  </si>
  <si>
    <t>2. Приходи од усклађивања вриједности некретнина, постројења и опреме</t>
  </si>
  <si>
    <t>2) Income from revaluation of real-estates, plant and equipment</t>
  </si>
  <si>
    <t>3. Приходи од усклађивања вриједности инвестиционих некретнина за које се обрачунава амортизација</t>
  </si>
  <si>
    <t>3) Income from revaluation of investment property which is subject to depreciation</t>
  </si>
  <si>
    <t>4. Prihodi od usklađivanja vrijednosti bioloških sredstava za koje se obračunava amortizacija</t>
  </si>
  <si>
    <t>4. Приходи од усклађивања вриједности биолошких средстава за које се обрачунава амортизација</t>
  </si>
  <si>
    <t>4) Income from revaluation of biological assets which are subject to depreciation</t>
  </si>
  <si>
    <t>5. Prihodi od usklađivanja vrijednosti dugoročnih finansijskih plasmana i finansijskih sredstava raspoloživih za prodaju</t>
  </si>
  <si>
    <t>5. Приходи од усклађивања вриједности дугорочних финансијских пласмана и финансијских средстава расположивих за продају</t>
  </si>
  <si>
    <t>5) Income from revaluation of long-term financial placements and financial assets available for sale</t>
  </si>
  <si>
    <t>6. Приходи од усклађивања вриједности залиха материјала и робе</t>
  </si>
  <si>
    <t>6) Income from revaluation of materials and goods</t>
  </si>
  <si>
    <t>7. Приходи од усклађивања вриједности краткорочних финансијских пласмана</t>
  </si>
  <si>
    <t>7) Income from revaluation of short-term financial placements</t>
  </si>
  <si>
    <t>8. Prihodi od usklađivanja vrijednosti kapitala (negativni Goodwill)</t>
  </si>
  <si>
    <t>8. Приходи од усклађивања вриједности капитала (негативни Гоодwилл)</t>
  </si>
  <si>
    <t>8) Income from revaluation of capital value (negative Goodwill)</t>
  </si>
  <si>
    <t>9. Приходи од усклађивања вриједности остале имовине</t>
  </si>
  <si>
    <t>9) Income from revaluation of other property value</t>
  </si>
  <si>
    <t>II - RASHODI OD USKLAĐIVANJA VRIJEDNOSTI IMOVINE (281 do 289)</t>
  </si>
  <si>
    <t>II - РАСХОДИ ОД УСКЛАЂИВАЊА ВРИЈЕДНОСТИ ИМОВИНЕ (281 до 289)</t>
  </si>
  <si>
    <t>II - LOSSES FROM REVALUATION OF PROPERTY VALUE (281 to 289)</t>
  </si>
  <si>
    <t>1. Obezvrjeđenje nematerijalnih sredstava</t>
  </si>
  <si>
    <t>1. Обезврјеђење нематеријалних средстава</t>
  </si>
  <si>
    <t>1) Impairment of intangible assets</t>
  </si>
  <si>
    <t>2. Обезврјеђење некретнина, постројења и опреме</t>
  </si>
  <si>
    <t>2) Impairment of real-estates, plant and equipment</t>
  </si>
  <si>
    <t>3. Обезврјеђење инвестиционих некретнина за које се обрачунава амортизација</t>
  </si>
  <si>
    <t>3) Impairment of investment property which is subject to depreciation</t>
  </si>
  <si>
    <t>4. Obezvrjeđenje bioloških sredstava za koja se obračunava amortizacija</t>
  </si>
  <si>
    <t>4. Обезврјеђење биолошких средстава за која се обрачунава амортизација</t>
  </si>
  <si>
    <t>4) Impairment of biological assets which are subject to depreciation</t>
  </si>
  <si>
    <t>5. Обезврјеђење дугорочних финансијских пласмана и финансијских средстава расположивих за продају</t>
  </si>
  <si>
    <t>5) Impairment of long-term financial placements and financial assets available for sale</t>
  </si>
  <si>
    <t>6. Обезврјеђење залиха материјала и робе</t>
  </si>
  <si>
    <t>6) Impairment of materials and goods</t>
  </si>
  <si>
    <t>7. Обезврјеђење краткорочних финансијских пласмана</t>
  </si>
  <si>
    <t>7) Impairment of short-term financial placements</t>
  </si>
  <si>
    <t>8) Impairment of receivables by the indirect method of determining the write-off of receivables</t>
  </si>
  <si>
    <t>9. Obezvrjeđenje ostale imovine</t>
  </si>
  <si>
    <t>9. Обезврјеђење остале имовине</t>
  </si>
  <si>
    <t>9) Impairment of other property value</t>
  </si>
  <si>
    <t>J. DOBITAK PO OSNOVU USKLAĐIVANJA VRIJEDNOSTI IMOVINE (270 - 280)</t>
  </si>
  <si>
    <t>Ј. ДОБИТАК ПО ОСНОВУ УСКЛАЂИВАЊА ВРИЈЕДНОСТИ ИМОВИНЕ (270 - 280)</t>
  </si>
  <si>
    <t>K. GAIN FROM THE REVALUATION OF PROPERTY VALUE (270 - 280)</t>
  </si>
  <si>
    <t>K. GUBITAK PO OSNOVU USKLAĐIVANJA VRIJEDNOSTI IMOVINE (280 - 270)</t>
  </si>
  <si>
    <t>К. ГУБИТАК ПО ОСНОВУ УСКЛАЂИВАЊА ВРИЈЕДНОСТИ ИМОВИНЕ (280 - 270)</t>
  </si>
  <si>
    <t>L. LOSS FROM THE REVALUATION OF PROPERTY VALUE (280 - 270)</t>
  </si>
  <si>
    <t>Л. ПРИХОДИ ПО ОСНОВУ ПРОМЈЕНЕ РАЧУНОВОДСТВЕНИХ ПОЛИТИКА И ИСПРАВКЕ ГРЕШАКА ИЗ РАНИЈИХ ГОДИНА</t>
  </si>
  <si>
    <t>M. INCOMES FROM CHANGES IN ACCOUNTING POLICIES AND CORRECTIONS FROM PREVIOUS YEAR</t>
  </si>
  <si>
    <t>Љ. РАСХОДИ ПО ОСНОВУ ПРОМЈЕНЕ РАЧУНОВОДСТВЕНИХ ПОЛИТИКА И ИСПРАВКЕ ГРЕШАКА ИЗ РАНИЈИХ ГОДИНА</t>
  </si>
  <si>
    <t>N. LOSSES FROM CHANGES IN ACCOUNTING POLICIES AND CORRECTIONS FROM PREVIOUS YEAR</t>
  </si>
  <si>
    <t>М. ДОБИТАК И ГУБИТАК ПРИЈЕ ОПОРЕЗИВАЊА</t>
  </si>
  <si>
    <t>O. INCOME AND LOSS BEFORE TAXES</t>
  </si>
  <si>
    <t>1. Dobitak prije oporezivanja (244 + 268 + 290 + 292 - 293 - 245 - 269 - 291)</t>
  </si>
  <si>
    <t>1. Добитак прије опорезивања (244 + 268 + 290 + 292 - 293 - 245 - 269 - 291)</t>
  </si>
  <si>
    <t>1) Income before taxes (244 + 268 + 290 + 292 - 293 - 245 - 269 - 291)</t>
  </si>
  <si>
    <t>2. Gubitak prije oporezivanja (245 + 269 + 291 + 293 - 292 - 244 - 268 - 290)</t>
  </si>
  <si>
    <t>2. Губитак прије опорезивања (245 + 269 + 291 + 293 - 292 - 244 - 268 - 290)</t>
  </si>
  <si>
    <t>2) Loss before taxes (245 + 269 + 291 + 293 - 292 - 244 - 268 - 290)</t>
  </si>
  <si>
    <t>Н. ТЕКУЋИ И ОДЛОЖЕНИ ПОРЕЗ НА ДОБИТ</t>
  </si>
  <si>
    <t>P. CURRENT AND DEFERRED INCOME TAX</t>
  </si>
  <si>
    <t>1. Порески расходи периода</t>
  </si>
  <si>
    <t>1) Tax expenses of reporting period</t>
  </si>
  <si>
    <t>2. Одложени порески расходи периода</t>
  </si>
  <si>
    <t>2) Deferred tax expenses of reporting period</t>
  </si>
  <si>
    <t>3. Одложени порески приходи периода</t>
  </si>
  <si>
    <t>3) Deferred tax incomes of reporting period</t>
  </si>
  <si>
    <t>Њ. НЕТО ДОБИТАК И НЕТО ГУБИТАК ПЕРИОДА</t>
  </si>
  <si>
    <t>K. NET INCOME AND NET LOSS</t>
  </si>
  <si>
    <t>1. Neto dobitak tekuće godine (294 - 295 - 296 - 297 + 298)</t>
  </si>
  <si>
    <t>1. Нето добитак текуће године (294 - 295 - 296 - 297 + 298)</t>
  </si>
  <si>
    <t>1) Net income of current year (294 - 295 - 296 - 297 + 298)</t>
  </si>
  <si>
    <t>2. Neto gubitak tekuće godine (295 - 294 + 296 + 297 - 298)</t>
  </si>
  <si>
    <t>2. Нето губитак текуће године (295 - 294 + 296 + 297 - 298)</t>
  </si>
  <si>
    <t>2) Net loss of current year (295 - 294 + 296 + 297 - 298)</t>
  </si>
  <si>
    <t>UKUPNI PRIHODI (201 + 231 + 246 + 270 + 292)</t>
  </si>
  <si>
    <t>УКУПНИ ПРИХОДИ (201 + 231 + 246 + 270 + 292)</t>
  </si>
  <si>
    <t>TOTAL INCOME (201 + 231 + 246 + 270 + 292)</t>
  </si>
  <si>
    <t>UKUPNI RASHODI (216 + 238 + 257 + 280 + 293)</t>
  </si>
  <si>
    <t>УКУПНИ РАСХОДИ (216 + 238 + 257 + 280 + 293)</t>
  </si>
  <si>
    <t>TOTAL EXPENSES (216 + 238 + 257 + 280 + 293)</t>
  </si>
  <si>
    <t>О. МЕЂУДИВИДЕНДЕ И ДРУГИ ВИДОВИ РАСПОДЈЕЛЕ ДОБИТКА У ТОКУ ПЕРИОДА</t>
  </si>
  <si>
    <t>R. INTERIM DIVIDENDS AND OTHER FORMS OF NET INCOME DISTRIBUTION DURING REPORTING PERIOD</t>
  </si>
  <si>
    <t>Дио нето добитка/губитка који припада већинским власницима</t>
  </si>
  <si>
    <t>Дио нето добитка/губитка који припада мањинским власницима</t>
  </si>
  <si>
    <t>Обична зарада по акцији</t>
  </si>
  <si>
    <t>Разријеђена зарада по акцији</t>
  </si>
  <si>
    <t>Просјечан број запослених по основу часова рада</t>
  </si>
  <si>
    <t>Просјечан број запослених по основу стања на крају мјесеца</t>
  </si>
  <si>
    <t>A. NETO DOBITAK ILI NETO GUBITAK PERIODA (299 ili 300)</t>
  </si>
  <si>
    <t>А. НЕТО ДОБИТАК ИЛИ НЕТО ГУБИТАК ПЕРИОДА (299 или 300)</t>
  </si>
  <si>
    <t>A. NET INCOME OR NET LOSS OF PERIOD (299 or 300)</t>
  </si>
  <si>
    <t>I - DOBICI UTVRĐENI DIREKTNO U KAPITALU (402 do 407)</t>
  </si>
  <si>
    <t>I - ДОБИЦИ УТВРЂЕНИ ДИРЕКТНО У КАПИТАЛУ (402 до 407)</t>
  </si>
  <si>
    <t>I - GAINS DETERMINED DIRECTLY IN CAPITAL (EQUITY) (402 to 407)</t>
  </si>
  <si>
    <t>1. Добици по основу смањења ревалоризационих резерви на сталним средствима, осим ХОВ расположивих за продају</t>
  </si>
  <si>
    <t>1) Gains from decreasing revaluation reserves for fixed assets, except securities available for sale</t>
  </si>
  <si>
    <t>2. Добици по основу промјене фер вриједности ХОВ расположивих за продају</t>
  </si>
  <si>
    <t>2) Gains from changes in fair value of securities available for sale</t>
  </si>
  <si>
    <t>3. Добици по основу превођења финансијских извјештаја иностраног пословања</t>
  </si>
  <si>
    <t>3) Gains arising from translation of financial statements in foreign operations</t>
  </si>
  <si>
    <t>4. Актуарски добици од планова дефинисаних примања</t>
  </si>
  <si>
    <t>4) Actuarial gains from defined-benefit plans</t>
  </si>
  <si>
    <t>5. Ефективни дио добитака по основу заштите од ризика готовинских токова</t>
  </si>
  <si>
    <t>5) Effective share of gains arising from cash-flow risk protection</t>
  </si>
  <si>
    <t>6. Остали добици утврђени директно у капиталу</t>
  </si>
  <si>
    <t>6) Other gains determined directly in capital (equity)</t>
  </si>
  <si>
    <t>II - GUBICI UTVRĐENI DIREKTNO U KAPITALU (409 do 413)</t>
  </si>
  <si>
    <t>II - ГУБИЦИ УТВРЂЕНИ ДИРЕКТНО У КАПИТАЛУ (409 до 413)</t>
  </si>
  <si>
    <t>II - LOSSES DETERMINED DIRECTLY IN CAPITAL (EQUITY) (409 to 413)</t>
  </si>
  <si>
    <t>1. Губици по основу промјене фер вриједности ХОВ расположивих за продају</t>
  </si>
  <si>
    <t>1) Losses from changes in fair value of securities available for sale</t>
  </si>
  <si>
    <t>2. Губици по основу превођења финансијских извјештаја иностраног пословања</t>
  </si>
  <si>
    <t>2) Losses arising from translation of financial statements in foreign operations</t>
  </si>
  <si>
    <t>3. Актуарски губици од планова дефинисаних примања</t>
  </si>
  <si>
    <t>3) Actuarial losses from defined-benefit plans</t>
  </si>
  <si>
    <t>4. Ефективни дио губитака по основу заштите од ризика готовинских токова</t>
  </si>
  <si>
    <t>4) Losses arising from cash-flow risk protection</t>
  </si>
  <si>
    <t>5. Остали губици утврђени директно у капиталу</t>
  </si>
  <si>
    <t>5) Other losses determined directly in capital (equity)</t>
  </si>
  <si>
    <t>B. OSTALI DOBICI ILI GUBICI U PERIODU (401 - 408) ili (408 - 401)</t>
  </si>
  <si>
    <t>Б. ОСТАЛИ ДОБИЦИ ИЛИ ГУБИЦИ У ПЕРИОДУ (401 - 408) или (408 - 401)</t>
  </si>
  <si>
    <t>B. OTHER GAINS AND LOSSES OF THE PERIOD (401 - 408) or (408 - 401)</t>
  </si>
  <si>
    <t>В. ПОРЕЗ НА ДОБИТАК КОЈИ СЕ ОДНОСИ НА ОСТАЛЕ ДОБИТКЕ И ГУБИТКЕ</t>
  </si>
  <si>
    <t>C. TAX ON THE OTHER GAINS AND LOSSES OF THE PERIOD</t>
  </si>
  <si>
    <t>G. NETO REZULTAT PO OSNOVU OSTALIH DOBITAKA I GUBITAKA U PERIODU (414 ± 415)</t>
  </si>
  <si>
    <t>Г. НЕТО РЕЗУЛТАТ ПО ОСНОВУ ОСТАЛИХ ДОБИТАКА И ГУБИТАКА У ПЕРИОДУ (414 ± 415)</t>
  </si>
  <si>
    <t>D. NET RESULT FROM THE OTHER GAINS AND LOSSES OF THE PERIOD (414 ± 415)</t>
  </si>
  <si>
    <t>Д. УКУПАН НЕТО РЕЗУЛТАТ У ОБРАЧУНСКОМ ПЕРИОДУ</t>
  </si>
  <si>
    <t>E. TOTAL NET INCOME (RESULT)</t>
  </si>
  <si>
    <t>I - UKUPAN NETO DOBITAK U OBRAČUNSKOM PERIODU (400 ± 416)</t>
  </si>
  <si>
    <t>I - УКУПАН НЕТО ДОБИТАК У ОБРАЧУНСКОМ ПЕРИОДУ (400 ± 416)</t>
  </si>
  <si>
    <t>I - TOTAL NET INCOME OF THE PERIOD (400 ± 416)</t>
  </si>
  <si>
    <t>II - UKUPAN NETO GUBITAK U OBRAČUNSKOM PERIODU (400 ± 416)</t>
  </si>
  <si>
    <t>II - УКУПАН НЕТО ГУБИТАК У ОБРАЧУНСКОМ ПЕРИОДУ (400 ± 416)</t>
  </si>
  <si>
    <t>II - TOTAL NET LOSS OF THE PERIOD (400 ± 416)</t>
  </si>
  <si>
    <t>А. ТОКОВИ ГОТОВИНЕ ИЗ ПОСЛОВНИХ АКТИВНОСТИ</t>
  </si>
  <si>
    <t>A. CASH FLOWS FROM OPERATING ACTIVITIES</t>
  </si>
  <si>
    <t>I - PRILIVI GOTOVINE IZ POSLOVNIH AKTIVNOSTI (502 do 504)</t>
  </si>
  <si>
    <t>I - ПРИЛИВИ ГОТОВИНЕ ИЗ ПОСЛОВНИХ АКТИВНОСТИ (502 до 504)</t>
  </si>
  <si>
    <t>I - CASH PROCEEDS FROM OPERATING ACTIVITIES (502 to 504)</t>
  </si>
  <si>
    <t>1. Приливи од купаца и примљени аванси</t>
  </si>
  <si>
    <t>1) Proceeds from sale and advances (prepayments)</t>
  </si>
  <si>
    <t>2. Приливи од премија, субвенција, дотација и сл.</t>
  </si>
  <si>
    <t>2) Proceeds from premiums, subventions, grants, etc.</t>
  </si>
  <si>
    <t>3. Остали приливи из пословних активности</t>
  </si>
  <si>
    <t>3) Other proceeds from operating activities</t>
  </si>
  <si>
    <t>II - ODLIVI GOTOVINE IZ POSLOVNIH AKTIVNOSTI (506 do 510)</t>
  </si>
  <si>
    <t>II - ОДЛИВИ ГОТОВИНЕ ИЗ ПОСЛОВНИХ АКТИВНОСТИ (506 до 510)</t>
  </si>
  <si>
    <t>II - CASH OUTFLOWS FROM OPERATING ACTIVITIES (506 to 510)</t>
  </si>
  <si>
    <t>1. Одливи по основу исплата добављачима и дати аванси</t>
  </si>
  <si>
    <t>1) Payments to suppliers and given advances (prepayments)</t>
  </si>
  <si>
    <t>2. Одливи по основу исплата зарада, накнада зарада и осталих личних расхода</t>
  </si>
  <si>
    <t>2) Payments for employee wages, salaries, and other employee benefits</t>
  </si>
  <si>
    <t>3. Одливи по основу плаћених камата</t>
  </si>
  <si>
    <t>3) Payment of interests</t>
  </si>
  <si>
    <t>4. Одливи по основу пореза на добит</t>
  </si>
  <si>
    <t>4) Payment of income taxes</t>
  </si>
  <si>
    <t>5. Остали одливи из пословних активности</t>
  </si>
  <si>
    <t>5) Other payments of operating activities</t>
  </si>
  <si>
    <t>III - NETO PRILIV GOTOVINE IZ POSLOVNIH AKTIVNOSTI (501 - 505)</t>
  </si>
  <si>
    <t>III - НЕТО ПРИЛИВ ГОТОВИНЕ ИЗ ПОСЛОВНИХ АКТИВНОСТИ (501 - 505)</t>
  </si>
  <si>
    <t>III - NET INFLOW OF CASH FROM OPERATING ACTIVITIES (501 - 505)</t>
  </si>
  <si>
    <t>IV - NETO ODLIV GOTOVINE IZ POSLOVNIH AKTIVNOSTI (505 - 501)</t>
  </si>
  <si>
    <t>IV - НЕТО ОДЛИВ ГОТОВИНЕ ИЗ ПОСЛОВНИХ АКТИВНОСТИ (505 - 501)</t>
  </si>
  <si>
    <t>IV - NET OUTFLOW OF CASH FROM OPERATING ACTIVITIES (505 - 501)</t>
  </si>
  <si>
    <t>Б. ТОКОВИ ГОТОВИНЕ ИЗ АКТИВНОСТИ ИНВЕСТИРАЊА</t>
  </si>
  <si>
    <t>I - PRILIVI GOTOVINE IZ AKTIVNOSTI INVESTIRANJA (514 do 519)</t>
  </si>
  <si>
    <t>I - ПРИЛИВИ ГОТОВИНЕ ИЗ АКТИВНОСТИ ИНВЕСТИРАЊА (514 до 519)</t>
  </si>
  <si>
    <t>I - PROCEEDS FROM INVESTING ACTIVITIES (514 to 519)</t>
  </si>
  <si>
    <t>1. Приливи по основу краткорочних финансијских пласмана</t>
  </si>
  <si>
    <t>1) Proceeds from short-term financial investment</t>
  </si>
  <si>
    <t>2. Приливи по основу продаје акција и удјела</t>
  </si>
  <si>
    <t>2) Proceeds from sale of shares and capital stakes</t>
  </si>
  <si>
    <t>3) Proceeds from sale of intangible assets, real-estates, plant, equipment, investment property and biological assets</t>
  </si>
  <si>
    <t>4. Приливи по основу камата</t>
  </si>
  <si>
    <t>4) Proceeds from interests</t>
  </si>
  <si>
    <t>5. Приливи од дивиденди и учешћа у добитку</t>
  </si>
  <si>
    <t>5) Proceeds from dividends and participation in profit</t>
  </si>
  <si>
    <t>6. Приливи по основу осталих дугорочних финансијских пласмана</t>
  </si>
  <si>
    <t>6) Proceeds from other long-term financial investments</t>
  </si>
  <si>
    <t>II - ODLIVI GOTOVINE IZ AKTIVNOSTI INVESTIRANJA (521 do 524)</t>
  </si>
  <si>
    <t>II - ОДЛИВИ ГОТОВИНЕ ИЗ АКТИВНОСТИ ИНВЕСТИРАЊА (521 до 524)</t>
  </si>
  <si>
    <t>II - CASH OUTFLOW FROM INVESTING ACTIVITIES (521 to 524)</t>
  </si>
  <si>
    <t>1. Одливи по основу краткорочних финансијских пласмана</t>
  </si>
  <si>
    <t>1) Outflows from short-term financial investments</t>
  </si>
  <si>
    <t>2. Одливи по основу куповине акција и удјела</t>
  </si>
  <si>
    <t>2) Оutflows arising from purchase of shares and participation in capital</t>
  </si>
  <si>
    <t>3) Outflows from purchase of intangible assets, real-estates, plant, equipment, investment property and biological assets</t>
  </si>
  <si>
    <t>4. Одливи по основу осталих дугорочних финансијских пласмана</t>
  </si>
  <si>
    <t>4) Outflow arising from other long-term financial investments</t>
  </si>
  <si>
    <t>III - NETO PRILIV GOTOVINE IZ AKTIVNOSTI INVESTIRANJA (513 - 520)</t>
  </si>
  <si>
    <t>III - НЕТО ПРИЛИВ ГОТОВИНЕ ИЗ АКТИВНОСТИ ИНВЕСТИРАЊА (513 - 520)</t>
  </si>
  <si>
    <t>III - NET CASH INFLOW FROM INVESTING ACTIVITIES (513 - 520)</t>
  </si>
  <si>
    <t>IV - NETO ODLIV GOTOVINE IZ AKTIVNOSTI INVESTIRANJA (520 - 513)</t>
  </si>
  <si>
    <t>IV - НЕТО ОДЛИВ ГОТОВИНЕ ИЗ АКТИВНОСТИ ИНВЕСТИРАЊА (520 - 513)</t>
  </si>
  <si>
    <t>IV - NET CASH OUTFLOW FROM INVESTING ACTIVITIES (520 - 513)</t>
  </si>
  <si>
    <t>В. ТОКОВИ ГОТОВИНЕ ИЗ АКТИВНОСТИ ФИНАНСИРАЊА</t>
  </si>
  <si>
    <t>C. CASH FLOW FROM FINANCING ACTIVITIES</t>
  </si>
  <si>
    <t>I - PRILIV GOTOVINE IZ AKTIVNOSTI FINANSIRANJA (528 do 531)</t>
  </si>
  <si>
    <t>I - ПРИЛИВ ГОТОВИНЕ ИЗ АКТИВНОСТИ ФИНАНСИРАЊА (528 до 531)</t>
  </si>
  <si>
    <t>I - CASH INFLOW FROM FINANCING ACTIVITIES (528 to 531)</t>
  </si>
  <si>
    <t>1. Приливи по основу повећања основног капитала</t>
  </si>
  <si>
    <t>1) Inflow from increase in share capital</t>
  </si>
  <si>
    <t>2. Приливи по основу дугорочних кредита</t>
  </si>
  <si>
    <t>2) Inflow arising from long-term financial liabilities</t>
  </si>
  <si>
    <t>3. Приливи по основу краткорочних кредита</t>
  </si>
  <si>
    <t>3) Inflow arising from short-term financial liabilities</t>
  </si>
  <si>
    <t>4. Приливи по основу осталих дугорочних и краткорочних обавеза</t>
  </si>
  <si>
    <t>4) Inflow from other long-term and short-term financial liabilities</t>
  </si>
  <si>
    <t>II - ODLIVI GOTOVINE IZ AKTIVNOSTI FINANSIRANJA (533 do 538)</t>
  </si>
  <si>
    <t>II - ОДЛИВИ ГОТОВИНЕ ИЗ АКТИВНОСТИ ФИНАНСИРАЊА (533 до 538)</t>
  </si>
  <si>
    <t>II - CASH OUTFLOW FROM FINANCING ACTIVITIES (533 to 538)</t>
  </si>
  <si>
    <t>1. Одливи по основу откупа сопствених акција и удјела</t>
  </si>
  <si>
    <t>1) Outflow from redemption of own shares and capital stakes</t>
  </si>
  <si>
    <t>2. Одливи по основу дугорочних кредита</t>
  </si>
  <si>
    <t>2) Outflow from long-term financial liabilities</t>
  </si>
  <si>
    <t>3. Одливи по основу краткорочних кредита</t>
  </si>
  <si>
    <t>3) Outflow from short-term financial liabilities</t>
  </si>
  <si>
    <t>4. Одливи по основу финансијског лизинга</t>
  </si>
  <si>
    <t>4) Net outflow arising from finance lease</t>
  </si>
  <si>
    <t>5. Одливи по основу исплаћених дивиденди</t>
  </si>
  <si>
    <t>5) Outflow arising from dividends and participation in profit</t>
  </si>
  <si>
    <t>6. Одливи по основу осталих дугорочних и краткорочних обавеза</t>
  </si>
  <si>
    <t>6) Outflows from other long-term and short-term liabilities</t>
  </si>
  <si>
    <t>III - NETO PRILIV GOTOVINE IZ AKTIVNOST FINANSIRANJA (527 - 532)</t>
  </si>
  <si>
    <t>III - НЕТО ПРИЛИВ ГОТОВИНЕ ИЗ АКТИВНОСТ ФИНАНСИРАЊА (527 - 532)</t>
  </si>
  <si>
    <t>III - NET INFLOW OF CASH FROM FINANCING ACTIVITIES (527 - 532)</t>
  </si>
  <si>
    <t>IV - NETO ODLIV GOTOVINE IZ AKTIVNOSTI FINANSIRANJA (532 - 527)</t>
  </si>
  <si>
    <t>IV - НЕТО ОДЛИВ ГОТОВИНЕ ИЗ АКТИВНОСТИ ФИНАНСИРАЊА (532 - 527)</t>
  </si>
  <si>
    <t>IV - NET OUTFLOW OF CASH FROM FINANCING ACTIVITIES (532 - 527)</t>
  </si>
  <si>
    <t>G. UKUPNI PRILIVI GOTOVINE (501 + 513 + 527)</t>
  </si>
  <si>
    <t>Г. УКУПНИ ПРИЛИВИ ГОТОВИНЕ (501 + 513 + 527)</t>
  </si>
  <si>
    <t>D. TOTAL CASH INFLOW (501 + 513 + 527)</t>
  </si>
  <si>
    <t>D. UKUPNI ODLIVI GOTOVINE (505 + 520 + 532)</t>
  </si>
  <si>
    <t>Д. УКУПНИ ОДЛИВИ ГОТОВИНЕ (505 + 520 + 532)</t>
  </si>
  <si>
    <t>E. TOTAL CASH OUTFLOW (505 + 520 + 532)</t>
  </si>
  <si>
    <t>Đ. NETO PRILIV GOTOVINE (541 - 542)</t>
  </si>
  <si>
    <t>Ђ. НЕТО ПРИЛИВ ГОТОВИНЕ (541 - 542)</t>
  </si>
  <si>
    <t>F. NET CASH INFLOW (541 - 542)</t>
  </si>
  <si>
    <t>E. NETO ODLIV GOTOVINE (542 - 541)</t>
  </si>
  <si>
    <t>Е. НЕТО ОДЛИВ ГОТОВИНЕ (542 - 541)</t>
  </si>
  <si>
    <t>G. NET CASH OUTFLOW (542 - 541)</t>
  </si>
  <si>
    <t>Ж. ГОТОВИНА НА ПОЧЕТКУ ОБРАЧУНСКОГ ПЕРИОДА</t>
  </si>
  <si>
    <t>H. CASH AT THE BEGINNING OF REPORTING PERIOD</t>
  </si>
  <si>
    <t>З. ПОЗИТИВНЕ КУРСНЕ РАЗЛИКЕ ПО ОСНОВУ ПРЕРАЧУНА ГОТОВИНЕ</t>
  </si>
  <si>
    <t>I. FOREIGN EXCHANGE GAINS FROM TRANSLATION OF CASH</t>
  </si>
  <si>
    <t>И. НЕГАТИВНЕ КУРСНЕ РАЗЛИКЕ ПО ОСНОВУ ПРЕРАЧУНА ГОТОВИНЕ</t>
  </si>
  <si>
    <t>J. FOREIGN EXCHANGE LOSSES FROM TRANSLATION OF CASH</t>
  </si>
  <si>
    <t>J. GOTOVINA NA KRAJU OBRAČUNSKOG PERIODA (545 + 543 - 544 + 546 - 547)</t>
  </si>
  <si>
    <t>Ј. ГОТОВИНА НА КРАЈУ ОБРАЧУНСКОГ ПЕРИОДА (545 + 543 - 544 + 546 - 547)</t>
  </si>
  <si>
    <t>K. CASH AT THE END OF REPORTING PERIOD (545 + 543 - 544 + 546 - 547)</t>
  </si>
  <si>
    <t>Ulaganja u istraživanje i razvoj (dugovni promet bez početnog stanja)</t>
  </si>
  <si>
    <t>Улагања у истраживање и развој (дуговни промет без почетног стања)</t>
  </si>
  <si>
    <t>Investment in research and development (debit turnover without opening balance)</t>
  </si>
  <si>
    <t>Kupci iz Republike Srpske i kupci - povezana pravna lica iz RS (dugovni promet bez početnog stanja)</t>
  </si>
  <si>
    <t>Купци из Републике Српске и купци - повезана правна лица из РС (дуговни промет без почетног стања)</t>
  </si>
  <si>
    <t>Customers and customers - related legal entities from Republic of Srpska (RS) (debit turnover without opening balance)</t>
  </si>
  <si>
    <t>Kupci iz Federacije BiH i kupci - povezana pravna lica iz FBiH (dugovni promet bez početnog stanja)</t>
  </si>
  <si>
    <t>Купци из Федерације БиХ и купци - повезана правна лица из ФБиХ (дуговни промет без почетног стања)</t>
  </si>
  <si>
    <t>Customers and customers - related legal entities from Federation of BiH (FBiH) (debit turnover without opening balance)</t>
  </si>
  <si>
    <t>Kupci iz Brčko Distrikta BiH i kupci - povezana pravna lica iz BD (dugovni promet bez početnog stanja)</t>
  </si>
  <si>
    <t>Купци из Брчко Дистрикта БиХ и купци - повезана правна лица из БД (дуговни промет без почетног стања)</t>
  </si>
  <si>
    <t>Customers and customers - related legal entities from The Brčko District (BD) (debit turnover without opening balance)</t>
  </si>
  <si>
    <t>Dobavljači iz Republike Srpske i dobavljači - povezana pravna lica iz RS (potražni promet bez početnog stanja)</t>
  </si>
  <si>
    <t>Добављачи из Републике Српске и добављачи - повезана правна лица из РС (потражни промет без почетног стања)</t>
  </si>
  <si>
    <t>Suppliers and suppliers - related legal entities from RS (credit turnover without opening balance)</t>
  </si>
  <si>
    <t>Dobavljači iz Federacije BiH i dobavljači - povezana pravna lica iz FBiH (potražni promet bez početnog stanja)</t>
  </si>
  <si>
    <t>Добављачи из Федерације БиХ и добављачи - повезана правна лица из ФБиХ (потражни промет без почетног стања)</t>
  </si>
  <si>
    <t>Suppliers and suppliers - related legal entities from FBiH (credit turnover without opening balance)</t>
  </si>
  <si>
    <t>Dobavljači iz Brčko Distrikta BiH i dobavljači - povezana pravna lica iz DB (potražni promet bez početnog stanja)</t>
  </si>
  <si>
    <t>Добављачи из Брчко Дистрикта БиХ и добављачи - повезана правна лица из ДБ (потражни промет без почетног стања)</t>
  </si>
  <si>
    <t>Suppliers and suppliers - related legal entities from BD (credit turnover without opening balance)</t>
  </si>
  <si>
    <t>Prihodi od prodaje robe u Republici Srpskoj i prihodi od prodaje robe povezanim pravnim licima u RS</t>
  </si>
  <si>
    <t>Приходи од продаје робе у Републици Српској и приходи од продаје робе повезаним правним лицима у РС</t>
  </si>
  <si>
    <t>Income from sales of merchandise goods in RS and income from sales of merchandise goods to related legal entities in RS</t>
  </si>
  <si>
    <t>Prihodi od prodaje robe u Federaciji BiH i prihodi od prodaje robe povezanim pravnim licima u FBiH</t>
  </si>
  <si>
    <t>Приходи од продаје робе у Федерацији БиХ и приходи од продаје робе повезаним правним лицима у ФБиХ</t>
  </si>
  <si>
    <t>Income from sales of merchandise goods in FBiH and income from sales of merchandise goods to related legal entities in FBiH</t>
  </si>
  <si>
    <t>Prihodi od prodaje robe u Brčko Distriktu BiH i prihodi od prodaje robe povezanim pravnim licima u BD</t>
  </si>
  <si>
    <t>Приходи од продаје робе у Брчко Дистрикту БиХ и приходи од продаје робе повезаним правним лицима у БД</t>
  </si>
  <si>
    <t>Income from sales of merchandise goods in BD and income from sales of merchandise goods to related legal entities in BD</t>
  </si>
  <si>
    <t>Prihodi od prodaje učinaka u Republici Srpskoj i prihodi od prodaje učinaka povezanim pravnim licima u RS</t>
  </si>
  <si>
    <t>Приходи од продаје учинака у Републици Српској и приходи од продаје учинака повезаним правним лицима у РС</t>
  </si>
  <si>
    <t>Income from sales of products in RS and income from sales of merchandise goods to related legal entities in RS</t>
  </si>
  <si>
    <t>Prihodi od prodaje učinaka u Federaciji BiH i prihodi od prodaje učinaka povezanim pravnim licima u FBiH</t>
  </si>
  <si>
    <t>Приходи од продаје учинака у Федерацији БиХ и приходи од продаје учинака повезаним правним лицима у ФБиХ</t>
  </si>
  <si>
    <t>Income from sales of products in FBiH and income from sales of merchandise goods to related legal entities in FBiH</t>
  </si>
  <si>
    <t>Prihodi od prodaje učinaka u Brčko Distriktu BiH i prihodi od prodaje učinaka povezanim pravnim licima u BD</t>
  </si>
  <si>
    <t>Приходи од продаје учинака у Брчко Дистрикту БиХ и приходи од продаје учинака повезаним правним лицима у БД</t>
  </si>
  <si>
    <t>Income from sales of products in BD and income from sales of merchandise goods to related legal entities in BD</t>
  </si>
  <si>
    <t>Prihodi od prodaje usluga u Republici Srpskoj</t>
  </si>
  <si>
    <t>Приходи од продаје услуга у Републици Српској</t>
  </si>
  <si>
    <t>Income from sales of services in RS</t>
  </si>
  <si>
    <t>Prihodi od prodaje usluga u Federaciji BiH</t>
  </si>
  <si>
    <t>Приходи од продаје услуга у Федерацији БиХ</t>
  </si>
  <si>
    <t>Income from sales of services in FBiH</t>
  </si>
  <si>
    <t>Prihodi od prodaje usluga u Brčko Distriktu BiH</t>
  </si>
  <si>
    <t>Приходи од продаје услуга у Брчко Дистрикту БиХ</t>
  </si>
  <si>
    <t>Income from sales of services in BD</t>
  </si>
  <si>
    <t>a) Prihodi od premija, subvencija, dotacija, regresa, podsticaja i slično</t>
  </si>
  <si>
    <t>а) Приходи од премија, субвенција, дотација, регреса, подстицаја и слично</t>
  </si>
  <si>
    <t>Од тога: приходи по основу субвенција на производе (субвенције које се могу приказати по јединици производа, нпр. возна карта, брашно, хљеб, млијеко и др.)</t>
  </si>
  <si>
    <t>б) Приход од закупнина</t>
  </si>
  <si>
    <t>v) Prihod od donacija</t>
  </si>
  <si>
    <t>в) Приход од донација</t>
  </si>
  <si>
    <t>g) Prihod od članarina</t>
  </si>
  <si>
    <t>г) Приход од чланарина</t>
  </si>
  <si>
    <t>d) Prihod od tantijema i licencnih prava</t>
  </si>
  <si>
    <t>д) Приход од тантијема и лиценцних права</t>
  </si>
  <si>
    <t>đ) Prihod iz namjenskih izvora finansiranja (iz budžeta, fondova i dr.)</t>
  </si>
  <si>
    <t>ђ) Приход из намјенских извора финансирања (из буџета, фондова и др.)</t>
  </si>
  <si>
    <t>e) Ostali poslovni prihodi po drugim osnovima</t>
  </si>
  <si>
    <t>е) Остали пословни приходи по другим основима</t>
  </si>
  <si>
    <t>ФИНАНСИЈСКИ И ОСТАЛИ ПРИХОДИ</t>
  </si>
  <si>
    <t>Од тога: приходи од учешћа у добити (дивиденди)</t>
  </si>
  <si>
    <t>Dobici po osnovu prodaje nekretnina, postrojenja i opreme</t>
  </si>
  <si>
    <t>Добици по основу продаје некретнина, постројења и опреме</t>
  </si>
  <si>
    <t>Приходи по основу уговорене заштите од ризика</t>
  </si>
  <si>
    <t>ТРОШКОВИ МАТЕРИЈАЛА</t>
  </si>
  <si>
    <t>Од тога: трошкови горива и енергије</t>
  </si>
  <si>
    <t>ТРОШКОВИ ЗАРАДА, НАКНАДА ЗАРАДА И ОСТАЛИХ ЛИЧНИХ РАСХОДА</t>
  </si>
  <si>
    <t>Troškovi zaposlenih na službenom putu</t>
  </si>
  <si>
    <t>Трошкови запослених на службеном путу</t>
  </si>
  <si>
    <t>Employee expenses on a business trip</t>
  </si>
  <si>
    <t>Od toga: dnevnice</t>
  </si>
  <si>
    <t>Од тога: дневнице</t>
  </si>
  <si>
    <t>Of which: expenses of allowances for business trip</t>
  </si>
  <si>
    <t>а) Трошкови услуга на изради учинака</t>
  </si>
  <si>
    <t>a) Expenses of services on the productions of product</t>
  </si>
  <si>
    <t>б) Трошкови транспортних услуга</t>
  </si>
  <si>
    <t>v) Troškovi za usluge tekućeg održavanja osnovnih sredstava</t>
  </si>
  <si>
    <t>в) Трошкови за услуге текућег одржавања основних средстава</t>
  </si>
  <si>
    <t>c) Fixed assets ongoing maintenance services expenses</t>
  </si>
  <si>
    <t>g) Troškovi za usluge investicionog održavanja osnovnih sredstava</t>
  </si>
  <si>
    <t>г) Трошкови за услуге инвестиционог одржавања основних средстава</t>
  </si>
  <si>
    <t>d) Fixed assets investment maintenance services expenses</t>
  </si>
  <si>
    <t>d) Troškovi zakupa</t>
  </si>
  <si>
    <t>д) Трошкови закупа</t>
  </si>
  <si>
    <t>đ) Troškovi sajmova, reklame i propagande</t>
  </si>
  <si>
    <t>ђ) Трошкови сајмова, рекламе и пропаганде</t>
  </si>
  <si>
    <t>e) Troškovi istraživanja i razvoja koji se ne kapitalizuju</t>
  </si>
  <si>
    <t>е) Трошкови истраживања и развоја који се не капитализују</t>
  </si>
  <si>
    <t>ž) Troškovi ostalih usluga</t>
  </si>
  <si>
    <t>ж) Трошкови осталих услуга</t>
  </si>
  <si>
    <t>Od toga: bruto iznosi naknada po ugovorima sa fizičkim licima van radnog odnosa</t>
  </si>
  <si>
    <t>Од тога: бруто износи накнада по уговорима са физичким лицима ван радног односа</t>
  </si>
  <si>
    <t>Of which: Gross fee amount for contracts with unemployed individuals</t>
  </si>
  <si>
    <t>ОБАВЕЗЕ И ПОТРАЖИВАЊА</t>
  </si>
  <si>
    <t>Обрачунати (фактурисани) порез на додату вриједност (кумулативан промет конта)</t>
  </si>
  <si>
    <t>Улазни порез на додату вриједност (кумулативан промет конта)</t>
  </si>
  <si>
    <t>Obaveze za PDV po osnovu razlike između obračunatog i akontacionog PDV-a (saldo konta)</t>
  </si>
  <si>
    <t>Обавезе за ПДВ по основу разлике између обрачунатог и аконтационог ПДВ-а (салдо конта)</t>
  </si>
  <si>
    <t>Potraživanja po osnovu razlike između akontacionog i obračunatog PDV-a (saldo konta)</t>
  </si>
  <si>
    <t>Потраживања по основу разлике између аконтационог и обрачунатог ПДВ-а (салдо конта)</t>
  </si>
  <si>
    <t>PDV plaćen pri uvozu (kumulativan promet konta)</t>
  </si>
  <si>
    <t>ПДВ плаћен при увозу (кумулативан промет конта)</t>
  </si>
  <si>
    <t>Обавезе за ПДВ плаћен при увозу (кумулативан промет конта)</t>
  </si>
  <si>
    <t>Обавезе за акцизе (кумулативан промет конта)</t>
  </si>
  <si>
    <t>Приходи остварени на бази подуговарања</t>
  </si>
  <si>
    <t>Плаћања подуговарачима за рад, испоручене производе и услуге</t>
  </si>
  <si>
    <t>Укупан број одрађених часова рада (ефективни часови рада без боловања, годишњих одмора, државних празника и сл.)</t>
  </si>
  <si>
    <t>010, dio 019</t>
  </si>
  <si>
    <t>010, дио 019</t>
  </si>
  <si>
    <t>010, part 019</t>
  </si>
  <si>
    <t>011, dio 019</t>
  </si>
  <si>
    <t>011, дио 019</t>
  </si>
  <si>
    <t>011, part 019</t>
  </si>
  <si>
    <t>012, dio 019</t>
  </si>
  <si>
    <t>012, дио 019</t>
  </si>
  <si>
    <t>012, part 019</t>
  </si>
  <si>
    <t>014, dio 019</t>
  </si>
  <si>
    <t>014, дио 019</t>
  </si>
  <si>
    <t>014, part 019</t>
  </si>
  <si>
    <t>015, 016, dio 019</t>
  </si>
  <si>
    <t>015, 016, дио 019</t>
  </si>
  <si>
    <t>015, 016, part 019</t>
  </si>
  <si>
    <t>020, dio 029</t>
  </si>
  <si>
    <t>020, дио 029</t>
  </si>
  <si>
    <t>020, part 029</t>
  </si>
  <si>
    <t>021, dio 029</t>
  </si>
  <si>
    <t>021, дио 029</t>
  </si>
  <si>
    <t>021, part 029</t>
  </si>
  <si>
    <t>022, dio 029</t>
  </si>
  <si>
    <t>022, дио 029</t>
  </si>
  <si>
    <t>022, part 029</t>
  </si>
  <si>
    <t>023, dio 029</t>
  </si>
  <si>
    <t>023, дио 029</t>
  </si>
  <si>
    <t>023, part 029</t>
  </si>
  <si>
    <t>024, dio 029</t>
  </si>
  <si>
    <t>024, дио 029</t>
  </si>
  <si>
    <t>024, part 029</t>
  </si>
  <si>
    <t>027, 028, dio 029</t>
  </si>
  <si>
    <t>027, 028, дио 029</t>
  </si>
  <si>
    <t>027, 028, part 029</t>
  </si>
  <si>
    <t>030, dio 039</t>
  </si>
  <si>
    <t>030, дио 039</t>
  </si>
  <si>
    <t>030, part 039</t>
  </si>
  <si>
    <t>031, dio 039</t>
  </si>
  <si>
    <t>031, дио 039</t>
  </si>
  <si>
    <t>031, part 039</t>
  </si>
  <si>
    <t>032, dio 039</t>
  </si>
  <si>
    <t>032, дио 039</t>
  </si>
  <si>
    <t>032, part 039</t>
  </si>
  <si>
    <t>033, dio 039</t>
  </si>
  <si>
    <t>033, дио 039</t>
  </si>
  <si>
    <t>033, part 039</t>
  </si>
  <si>
    <t>037, 038, dio 039</t>
  </si>
  <si>
    <t>037, 038, дио 039</t>
  </si>
  <si>
    <t>037, 038, part 039</t>
  </si>
  <si>
    <t>040, дио 049</t>
  </si>
  <si>
    <t>041, дио 049</t>
  </si>
  <si>
    <t>042, дио 049</t>
  </si>
  <si>
    <t>043, дио 049</t>
  </si>
  <si>
    <t>044, дио 049</t>
  </si>
  <si>
    <t>045, дио 049</t>
  </si>
  <si>
    <t>046, дио 049</t>
  </si>
  <si>
    <t>048, дио 049</t>
  </si>
  <si>
    <t>10 до 15</t>
  </si>
  <si>
    <t>100 до 109</t>
  </si>
  <si>
    <t>110 do 119</t>
  </si>
  <si>
    <t>110 до 119</t>
  </si>
  <si>
    <t>110 to 119</t>
  </si>
  <si>
    <t>120 do 129</t>
  </si>
  <si>
    <t>120 до 129</t>
  </si>
  <si>
    <t>120 to 129</t>
  </si>
  <si>
    <t>130 до 139</t>
  </si>
  <si>
    <t>140 до 149</t>
  </si>
  <si>
    <t>150 до 159</t>
  </si>
  <si>
    <t>200, дио 209</t>
  </si>
  <si>
    <t>201, 202, 203, dio 209</t>
  </si>
  <si>
    <t>201, 202, 203, дио 209</t>
  </si>
  <si>
    <t>201, 202, 203, part 209</t>
  </si>
  <si>
    <t>204, dio 209</t>
  </si>
  <si>
    <t>204, дио 209</t>
  </si>
  <si>
    <t>204, part 209</t>
  </si>
  <si>
    <t>208, dio 209</t>
  </si>
  <si>
    <t>208, дио 209</t>
  </si>
  <si>
    <t>208, part 209</t>
  </si>
  <si>
    <t>210 до 219</t>
  </si>
  <si>
    <t>220 до 229</t>
  </si>
  <si>
    <t>230, дио 239</t>
  </si>
  <si>
    <t>231, дио 239</t>
  </si>
  <si>
    <t>232, дио 239</t>
  </si>
  <si>
    <t>233, 234, dio 239</t>
  </si>
  <si>
    <t>233, 234, дио 239</t>
  </si>
  <si>
    <t>233, 234, part 239</t>
  </si>
  <si>
    <t>235, дио 239</t>
  </si>
  <si>
    <t>236, дио 239</t>
  </si>
  <si>
    <t>238, дио 239</t>
  </si>
  <si>
    <t>241 до 249</t>
  </si>
  <si>
    <t>270 до 279</t>
  </si>
  <si>
    <t>280 до 289, осим 288</t>
  </si>
  <si>
    <t>280 to 289, except 288</t>
  </si>
  <si>
    <t>880 до 888</t>
  </si>
  <si>
    <t>дио 32</t>
  </si>
  <si>
    <t>330, 331, 334</t>
  </si>
  <si>
    <t>413, 414</t>
  </si>
  <si>
    <t>415, 416</t>
  </si>
  <si>
    <t>42 do 49</t>
  </si>
  <si>
    <t>42 до 49</t>
  </si>
  <si>
    <t>42 to 49</t>
  </si>
  <si>
    <t>420 до 423</t>
  </si>
  <si>
    <t>424, 425</t>
  </si>
  <si>
    <t>432, 433, 434</t>
  </si>
  <si>
    <t>440 до 449</t>
  </si>
  <si>
    <t>450 до 458</t>
  </si>
  <si>
    <t>460 до 469</t>
  </si>
  <si>
    <t>470 до 479</t>
  </si>
  <si>
    <t>48, osim 481</t>
  </si>
  <si>
    <t>48, осим 481</t>
  </si>
  <si>
    <t>48, except 481</t>
  </si>
  <si>
    <t>49, осим 495</t>
  </si>
  <si>
    <t>890 до 898</t>
  </si>
  <si>
    <t>601, 602, 603</t>
  </si>
  <si>
    <t>611, 612, 613</t>
  </si>
  <si>
    <t>640, 641</t>
  </si>
  <si>
    <t>642, 643</t>
  </si>
  <si>
    <t>650 до 659</t>
  </si>
  <si>
    <t>500 до 502</t>
  </si>
  <si>
    <t>510 до 513</t>
  </si>
  <si>
    <t>520 do 523</t>
  </si>
  <si>
    <t>520 до 523</t>
  </si>
  <si>
    <t>520 to 523</t>
  </si>
  <si>
    <t>524 do 529</t>
  </si>
  <si>
    <t>524 до 529</t>
  </si>
  <si>
    <t>524 to 529</t>
  </si>
  <si>
    <t>530 до 539</t>
  </si>
  <si>
    <t>55, osim 555 i 556</t>
  </si>
  <si>
    <t>55, осим 555 и 556</t>
  </si>
  <si>
    <t>55, except 555 and 556</t>
  </si>
  <si>
    <t>690, 691</t>
  </si>
  <si>
    <t>590, 591</t>
  </si>
  <si>
    <t>201, dio 200</t>
  </si>
  <si>
    <t>201, дио 200</t>
  </si>
  <si>
    <t>201, part 200</t>
  </si>
  <si>
    <t>202, dio 200</t>
  </si>
  <si>
    <t>202, дио 200</t>
  </si>
  <si>
    <t>202, part 200</t>
  </si>
  <si>
    <t>203, dio 200</t>
  </si>
  <si>
    <t>203, дио 200</t>
  </si>
  <si>
    <t>203, part 200</t>
  </si>
  <si>
    <t>432, dio 431</t>
  </si>
  <si>
    <t>432, дио 431</t>
  </si>
  <si>
    <t>432, part 431</t>
  </si>
  <si>
    <t>433, dio 431</t>
  </si>
  <si>
    <t>433, дио 431</t>
  </si>
  <si>
    <t>433, part 431</t>
  </si>
  <si>
    <t>434, dio 431</t>
  </si>
  <si>
    <t>434, дио 431</t>
  </si>
  <si>
    <t>434, part 431</t>
  </si>
  <si>
    <t>601, dio 600</t>
  </si>
  <si>
    <t>601, дио 600</t>
  </si>
  <si>
    <t>601, part 600</t>
  </si>
  <si>
    <t>602, dio 600</t>
  </si>
  <si>
    <t>602, дио 600</t>
  </si>
  <si>
    <t>602, part 600</t>
  </si>
  <si>
    <t>603, dio 600</t>
  </si>
  <si>
    <t>603, дио 600</t>
  </si>
  <si>
    <t>603, part 600</t>
  </si>
  <si>
    <t>611, dio 610</t>
  </si>
  <si>
    <t>611, дио 610</t>
  </si>
  <si>
    <t>611, part 610</t>
  </si>
  <si>
    <t>612, dio 610</t>
  </si>
  <si>
    <t>612, дио 610</t>
  </si>
  <si>
    <t>612, part 610</t>
  </si>
  <si>
    <t>613, dio 610</t>
  </si>
  <si>
    <t>613, дио 610</t>
  </si>
  <si>
    <t>613, part 610</t>
  </si>
  <si>
    <t>дио 611</t>
  </si>
  <si>
    <t>дио 612</t>
  </si>
  <si>
    <t>dio 613</t>
  </si>
  <si>
    <t>дио 613</t>
  </si>
  <si>
    <t>part 613</t>
  </si>
  <si>
    <t>дио 650</t>
  </si>
  <si>
    <t>66 + 67</t>
  </si>
  <si>
    <t>дио 660</t>
  </si>
  <si>
    <t>дио 670</t>
  </si>
  <si>
    <t>dio 525</t>
  </si>
  <si>
    <t>дио 525</t>
  </si>
  <si>
    <t>part 525</t>
  </si>
  <si>
    <t>дио 532</t>
  </si>
  <si>
    <t>534 + 535</t>
  </si>
  <si>
    <t>536 + 537</t>
  </si>
  <si>
    <t>дио 539</t>
  </si>
  <si>
    <t>дио 550</t>
  </si>
  <si>
    <t>дио 555</t>
  </si>
  <si>
    <t>47, осим 479</t>
  </si>
  <si>
    <t>27, осим 279</t>
  </si>
  <si>
    <t>Bold</t>
  </si>
  <si>
    <t>Visina reda</t>
  </si>
  <si>
    <t>POZICIJA</t>
  </si>
  <si>
    <t>ПОЗИЦИЈА</t>
  </si>
  <si>
    <t>ITEM</t>
  </si>
  <si>
    <t>Poslovni računi:</t>
  </si>
  <si>
    <t>Пословни рачуни:</t>
  </si>
  <si>
    <t>Лице овлашћено за заступање:</t>
  </si>
  <si>
    <t>Lice ovlašćeno za zastupanje:</t>
  </si>
  <si>
    <t>U:</t>
  </si>
  <si>
    <t>Datum:</t>
  </si>
  <si>
    <t>Датум:</t>
  </si>
  <si>
    <t>Date:</t>
  </si>
  <si>
    <t>Licence No.:</t>
  </si>
  <si>
    <t>Grupa Sr - latinica</t>
  </si>
  <si>
    <t>Grupa Sr - cirilica</t>
  </si>
  <si>
    <t>Grupa En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</si>
  <si>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</si>
  <si>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</si>
  <si>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</si>
  <si>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</si>
  <si>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</si>
  <si>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</si>
  <si>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</si>
  <si>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</si>
  <si>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</si>
  <si>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</si>
  <si>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</si>
  <si>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</si>
  <si>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</si>
  <si>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</si>
  <si>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</si>
  <si>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</si>
  <si>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</si>
  <si>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</si>
  <si>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</si>
  <si>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</si>
  <si>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</si>
  <si>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</si>
  <si>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</si>
  <si>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</si>
  <si>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</si>
  <si>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</si>
  <si>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</si>
  <si>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</si>
  <si>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</si>
  <si>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</si>
  <si>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</si>
  <si>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</si>
  <si>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</si>
  <si>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</si>
  <si>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</si>
  <si>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</si>
  <si>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</si>
  <si>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</si>
  <si>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</si>
  <si>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</si>
  <si>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</si>
  <si>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</si>
  <si>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</si>
  <si>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</si>
  <si>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</si>
  <si>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</si>
  <si>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</si>
  <si>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</si>
  <si>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</si>
  <si>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</si>
  <si>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</si>
  <si>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Gubitak grupa računa 35 (AOP 123) obuhvata gubitak ranijih godina, račun 350 i gubitak tekuće godine, račun 351, znači sve do vrijednosti kapitala, a sve preko toga u klasi 2, račun 290.</t>
  </si>
  <si>
    <t>Na primjer, ako je iskazano 31.12.2009. godine u bilansu stanja iskazano 1.000 KM neraporedjene dobiti i 100 KM gubitka iz prethodnih perioda unosi se neto 900 KM.</t>
  </si>
  <si>
    <t>Logičke kontrole obrazaca (greške su označene crvenom bojom)</t>
  </si>
  <si>
    <t xml:space="preserve">AOP 064 (kolona 6, odnosno 7) = AOP 164 (kolona 4, odnosno 5) </t>
  </si>
  <si>
    <t xml:space="preserve">AOP 065 (kolona 6, odnosno 7) = AOP 165 (kolona 4, odnosno 5) </t>
  </si>
  <si>
    <t xml:space="preserve">AOP 066 (kolona 6, odnosno 7) = AOP 166 (kolona 4, odnosno 5) </t>
  </si>
  <si>
    <t>AOP 548 (kolona 3, odnosno 4) = AOP 056 (kolona 6, odnosno 7).</t>
  </si>
  <si>
    <t>Ako je AOP 101 (kolona 4) &gt; 0, onda je AOP 923 (kolona 8) = AOP 101 (kolona 4).</t>
  </si>
  <si>
    <t>Ako je AOP 101 (kolona 5) &gt; 0, onda je AOP 915 (kolona 8) = AOP 101 (kolona 5).</t>
  </si>
  <si>
    <t>Ako je AOP 101 (kolona 5) = 0, onda je AOP 915 (kolona 8) = AOP 063 (kolona 7).</t>
  </si>
  <si>
    <t>Ako je AOP 101 (kolona 4) = 0, onda je AOP 923 (kolona 8) = AOP 063 (kolona 6).</t>
  </si>
  <si>
    <t>Ispravno tekuća godina</t>
  </si>
  <si>
    <t>Ispravno prethodna godina</t>
  </si>
  <si>
    <t>Redno broj kontrole</t>
  </si>
  <si>
    <t>Ako je podatak na oznaci AOP 063 (kolona 6, odnosno 7) &gt; 0, onda je i podatak na oznaci AOP 101 (kolona 4, odnosno 5) = 0.</t>
  </si>
  <si>
    <t>Ako je podatak na oznaci AOP 063 (kolona 6, odnosno 7) &gt; 0 i podatak na oznaci AOP 102 (kolona 4,odnosno 5) &gt; 0 , onda mora biti podatak na AOP 123 (kolona 4, odnosno 5) &gt; 0.</t>
  </si>
  <si>
    <t>Adrijana Cvijetić (adrijana.cvijetic@blberza.com - 051/326-053)</t>
  </si>
  <si>
    <t>010</t>
  </si>
  <si>
    <t>Konsolidovani naziv</t>
  </si>
  <si>
    <t xml:space="preserve">Konsolidovani </t>
  </si>
  <si>
    <t xml:space="preserve">Кoнсoлидoвaни </t>
  </si>
  <si>
    <t xml:space="preserve">Consolidated </t>
  </si>
  <si>
    <r>
      <t xml:space="preserve">Ako je AOP 063 = 0, onda je AOP 300 (kolona 4, odnosno 5) = AOP 125 (kolona 4, odnosno 5). </t>
    </r>
    <r>
      <rPr>
        <sz val="9"/>
        <rFont val="Calibri"/>
        <family val="2"/>
      </rPr>
      <t>U pojedinim slučajevima (međudividenda i sl.) je dozvoljena razlika.</t>
    </r>
  </si>
  <si>
    <t>3. Prilivi po osnovu prodaje nematerijalnih sredstava, nekretnina, postrojenja, opreme, investicionih nekretnina i bioloških sredstava</t>
  </si>
  <si>
    <t>3. Odlivi po osnovu kupovine nematerijalnih sredstava, nekretnina, postrojenja, opreme, investicionih nekretnina i bioloških sredstava</t>
  </si>
  <si>
    <t>3. Приливи по основу продаје нематеријалних средстава, некретнина, постројења, опреме, инвестиционих некретнина и биолошких средстава</t>
  </si>
  <si>
    <t>4. Povećanje vrijednosti zaliha učinaka</t>
  </si>
  <si>
    <t>6. Povećanje vrijednosti investicionih nekretnina i bioloških sredstava koja se ne amortizuju</t>
  </si>
  <si>
    <t>4. Повећање вриједности залиха учинака</t>
  </si>
  <si>
    <t>6. Повећање вриједности инвестиционих некретнина и биолошких средстава која се не амортизују</t>
  </si>
  <si>
    <t>6. Gubici po osnovu prodaje materijala</t>
  </si>
  <si>
    <t>6. Губици по основу продаје материјала</t>
  </si>
  <si>
    <t>8. Obezvrjeđenje potraživanja primjenom indirektne metode utvrđivanja otpisa potraživanja</t>
  </si>
  <si>
    <t>8. Обезврјеђење потраживања примјеном индиректне методе утврђивања отписа потраживања</t>
  </si>
  <si>
    <t xml:space="preserve">III - EMISIONA PREMIJA </t>
  </si>
  <si>
    <t>III - ЕМИСИОНА ПРЕМИЈА</t>
  </si>
  <si>
    <t xml:space="preserve">III - ISSUANCE PREMIUM </t>
  </si>
  <si>
    <t>IV - EMISIONI GUBITAK</t>
  </si>
  <si>
    <t>IV - ЕМИСИОНИ ГУБИТАК</t>
  </si>
  <si>
    <t>IV - ISSUANCE LOSS</t>
  </si>
  <si>
    <t>V - REZERVE (113 do 115)</t>
  </si>
  <si>
    <t>VI - REVALORIZACIONE REZERVE</t>
  </si>
  <si>
    <t>VI - РЕВАЛОРИЗАЦИОНЕ РЕЗЕРВЕ</t>
  </si>
  <si>
    <t>VI - REVALUATION RESERVES</t>
  </si>
  <si>
    <t>VII - NEREALIZOVANI DOBICI PO OSNOVU FINANSIJSKIH SREDSTAVA RASPOLOŽIVIH ZA PRODAJU</t>
  </si>
  <si>
    <t>VII - НЕРЕАЛИЗОВАНИ ДОБИЦИ ПО ОСНОВУ ФИНАНСИЈСКИХ СРЕДСТАВА РАСПОЛОЖИВИХ ЗА ПРОДАЈУ</t>
  </si>
  <si>
    <t>VII - UNREALISED GAINS FROM THE FINANCIAL ASSETS AVAILABLE FOR SALE</t>
  </si>
  <si>
    <t xml:space="preserve">VIII - NEREALIZOVANI GUBICI PO OSNOVU FINANSIJSKIH SREDSTAVA RASPOLOŽIVIH ZA PRODAJU </t>
  </si>
  <si>
    <t>VIII - НЕРЕАЛИЗОВАНИ ГУБИЦИ ПО ОСНОВУ ФИНАНСИЈСКИХ СРЕДСТАВА РАСПОЛОЖИВИХ ЗА ПРОДАЈУ</t>
  </si>
  <si>
    <t>VIII - UNREALISED LOSSES FROM THE FINANCIAL ASSETS AVAILABLE FOR SALE</t>
  </si>
  <si>
    <t>IX - NERASPOREĐENI DOBITAK (120 do 122)</t>
  </si>
  <si>
    <t>1. Neraspoređeni dobitak ranijih godina / Neraspoređeni višak prihoda nad rashodima ranijih godina</t>
  </si>
  <si>
    <t>1. Нераспоређени добитак ранијих година / Нераспоређени вишак прихода над расходима ранијих година</t>
  </si>
  <si>
    <t>2. Neraspoređeni dobitak tekuće godine / Neraspoređeni višak prihoda nad rashodima tekuće godine</t>
  </si>
  <si>
    <t>2. Нераспоређени добитак текуће године / Нераспоређени вишак прихода над расходима текуће године</t>
  </si>
  <si>
    <t>3. Neto prihod od samostalne djelatnosti</t>
  </si>
  <si>
    <t>3. Нето приход од самосталне дјелатности</t>
  </si>
  <si>
    <t>3) Net income of enterpreneurs</t>
  </si>
  <si>
    <t>X - GUBITAK DO VISINE KAPITALA (124 + 125)</t>
  </si>
  <si>
    <t>X - LOSS UP TO THE AMOUNT OF CAPITAL (124 + 125)</t>
  </si>
  <si>
    <t>340 ili 342</t>
  </si>
  <si>
    <t>340 или 342</t>
  </si>
  <si>
    <t>340 or 342</t>
  </si>
  <si>
    <t>341 ili 343</t>
  </si>
  <si>
    <t>341 или 343</t>
  </si>
  <si>
    <t>341 or 343</t>
  </si>
  <si>
    <t>A. KAPITAL (102 - 109 + 110 - 111 + 112 + 116 + 117 - 118 + 119 - 123)</t>
  </si>
  <si>
    <t>А. КАПИТАЛ (102 - 109 + 110 - 111 + 112 + 116 + 117 - 118 + 119 - 123)</t>
  </si>
  <si>
    <t>A. CAPITAL (102 - 109 + 110 - 111 + 112 + 116 + 117 - 118 + 119 - 123)</t>
  </si>
  <si>
    <t>dio 61</t>
  </si>
  <si>
    <t>522 + 523</t>
  </si>
  <si>
    <t>nema konta</t>
  </si>
  <si>
    <t>part 61</t>
  </si>
  <si>
    <t>дио 61</t>
  </si>
  <si>
    <t>Prihodi od prodaje proizvoda</t>
  </si>
  <si>
    <t>Prihodi od prodaje usluga</t>
  </si>
  <si>
    <t>OSTALI POSLOVNI PRIHODI (620 + 623 + 624 + 625 + 626 + 627 + 628)</t>
  </si>
  <si>
    <t>Prihodi po osnovu ugovorene zaštite od rizika koji ne ispunjavaju uslove da se iskažu u okviru revalorizacionih rezervi</t>
  </si>
  <si>
    <t>Troškovi bruto naknada članovima upravnog, nadzornog, odbora za reviziju i dr.</t>
  </si>
  <si>
    <t>TROŠKOVI PROIZVODNIH USLUGA (640 + 641 + 642 + 643 + 644 + 645 + 646 + 647)</t>
  </si>
  <si>
    <t>NEMATERIJALNI TROŠKOVI (650 + 653 + 654 + 655 + 656 + 657 + 658 + 659)</t>
  </si>
  <si>
    <t>a) Troškovi neproizvodnih usluga</t>
  </si>
  <si>
    <t>Od toga: troškovi stručnog obrazovanja i usavršavanja zaposlenih</t>
  </si>
  <si>
    <t>b) Troškovi reprezentacije</t>
  </si>
  <si>
    <t>v) Troškovi premije osiguranja</t>
  </si>
  <si>
    <t>g) Troškovi platnog prometa</t>
  </si>
  <si>
    <t>d) Troškovi članarina</t>
  </si>
  <si>
    <t>đ) Troškovi poreza na proizvode, carine, boravišne takse, porez na igre na sreću i sl.</t>
  </si>
  <si>
    <t>ž) Ostali nematerijalni troškovi</t>
  </si>
  <si>
    <t>e) Troškovi poreza na proizvodnju: na imovinu, na zemljište, za korišćenje voda i šuma, za protivpožarnu zaštitu i sl.</t>
  </si>
  <si>
    <t>1</t>
  </si>
  <si>
    <t>Income from sales of products</t>
  </si>
  <si>
    <t>Income from sales of services</t>
  </si>
  <si>
    <t>a) Non-productive services expense</t>
  </si>
  <si>
    <t>b) Representation expense</t>
  </si>
  <si>
    <t>c) Insurance premium expanse</t>
  </si>
  <si>
    <t>d) Money transfer expense</t>
  </si>
  <si>
    <t>e) Membership fee expanse</t>
  </si>
  <si>
    <t>f) Taxes on products, duties, residential tax, gambling tax, etc.</t>
  </si>
  <si>
    <t>g) Taxes on production: property and land taxes, taxes for water and forest, fire protection, etc.</t>
  </si>
  <si>
    <t>h) Other non-material expenses</t>
  </si>
  <si>
    <t>нема конта</t>
  </si>
  <si>
    <t>Приходи од продаје услуга</t>
  </si>
  <si>
    <t>Приходи од продаје производа</t>
  </si>
  <si>
    <t>Трошкови бруто накнада члановима управног, надзорног, одбора за ревизију и др.</t>
  </si>
  <si>
    <t>Од тога: трошкови стручног образовања и усавршавања запослених</t>
  </si>
  <si>
    <t>а) Трошкови непроизводних услуга</t>
  </si>
  <si>
    <t>б) Трошкови репрезентације</t>
  </si>
  <si>
    <t>в) Трошкови премије осигурања</t>
  </si>
  <si>
    <t>г) Трошкови платног промета</t>
  </si>
  <si>
    <t>д) Трошкови чланарина</t>
  </si>
  <si>
    <t>ђ) Трошкови пореза на производе, царине, боравишне таксе, порез на игре на срећу и сл.</t>
  </si>
  <si>
    <t>е) Трошкови пореза на производњу: на имовину, на земљиште, за коришћење вода и шума, за противпожарну заштиту и сл.</t>
  </si>
  <si>
    <t>ж) Остали нематеријални трошкови</t>
  </si>
  <si>
    <t>Gross salaries to the members of the Management, Supervisory, the Board of Auditors and others.</t>
  </si>
  <si>
    <t>Od toga: prihodi po osnovu subvencija na proizvodnju (na zapošljavanje, platu, kamatnu stopu, za smanjenje zagađenja i dr.)</t>
  </si>
  <si>
    <t>Од тога: приходи по основу субвенција на производњу (на запошљавање, плату, каматну стопу, за смањење загађења и др.)</t>
  </si>
  <si>
    <t>Of which: income from subsidies given for production (hiring, salary, interest rate, reduction of pollution, etc.)</t>
  </si>
  <si>
    <t>309</t>
  </si>
  <si>
    <t>35</t>
  </si>
  <si>
    <t>Pozitivne promjene, odnosno korekcije, se unose kao pozitivni brojevi (osnovni kapital, dobitak period, pozitivne korekcije).</t>
  </si>
  <si>
    <t>Obveznici koji u izvještajnom periodu nisu ostvarili ostale dobitke i gubitke, odnosno dobitke i gubitke utvrđene direktno u kapitalu nisu obavezni da prezentuju Izvještaj o ostalim dobicima i gubicima u periodu.</t>
  </si>
  <si>
    <t>U Aneksu popunjavaju se kolone 4 i 5, dok se zbirovi automatski računaju.</t>
  </si>
  <si>
    <t>b) Dio dugoročnih finansijskih obaveza koji za plaćanje dospijeva u periodu do godinu dana</t>
  </si>
  <si>
    <t>б) Дио дугорочних финансијских обавеза који за плаћање доспијева у периоду до годину дана</t>
  </si>
  <si>
    <t>Ukoliko prilikom popunjavanja tabela imate bilo kakva pitanja budite slobodni da kontaktirate Sektor za poslovne operacije:</t>
  </si>
  <si>
    <r>
      <t xml:space="preserve">Ako je AOP 063 = 0, onda je AOP 299 (kolona 4, odnosno 5) = AOP 121 (kolona 4, odnosno 5). </t>
    </r>
    <r>
      <rPr>
        <sz val="9"/>
        <rFont val="Calibri"/>
        <family val="2"/>
      </rPr>
      <t>U pojedinim slučajevima (međudividenda i sl.) je dozvoljena razlika.</t>
    </r>
  </si>
  <si>
    <t>V - РЕЗЕРВЕ (113 до 115)</t>
  </si>
  <si>
    <t>V - RESERVES (113 to 115)</t>
  </si>
  <si>
    <t>IX - НЕРАСПОРЕЂЕНИ ДОБИТАК (120 до 122)</t>
  </si>
  <si>
    <t>IX - RETAINED EARNINGS (120 to 122)</t>
  </si>
  <si>
    <t>ОСТАЛИ ПОСЛОВНИ ПРИХОДИ (620 + 623 + 624 + 625 + 626 + 627 + 628)</t>
  </si>
  <si>
    <t>OTHER OPERATING INCOME (620 + 623 + 624 + 625 + 626 + 627 + 628)</t>
  </si>
  <si>
    <t>ТРОШКОВИ ПРОИЗВОДНИХ УСЛУГА (640 + 641 + 642 + 643 + 644 + 645 + 646 + 647)</t>
  </si>
  <si>
    <t>SERVICE EXPENSES (640 + 641 + 642 + 643 + 644 + 645 + 646 + 647)</t>
  </si>
  <si>
    <t>НЕМАТЕРИЈАЛНИ ТРОШКОВИ (650 + 653 + 654 + 655 + 656 + 657 + 658 + 659)</t>
  </si>
  <si>
    <t>NON-MATERIAL EXPENSES (650 + 653 + 654 + 655 + 656 + 657 + 658 + 659)</t>
  </si>
  <si>
    <t>Id izvještaja</t>
  </si>
  <si>
    <t>Kolona1</t>
  </si>
  <si>
    <t>Kolona2</t>
  </si>
  <si>
    <t>Kolona3</t>
  </si>
  <si>
    <t>Kolona4</t>
  </si>
  <si>
    <t>Kolona5</t>
  </si>
  <si>
    <t>Kolona6</t>
  </si>
  <si>
    <t>Kolona7</t>
  </si>
  <si>
    <t>Kolona8</t>
  </si>
  <si>
    <t>BSp</t>
  </si>
  <si>
    <t>BSa</t>
  </si>
  <si>
    <t>APIF_Id</t>
  </si>
  <si>
    <t>ApifKolona</t>
  </si>
  <si>
    <t>LookupBroj</t>
  </si>
  <si>
    <t>LookupText</t>
  </si>
  <si>
    <t>Procedura za kreiranje txt fajla koji se importuje u APIF-ovu aplikaciju za elektrnosko dostavljanje FI.</t>
  </si>
  <si>
    <t>Kopirati podatke u Notepad.</t>
  </si>
  <si>
    <t>Sačuvati Notepad fajl i importovati fajl u APIF Fia aplikaciju.</t>
  </si>
  <si>
    <t>Obilježiti sve kolone i redove sa podacima iz tabele, bez zaglavlja tabele.</t>
  </si>
  <si>
    <t>Željeznice RS a.d. Doboj</t>
  </si>
  <si>
    <t>Svetog Save 71</t>
  </si>
  <si>
    <t>Doboju</t>
  </si>
  <si>
    <t>Željko Radić</t>
  </si>
  <si>
    <t>Svetog Save 71 Doboj</t>
  </si>
  <si>
    <t>kabinet@zrs-rs.com</t>
  </si>
  <si>
    <t>www.zrs-rs-com</t>
  </si>
  <si>
    <t>Mira Simić</t>
  </si>
  <si>
    <t>CP-1833/21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</si>
</sst>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00"/>
    <numFmt numFmtId="165" formatCode="General;;"/>
    <numFmt numFmtId="166" formatCode="000;;"/>
    <numFmt numFmtId="167" formatCode="#,##0;;"/>
    <numFmt numFmtId="168" formatCode="#;;"/>
    <numFmt numFmtId="169" formatCode=";;;@"/>
    <numFmt numFmtId="170" formatCode="&quot;Da&quot;;\ \-\ ;\ &quot;Ne&quot;"/>
  </numFmts>
  <fonts count="28" x14ac:knownFonts="1">
    <font>
      <sz val="10"/>
      <name val="Calibri"/>
      <family val="2"/>
    </font>
    <font>
      <sz val="8"/>
      <name val="Arial"/>
      <family val="2"/>
      <charset val="238"/>
    </font>
    <font>
      <b/>
      <sz val="11"/>
      <name val="Calibri"/>
      <family val="2"/>
    </font>
    <font>
      <b/>
      <sz val="12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name val="Calibri"/>
      <family val="2"/>
    </font>
    <font>
      <u/>
      <sz val="11"/>
      <name val="Calibri"/>
      <family val="2"/>
    </font>
    <font>
      <sz val="9"/>
      <color indexed="81"/>
      <name val="Tahoma"/>
      <family val="2"/>
    </font>
    <font>
      <b/>
      <u/>
      <sz val="11"/>
      <name val="Calibri"/>
      <family val="2"/>
    </font>
    <font>
      <b/>
      <sz val="10.5"/>
      <name val="Calibri"/>
      <family val="2"/>
    </font>
    <font>
      <b/>
      <sz val="10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</font>
    <font>
      <sz val="10"/>
      <color rgb="FF006100"/>
      <name val="Calibri"/>
      <family val="2"/>
      <charset val="238"/>
      <scheme val="minor"/>
    </font>
    <font>
      <b/>
      <sz val="11"/>
      <color rgb="FF454F67"/>
      <name val="Calibri"/>
      <family val="2"/>
    </font>
    <font>
      <b/>
      <sz val="14"/>
      <color rgb="FF454F67"/>
      <name val="Calibri"/>
      <family val="2"/>
    </font>
    <font>
      <sz val="11"/>
      <color theme="5" tint="-0.249977111117893"/>
      <name val="Calibri"/>
      <family val="2"/>
    </font>
    <font>
      <sz val="11"/>
      <color theme="5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Calibri"/>
      <family val="2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sz val="8"/>
      <name val="Segoe UI"/>
      <family val="2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6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5"/>
      </patternFill>
    </fill>
    <fill>
      <patternFill patternType="solid">
        <fgColor indexed="22"/>
        <bgColor indexed="64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lightGray">
        <fgColor rgb="FFDDDDDD"/>
      </patternFill>
    </fill>
    <fill>
      <patternFill patternType="lightGray">
        <fgColor rgb="FFC0C0C0"/>
      </patternFill>
    </fill>
    <fill>
      <patternFill patternType="solid">
        <fgColor rgb="FFEAEAE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454F67"/>
        <bgColor indexed="64"/>
      </patternFill>
    </fill>
    <fill>
      <patternFill patternType="solid">
        <fgColor rgb="FFFFC7CE"/>
      </patternFill>
    </fill>
    <fill>
      <patternFill patternType="solid">
        <fgColor rgb="FFFFCC99"/>
      </patternFill>
    </fill>
  </fills>
  <borders count="10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8"/>
      </right>
      <top style="thin">
        <color indexed="64"/>
      </top>
      <bottom/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/>
      <diagonal/>
    </border>
    <border>
      <left/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indexed="64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rgb="FFC0C0C0"/>
      </right>
      <top style="thin">
        <color rgb="FFC0C0C0"/>
      </top>
      <bottom style="thin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indexed="64"/>
      </bottom>
      <diagonal/>
    </border>
    <border>
      <left style="thin">
        <color indexed="64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indexed="64"/>
      </right>
      <top style="thin">
        <color rgb="FFDDDDDD"/>
      </top>
      <bottom/>
      <diagonal/>
    </border>
    <border>
      <left style="thin">
        <color indexed="64"/>
      </left>
      <right style="thin">
        <color rgb="FFC0C0C0"/>
      </right>
      <top style="thin">
        <color indexed="64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indexed="64"/>
      </top>
      <bottom style="thin">
        <color rgb="FFC0C0C0"/>
      </bottom>
      <diagonal/>
    </border>
    <border>
      <left style="thin">
        <color rgb="FFC0C0C0"/>
      </left>
      <right style="thin">
        <color indexed="64"/>
      </right>
      <top style="thin">
        <color indexed="64"/>
      </top>
      <bottom style="thin">
        <color rgb="FFC0C0C0"/>
      </bottom>
      <diagonal/>
    </border>
    <border>
      <left style="thin">
        <color rgb="FFC0C0C0"/>
      </left>
      <right style="thin">
        <color indexed="64"/>
      </right>
      <top style="thin">
        <color rgb="FFC0C0C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DDDDDD"/>
      </left>
      <right style="thin">
        <color rgb="FFDDDDDD"/>
      </right>
      <top style="thin">
        <color indexed="64"/>
      </top>
      <bottom style="thin">
        <color rgb="FFDDDDDD"/>
      </bottom>
      <diagonal/>
    </border>
    <border>
      <left style="thin">
        <color rgb="FFDDDDDD"/>
      </left>
      <right style="thin">
        <color indexed="64"/>
      </right>
      <top style="thin">
        <color indexed="64"/>
      </top>
      <bottom style="thin">
        <color rgb="FFDDDDDD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rgb="FFDDDDDD"/>
      </right>
      <top style="thin">
        <color indexed="64"/>
      </top>
      <bottom style="thin">
        <color rgb="FFDDDDDD"/>
      </bottom>
      <diagonal/>
    </border>
    <border>
      <left style="thin">
        <color indexed="64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C0C0C0"/>
      </left>
      <right/>
      <top style="thin">
        <color indexed="64"/>
      </top>
      <bottom style="thin">
        <color rgb="FFC0C0C0"/>
      </bottom>
      <diagonal/>
    </border>
    <border>
      <left/>
      <right/>
      <top style="thin">
        <color indexed="64"/>
      </top>
      <bottom style="thin">
        <color rgb="FFC0C0C0"/>
      </bottom>
      <diagonal/>
    </border>
    <border>
      <left/>
      <right style="thin">
        <color rgb="FFC0C0C0"/>
      </right>
      <top style="thin">
        <color indexed="64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indexed="64"/>
      </bottom>
      <diagonal/>
    </border>
    <border>
      <left/>
      <right/>
      <top style="thin">
        <color rgb="FFC0C0C0"/>
      </top>
      <bottom style="thin">
        <color indexed="64"/>
      </bottom>
      <diagonal/>
    </border>
    <border>
      <left/>
      <right style="thin">
        <color rgb="FFC0C0C0"/>
      </right>
      <top style="thin">
        <color rgb="FFC0C0C0"/>
      </top>
      <bottom style="thin">
        <color indexed="64"/>
      </bottom>
      <diagonal/>
    </border>
  </borders>
  <cellStyleXfs count="14">
    <xf numFmtId="0" fontId="0" fillId="0" borderId="0" applyNumberFormat="0" applyFill="0" applyBorder="0" applyAlignment="0"/>
    <xf numFmtId="166" fontId="5" fillId="0" borderId="0" applyFill="0" applyBorder="0">
      <alignment horizontal="center" vertical="center"/>
      <protection hidden="1"/>
    </xf>
    <xf numFmtId="0" fontId="11" fillId="7" borderId="67" applyNumberFormat="0" applyAlignment="0" applyProtection="0"/>
    <xf numFmtId="0" fontId="12" fillId="8" borderId="0" applyNumberFormat="0" applyBorder="0" applyAlignment="0" applyProtection="0"/>
    <xf numFmtId="168" fontId="5" fillId="0" borderId="0" applyFill="0" applyBorder="0">
      <alignment horizontal="center" vertical="center" wrapText="1"/>
      <protection hidden="1"/>
    </xf>
    <xf numFmtId="0" fontId="13" fillId="0" borderId="0" applyNumberFormat="0" applyFill="0" applyBorder="0" applyAlignment="0" applyProtection="0"/>
    <xf numFmtId="0" fontId="14" fillId="9" borderId="2">
      <alignment horizontal="center" vertical="center"/>
      <protection locked="0"/>
    </xf>
    <xf numFmtId="169" fontId="6" fillId="9" borderId="3">
      <alignment horizontal="left" indent="1"/>
      <protection locked="0"/>
    </xf>
    <xf numFmtId="0" fontId="14" fillId="9" borderId="4">
      <alignment horizontal="left" vertical="center"/>
      <protection locked="0"/>
    </xf>
    <xf numFmtId="49" fontId="5" fillId="0" borderId="4" applyFill="0">
      <alignment horizontal="left" indent="1"/>
      <protection hidden="1"/>
    </xf>
    <xf numFmtId="0" fontId="5" fillId="0" borderId="4" applyFill="0">
      <alignment horizontal="left" indent="1"/>
      <protection hidden="1"/>
    </xf>
    <xf numFmtId="49" fontId="5" fillId="10" borderId="5">
      <alignment horizontal="left" indent="1"/>
      <protection locked="0"/>
    </xf>
    <xf numFmtId="0" fontId="24" fillId="14" borderId="0" applyNumberFormat="0" applyBorder="0" applyAlignment="0" applyProtection="0"/>
    <xf numFmtId="0" fontId="25" fillId="15" borderId="67" applyNumberFormat="0" applyAlignment="0" applyProtection="0"/>
  </cellStyleXfs>
  <cellXfs count="53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/>
    <xf numFmtId="0" fontId="0" fillId="0" borderId="0" xfId="0" quotePrefix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NumberFormat="1" applyAlignment="1">
      <alignment vertical="center"/>
    </xf>
    <xf numFmtId="0" fontId="0" fillId="0" borderId="0" xfId="0" applyProtection="1">
      <protection hidden="1"/>
    </xf>
    <xf numFmtId="0" fontId="0" fillId="0" borderId="0" xfId="0" applyBorder="1" applyProtection="1">
      <protection hidden="1"/>
    </xf>
    <xf numFmtId="0" fontId="0" fillId="0" borderId="0" xfId="0" applyNumberFormat="1" applyAlignment="1">
      <alignment horizontal="center" vertical="center"/>
    </xf>
    <xf numFmtId="165" fontId="0" fillId="0" borderId="0" xfId="0" applyNumberFormat="1"/>
    <xf numFmtId="0" fontId="0" fillId="0" borderId="0" xfId="0" applyFill="1"/>
    <xf numFmtId="0" fontId="0" fillId="0" borderId="0" xfId="0" applyAlignment="1"/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protection hidden="1"/>
    </xf>
    <xf numFmtId="0" fontId="0" fillId="0" borderId="0" xfId="0" applyAlignment="1" applyProtection="1">
      <alignment vertical="center"/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Alignment="1" applyProtection="1">
      <alignment vertical="center" wrapText="1"/>
      <protection hidden="1"/>
    </xf>
    <xf numFmtId="165" fontId="0" fillId="0" borderId="0" xfId="0" applyNumberFormat="1" applyBorder="1" applyAlignment="1" applyProtection="1">
      <alignment vertical="center" wrapText="1"/>
      <protection hidden="1"/>
    </xf>
    <xf numFmtId="0" fontId="0" fillId="0" borderId="0" xfId="0" applyFill="1" applyProtection="1">
      <protection hidden="1"/>
    </xf>
    <xf numFmtId="0" fontId="0" fillId="0" borderId="0" xfId="0" applyFill="1" applyBorder="1" applyAlignment="1" applyProtection="1">
      <protection hidden="1"/>
    </xf>
    <xf numFmtId="0" fontId="0" fillId="0" borderId="4" xfId="0" applyFill="1" applyBorder="1" applyAlignment="1" applyProtection="1">
      <alignment vertical="center"/>
      <protection hidden="1"/>
    </xf>
    <xf numFmtId="0" fontId="0" fillId="0" borderId="4" xfId="0" applyFill="1" applyBorder="1" applyAlignment="1" applyProtection="1">
      <alignment horizontal="right" vertical="center"/>
      <protection hidden="1"/>
    </xf>
    <xf numFmtId="0" fontId="15" fillId="3" borderId="6" xfId="0" applyFont="1" applyFill="1" applyBorder="1" applyAlignment="1" applyProtection="1">
      <alignment horizontal="center" vertical="center"/>
      <protection hidden="1"/>
    </xf>
    <xf numFmtId="0" fontId="15" fillId="3" borderId="6" xfId="0" applyFont="1" applyFill="1" applyBorder="1" applyAlignment="1" applyProtection="1">
      <alignment horizontal="center" vertical="center" wrapText="1"/>
      <protection hidden="1"/>
    </xf>
    <xf numFmtId="0" fontId="15" fillId="3" borderId="7" xfId="0" applyFont="1" applyFill="1" applyBorder="1" applyAlignment="1" applyProtection="1">
      <alignment horizontal="center"/>
      <protection hidden="1"/>
    </xf>
    <xf numFmtId="0" fontId="15" fillId="3" borderId="6" xfId="0" applyFont="1" applyFill="1" applyBorder="1" applyAlignment="1" applyProtection="1">
      <alignment horizontal="center"/>
      <protection hidden="1"/>
    </xf>
    <xf numFmtId="0" fontId="15" fillId="3" borderId="8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3" fontId="4" fillId="4" borderId="9" xfId="0" applyNumberFormat="1" applyFont="1" applyFill="1" applyBorder="1" applyAlignment="1" applyProtection="1">
      <alignment horizontal="right" vertical="center"/>
      <protection hidden="1"/>
    </xf>
    <xf numFmtId="3" fontId="4" fillId="4" borderId="1" xfId="0" applyNumberFormat="1" applyFont="1" applyFill="1" applyBorder="1" applyAlignment="1" applyProtection="1">
      <alignment horizontal="right" vertical="center"/>
      <protection hidden="1"/>
    </xf>
    <xf numFmtId="3" fontId="4" fillId="4" borderId="10" xfId="0" applyNumberFormat="1" applyFont="1" applyFill="1" applyBorder="1" applyAlignment="1" applyProtection="1">
      <alignment horizontal="right" vertical="center"/>
      <protection hidden="1"/>
    </xf>
    <xf numFmtId="3" fontId="4" fillId="0" borderId="1" xfId="0" applyNumberFormat="1" applyFont="1" applyBorder="1" applyAlignment="1" applyProtection="1">
      <alignment horizontal="right" vertical="center"/>
      <protection hidden="1"/>
    </xf>
    <xf numFmtId="3" fontId="4" fillId="5" borderId="1" xfId="0" applyNumberFormat="1" applyFont="1" applyFill="1" applyBorder="1" applyAlignment="1" applyProtection="1">
      <alignment horizontal="right" vertical="center"/>
      <protection hidden="1"/>
    </xf>
    <xf numFmtId="3" fontId="4" fillId="0" borderId="11" xfId="0" applyNumberFormat="1" applyFont="1" applyBorder="1" applyAlignment="1" applyProtection="1">
      <alignment horizontal="right" vertical="center"/>
      <protection hidden="1"/>
    </xf>
    <xf numFmtId="3" fontId="4" fillId="4" borderId="11" xfId="0" applyNumberFormat="1" applyFont="1" applyFill="1" applyBorder="1" applyAlignment="1" applyProtection="1">
      <alignment horizontal="right" vertical="center"/>
      <protection hidden="1"/>
    </xf>
    <xf numFmtId="3" fontId="4" fillId="0" borderId="12" xfId="0" applyNumberFormat="1" applyFont="1" applyBorder="1" applyAlignment="1" applyProtection="1">
      <alignment horizontal="right" vertical="center"/>
      <protection hidden="1"/>
    </xf>
    <xf numFmtId="3" fontId="4" fillId="0" borderId="13" xfId="0" applyNumberFormat="1" applyFont="1" applyBorder="1" applyAlignment="1" applyProtection="1">
      <alignment horizontal="right" vertical="center"/>
      <protection hidden="1"/>
    </xf>
    <xf numFmtId="3" fontId="4" fillId="4" borderId="14" xfId="0" applyNumberFormat="1" applyFont="1" applyFill="1" applyBorder="1" applyAlignment="1" applyProtection="1">
      <alignment vertical="center"/>
      <protection hidden="1"/>
    </xf>
    <xf numFmtId="3" fontId="4" fillId="4" borderId="15" xfId="0" applyNumberFormat="1" applyFont="1" applyFill="1" applyBorder="1" applyAlignment="1" applyProtection="1">
      <alignment vertical="center"/>
      <protection hidden="1"/>
    </xf>
    <xf numFmtId="3" fontId="4" fillId="0" borderId="16" xfId="0" applyNumberFormat="1" applyFont="1" applyBorder="1" applyAlignment="1" applyProtection="1">
      <alignment vertical="center"/>
      <protection hidden="1"/>
    </xf>
    <xf numFmtId="3" fontId="4" fillId="0" borderId="17" xfId="0" applyNumberFormat="1" applyFont="1" applyBorder="1" applyAlignment="1" applyProtection="1">
      <alignment vertical="center"/>
      <protection hidden="1"/>
    </xf>
    <xf numFmtId="3" fontId="4" fillId="4" borderId="16" xfId="0" applyNumberFormat="1" applyFont="1" applyFill="1" applyBorder="1" applyAlignment="1" applyProtection="1">
      <alignment vertical="center"/>
      <protection hidden="1"/>
    </xf>
    <xf numFmtId="3" fontId="4" fillId="4" borderId="17" xfId="0" applyNumberFormat="1" applyFont="1" applyFill="1" applyBorder="1" applyAlignment="1" applyProtection="1">
      <alignment vertical="center"/>
      <protection hidden="1"/>
    </xf>
    <xf numFmtId="0" fontId="12" fillId="8" borderId="0" xfId="3" applyAlignment="1">
      <alignment horizontal="center" vertical="center"/>
    </xf>
    <xf numFmtId="0" fontId="15" fillId="3" borderId="18" xfId="0" applyFont="1" applyFill="1" applyBorder="1" applyAlignment="1" applyProtection="1">
      <alignment horizontal="center"/>
      <protection hidden="1"/>
    </xf>
    <xf numFmtId="0" fontId="15" fillId="3" borderId="19" xfId="0" applyFont="1" applyFill="1" applyBorder="1" applyAlignment="1" applyProtection="1">
      <alignment horizontal="center"/>
      <protection hidden="1"/>
    </xf>
    <xf numFmtId="3" fontId="0" fillId="0" borderId="0" xfId="0" applyNumberFormat="1" applyFill="1" applyBorder="1" applyAlignment="1" applyProtection="1">
      <alignment horizontal="right" vertical="center"/>
      <protection hidden="1"/>
    </xf>
    <xf numFmtId="3" fontId="0" fillId="0" borderId="0" xfId="0" applyNumberFormat="1" applyFill="1" applyBorder="1" applyAlignment="1" applyProtection="1">
      <alignment horizontal="center" vertical="center"/>
      <protection hidden="1"/>
    </xf>
    <xf numFmtId="3" fontId="0" fillId="0" borderId="0" xfId="0" applyNumberFormat="1" applyFill="1" applyBorder="1" applyAlignment="1" applyProtection="1">
      <alignment vertical="center"/>
      <protection hidden="1"/>
    </xf>
    <xf numFmtId="3" fontId="0" fillId="0" borderId="0" xfId="0" applyNumberFormat="1" applyFill="1" applyBorder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right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0" fillId="0" borderId="4" xfId="0" applyFill="1" applyBorder="1" applyAlignment="1" applyProtection="1">
      <protection hidden="1"/>
    </xf>
    <xf numFmtId="0" fontId="0" fillId="0" borderId="0" xfId="0" applyFont="1" applyProtection="1">
      <protection hidden="1"/>
    </xf>
    <xf numFmtId="0" fontId="15" fillId="3" borderId="68" xfId="0" applyFont="1" applyFill="1" applyBorder="1" applyAlignment="1" applyProtection="1">
      <alignment horizontal="center" vertical="center" wrapText="1"/>
      <protection hidden="1"/>
    </xf>
    <xf numFmtId="0" fontId="15" fillId="3" borderId="69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/>
      <protection hidden="1"/>
    </xf>
    <xf numFmtId="3" fontId="0" fillId="0" borderId="0" xfId="0" applyNumberFormat="1" applyFill="1" applyBorder="1" applyAlignment="1" applyProtection="1">
      <alignment horizontal="left" vertical="center" indent="9"/>
      <protection hidden="1"/>
    </xf>
    <xf numFmtId="3" fontId="0" fillId="0" borderId="20" xfId="0" applyNumberFormat="1" applyFill="1" applyBorder="1" applyAlignment="1" applyProtection="1">
      <alignment horizontal="right" vertical="center"/>
      <protection hidden="1"/>
    </xf>
    <xf numFmtId="3" fontId="0" fillId="0" borderId="20" xfId="0" applyNumberFormat="1" applyFill="1" applyBorder="1" applyAlignment="1" applyProtection="1">
      <alignment horizontal="left" vertical="center"/>
      <protection hidden="1"/>
    </xf>
    <xf numFmtId="0" fontId="0" fillId="0" borderId="20" xfId="0" applyFill="1" applyBorder="1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49" fontId="5" fillId="0" borderId="4" xfId="9" applyProtection="1">
      <alignment horizontal="left" indent="1"/>
      <protection hidden="1"/>
    </xf>
    <xf numFmtId="0" fontId="15" fillId="3" borderId="1" xfId="0" applyFont="1" applyFill="1" applyBorder="1" applyAlignment="1" applyProtection="1">
      <alignment horizontal="center" vertical="center" wrapText="1"/>
      <protection hidden="1"/>
    </xf>
    <xf numFmtId="0" fontId="15" fillId="3" borderId="7" xfId="0" applyFont="1" applyFill="1" applyBorder="1" applyProtection="1">
      <protection hidden="1"/>
    </xf>
    <xf numFmtId="3" fontId="4" fillId="0" borderId="17" xfId="0" applyNumberFormat="1" applyFont="1" applyBorder="1" applyAlignment="1" applyProtection="1">
      <alignment horizontal="right" vertical="center"/>
      <protection hidden="1"/>
    </xf>
    <xf numFmtId="3" fontId="4" fillId="0" borderId="21" xfId="0" applyNumberFormat="1" applyFont="1" applyBorder="1" applyAlignment="1" applyProtection="1">
      <alignment horizontal="right" vertical="center"/>
      <protection hidden="1"/>
    </xf>
    <xf numFmtId="3" fontId="4" fillId="4" borderId="17" xfId="0" applyNumberFormat="1" applyFont="1" applyFill="1" applyBorder="1" applyAlignment="1" applyProtection="1">
      <alignment horizontal="right" vertical="center"/>
      <protection hidden="1"/>
    </xf>
    <xf numFmtId="3" fontId="4" fillId="4" borderId="21" xfId="0" applyNumberFormat="1" applyFont="1" applyFill="1" applyBorder="1" applyAlignment="1" applyProtection="1">
      <alignment horizontal="right" vertical="center"/>
      <protection hidden="1"/>
    </xf>
    <xf numFmtId="0" fontId="0" fillId="0" borderId="0" xfId="0" applyNumberFormat="1" applyFill="1"/>
    <xf numFmtId="0" fontId="11" fillId="7" borderId="67" xfId="2" applyFont="1"/>
    <xf numFmtId="0" fontId="0" fillId="0" borderId="0" xfId="0" applyAlignment="1">
      <alignment horizontal="center" vertical="center" wrapText="1"/>
    </xf>
    <xf numFmtId="0" fontId="16" fillId="8" borderId="0" xfId="3" applyFont="1" applyAlignment="1">
      <alignment horizontal="center" vertical="center" wrapText="1"/>
    </xf>
    <xf numFmtId="0" fontId="0" fillId="0" borderId="0" xfId="0" applyAlignment="1" applyProtection="1">
      <alignment vertical="top" wrapText="1"/>
      <protection hidden="1"/>
    </xf>
    <xf numFmtId="0" fontId="0" fillId="0" borderId="0" xfId="0" applyNumberFormat="1" applyFill="1" applyBorder="1"/>
    <xf numFmtId="0" fontId="0" fillId="0" borderId="0" xfId="0" applyAlignment="1">
      <alignment horizontal="left" vertical="center"/>
    </xf>
    <xf numFmtId="0" fontId="0" fillId="0" borderId="0" xfId="0" applyProtection="1">
      <protection locked="0"/>
    </xf>
    <xf numFmtId="168" fontId="5" fillId="4" borderId="70" xfId="4" applyFill="1" applyBorder="1">
      <alignment horizontal="center" vertical="center" wrapText="1"/>
      <protection hidden="1"/>
    </xf>
    <xf numFmtId="166" fontId="5" fillId="4" borderId="71" xfId="1" applyFill="1" applyBorder="1">
      <alignment horizontal="center" vertical="center"/>
      <protection hidden="1"/>
    </xf>
    <xf numFmtId="3" fontId="4" fillId="4" borderId="71" xfId="0" applyNumberFormat="1" applyFont="1" applyFill="1" applyBorder="1" applyAlignment="1" applyProtection="1">
      <alignment horizontal="right" vertical="center"/>
      <protection hidden="1"/>
    </xf>
    <xf numFmtId="3" fontId="4" fillId="4" borderId="72" xfId="0" applyNumberFormat="1" applyFont="1" applyFill="1" applyBorder="1" applyAlignment="1" applyProtection="1">
      <alignment horizontal="right" vertical="center"/>
      <protection hidden="1"/>
    </xf>
    <xf numFmtId="168" fontId="5" fillId="0" borderId="70" xfId="4" applyBorder="1">
      <alignment horizontal="center" vertical="center" wrapText="1"/>
      <protection hidden="1"/>
    </xf>
    <xf numFmtId="166" fontId="5" fillId="0" borderId="71" xfId="1" applyFill="1" applyBorder="1">
      <alignment horizontal="center" vertical="center"/>
      <protection hidden="1"/>
    </xf>
    <xf numFmtId="3" fontId="4" fillId="0" borderId="71" xfId="0" applyNumberFormat="1" applyFont="1" applyBorder="1" applyAlignment="1" applyProtection="1">
      <alignment horizontal="right" vertical="center"/>
      <protection hidden="1"/>
    </xf>
    <xf numFmtId="3" fontId="4" fillId="0" borderId="72" xfId="0" applyNumberFormat="1" applyFont="1" applyBorder="1" applyAlignment="1" applyProtection="1">
      <alignment horizontal="right" vertical="center"/>
      <protection hidden="1"/>
    </xf>
    <xf numFmtId="168" fontId="5" fillId="0" borderId="70" xfId="4" applyFill="1" applyBorder="1">
      <alignment horizontal="center" vertical="center" wrapText="1"/>
      <protection hidden="1"/>
    </xf>
    <xf numFmtId="3" fontId="4" fillId="0" borderId="71" xfId="0" applyNumberFormat="1" applyFont="1" applyFill="1" applyBorder="1" applyAlignment="1" applyProtection="1">
      <alignment horizontal="right" vertical="center"/>
      <protection hidden="1"/>
    </xf>
    <xf numFmtId="3" fontId="4" fillId="0" borderId="72" xfId="0" applyNumberFormat="1" applyFont="1" applyFill="1" applyBorder="1" applyAlignment="1" applyProtection="1">
      <alignment horizontal="right" vertical="center"/>
      <protection hidden="1"/>
    </xf>
    <xf numFmtId="168" fontId="5" fillId="0" borderId="73" xfId="4" applyFill="1" applyBorder="1">
      <alignment horizontal="center" vertical="center" wrapText="1"/>
      <protection hidden="1"/>
    </xf>
    <xf numFmtId="166" fontId="5" fillId="0" borderId="74" xfId="1" applyFill="1" applyBorder="1">
      <alignment horizontal="center" vertical="center"/>
      <protection hidden="1"/>
    </xf>
    <xf numFmtId="0" fontId="15" fillId="3" borderId="75" xfId="0" applyFont="1" applyFill="1" applyBorder="1" applyAlignment="1" applyProtection="1">
      <alignment horizontal="center"/>
      <protection hidden="1"/>
    </xf>
    <xf numFmtId="0" fontId="15" fillId="3" borderId="76" xfId="0" applyFont="1" applyFill="1" applyBorder="1" applyAlignment="1" applyProtection="1">
      <alignment horizontal="center"/>
      <protection hidden="1"/>
    </xf>
    <xf numFmtId="0" fontId="15" fillId="3" borderId="77" xfId="0" applyFont="1" applyFill="1" applyBorder="1" applyAlignment="1" applyProtection="1">
      <alignment horizontal="center"/>
      <protection hidden="1"/>
    </xf>
    <xf numFmtId="168" fontId="5" fillId="0" borderId="78" xfId="4" applyBorder="1">
      <alignment horizontal="center" vertical="center" wrapText="1"/>
      <protection hidden="1"/>
    </xf>
    <xf numFmtId="3" fontId="4" fillId="0" borderId="79" xfId="0" applyNumberFormat="1" applyFont="1" applyBorder="1" applyAlignment="1" applyProtection="1">
      <alignment horizontal="right" vertical="center"/>
      <protection hidden="1"/>
    </xf>
    <xf numFmtId="3" fontId="4" fillId="0" borderId="80" xfId="0" applyNumberFormat="1" applyFont="1" applyBorder="1" applyAlignment="1" applyProtection="1">
      <alignment horizontal="right" vertical="center"/>
      <protection hidden="1"/>
    </xf>
    <xf numFmtId="168" fontId="5" fillId="4" borderId="78" xfId="4" applyFill="1" applyBorder="1">
      <alignment horizontal="center" vertical="center" wrapText="1"/>
      <protection hidden="1"/>
    </xf>
    <xf numFmtId="166" fontId="5" fillId="4" borderId="79" xfId="1" applyFill="1" applyBorder="1">
      <alignment horizontal="center" vertical="center"/>
      <protection hidden="1"/>
    </xf>
    <xf numFmtId="3" fontId="4" fillId="4" borderId="79" xfId="0" applyNumberFormat="1" applyFont="1" applyFill="1" applyBorder="1" applyAlignment="1" applyProtection="1">
      <alignment horizontal="right" vertical="center" wrapText="1"/>
      <protection hidden="1"/>
    </xf>
    <xf numFmtId="3" fontId="4" fillId="4" borderId="80" xfId="0" applyNumberFormat="1" applyFont="1" applyFill="1" applyBorder="1" applyAlignment="1" applyProtection="1">
      <alignment horizontal="right" vertical="center" wrapText="1"/>
      <protection hidden="1"/>
    </xf>
    <xf numFmtId="3" fontId="4" fillId="0" borderId="71" xfId="0" applyNumberFormat="1" applyFont="1" applyFill="1" applyBorder="1" applyAlignment="1" applyProtection="1">
      <alignment horizontal="right" vertical="center" wrapText="1"/>
      <protection hidden="1"/>
    </xf>
    <xf numFmtId="3" fontId="4" fillId="0" borderId="72" xfId="0" applyNumberFormat="1" applyFont="1" applyFill="1" applyBorder="1" applyAlignment="1" applyProtection="1">
      <alignment horizontal="right" vertical="center" wrapText="1"/>
      <protection hidden="1"/>
    </xf>
    <xf numFmtId="3" fontId="4" fillId="4" borderId="71" xfId="0" applyNumberFormat="1" applyFont="1" applyFill="1" applyBorder="1" applyAlignment="1" applyProtection="1">
      <alignment horizontal="right" vertical="center" wrapText="1"/>
      <protection hidden="1"/>
    </xf>
    <xf numFmtId="3" fontId="4" fillId="4" borderId="72" xfId="0" applyNumberFormat="1" applyFont="1" applyFill="1" applyBorder="1" applyAlignment="1" applyProtection="1">
      <alignment horizontal="right" vertical="center" wrapText="1"/>
      <protection hidden="1"/>
    </xf>
    <xf numFmtId="3" fontId="4" fillId="0" borderId="74" xfId="0" applyNumberFormat="1" applyFont="1" applyFill="1" applyBorder="1" applyAlignment="1" applyProtection="1">
      <alignment horizontal="right" vertical="center" wrapText="1"/>
      <protection hidden="1"/>
    </xf>
    <xf numFmtId="3" fontId="4" fillId="0" borderId="81" xfId="0" applyNumberFormat="1" applyFont="1" applyFill="1" applyBorder="1" applyAlignment="1" applyProtection="1">
      <alignment horizontal="right" vertical="center" wrapText="1"/>
      <protection hidden="1"/>
    </xf>
    <xf numFmtId="166" fontId="5" fillId="0" borderId="79" xfId="1" applyBorder="1">
      <alignment horizontal="center" vertical="center"/>
      <protection hidden="1"/>
    </xf>
    <xf numFmtId="3" fontId="0" fillId="0" borderId="79" xfId="0" applyNumberFormat="1" applyFill="1" applyBorder="1" applyAlignment="1" applyProtection="1">
      <alignment horizontal="right" vertical="center"/>
      <protection hidden="1"/>
    </xf>
    <xf numFmtId="3" fontId="0" fillId="0" borderId="80" xfId="0" applyNumberFormat="1" applyFill="1" applyBorder="1" applyAlignment="1" applyProtection="1">
      <alignment horizontal="right" vertical="center"/>
      <protection hidden="1"/>
    </xf>
    <xf numFmtId="166" fontId="5" fillId="0" borderId="71" xfId="1" applyBorder="1">
      <alignment horizontal="center" vertical="center"/>
      <protection hidden="1"/>
    </xf>
    <xf numFmtId="168" fontId="5" fillId="0" borderId="73" xfId="4" applyBorder="1">
      <alignment horizontal="center" vertical="center" wrapText="1"/>
      <protection hidden="1"/>
    </xf>
    <xf numFmtId="166" fontId="5" fillId="0" borderId="74" xfId="1" applyBorder="1">
      <alignment horizontal="center" vertical="center"/>
      <protection hidden="1"/>
    </xf>
    <xf numFmtId="0" fontId="15" fillId="3" borderId="76" xfId="0" quotePrefix="1" applyFont="1" applyFill="1" applyBorder="1" applyAlignment="1" applyProtection="1">
      <alignment horizontal="center"/>
      <protection hidden="1"/>
    </xf>
    <xf numFmtId="0" fontId="15" fillId="3" borderId="77" xfId="0" quotePrefix="1" applyFont="1" applyFill="1" applyBorder="1" applyAlignment="1" applyProtection="1">
      <alignment horizontal="center"/>
      <protection hidden="1"/>
    </xf>
    <xf numFmtId="0" fontId="0" fillId="0" borderId="0" xfId="0" applyBorder="1"/>
    <xf numFmtId="0" fontId="0" fillId="0" borderId="0" xfId="0" applyNumberFormat="1" applyBorder="1"/>
    <xf numFmtId="0" fontId="0" fillId="0" borderId="0" xfId="0" applyNumberFormat="1" applyBorder="1" applyAlignment="1">
      <alignment horizontal="center" vertical="center"/>
    </xf>
    <xf numFmtId="3" fontId="4" fillId="4" borderId="71" xfId="0" applyNumberFormat="1" applyFont="1" applyFill="1" applyBorder="1" applyAlignment="1" applyProtection="1">
      <alignment horizontal="right" vertical="center"/>
      <protection locked="0"/>
    </xf>
    <xf numFmtId="3" fontId="4" fillId="4" borderId="72" xfId="0" applyNumberFormat="1" applyFont="1" applyFill="1" applyBorder="1" applyAlignment="1" applyProtection="1">
      <alignment horizontal="right" vertical="center"/>
      <protection locked="0"/>
    </xf>
    <xf numFmtId="0" fontId="14" fillId="9" borderId="2" xfId="6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right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13" fillId="0" borderId="0" xfId="5" applyAlignment="1" applyProtection="1">
      <alignment horizontal="left"/>
      <protection hidden="1"/>
    </xf>
    <xf numFmtId="0" fontId="13" fillId="0" borderId="0" xfId="5" applyProtection="1">
      <protection hidden="1"/>
    </xf>
    <xf numFmtId="0" fontId="3" fillId="11" borderId="26" xfId="0" applyFont="1" applyFill="1" applyBorder="1" applyAlignment="1" applyProtection="1">
      <alignment horizontal="right" vertical="center" indent="1"/>
      <protection hidden="1"/>
    </xf>
    <xf numFmtId="0" fontId="14" fillId="9" borderId="27" xfId="6" applyBorder="1">
      <alignment horizontal="center" vertical="center"/>
      <protection locked="0"/>
    </xf>
    <xf numFmtId="0" fontId="6" fillId="10" borderId="5" xfId="0" applyNumberFormat="1" applyFont="1" applyFill="1" applyBorder="1" applyAlignment="1">
      <alignment horizontal="left" vertical="center" indent="1"/>
    </xf>
    <xf numFmtId="0" fontId="6" fillId="0" borderId="0" xfId="0" applyNumberFormat="1" applyFont="1" applyAlignment="1">
      <alignment horizontal="left" vertical="center" indent="1"/>
    </xf>
    <xf numFmtId="0" fontId="6" fillId="10" borderId="3" xfId="0" applyNumberFormat="1" applyFont="1" applyFill="1" applyBorder="1" applyAlignment="1">
      <alignment horizontal="left" vertical="center" indent="1"/>
    </xf>
    <xf numFmtId="0" fontId="0" fillId="0" borderId="0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0" xfId="0" quotePrefix="1" applyAlignment="1" applyProtection="1">
      <alignment horizontal="left"/>
      <protection hidden="1"/>
    </xf>
    <xf numFmtId="14" fontId="0" fillId="0" borderId="0" xfId="0" applyNumberFormat="1" applyProtection="1">
      <protection hidden="1"/>
    </xf>
    <xf numFmtId="0" fontId="0" fillId="0" borderId="2" xfId="0" applyFont="1" applyBorder="1" applyAlignment="1" applyProtection="1">
      <alignment vertical="center"/>
      <protection locked="0" hidden="1"/>
    </xf>
    <xf numFmtId="0" fontId="3" fillId="0" borderId="4" xfId="0" applyFont="1" applyBorder="1" applyAlignment="1" applyProtection="1">
      <alignment vertical="center"/>
      <protection hidden="1"/>
    </xf>
    <xf numFmtId="0" fontId="0" fillId="0" borderId="0" xfId="0" applyAlignment="1" applyProtection="1">
      <alignment horizontal="left" indent="1"/>
      <protection hidden="1"/>
    </xf>
    <xf numFmtId="0" fontId="14" fillId="9" borderId="28" xfId="8" applyBorder="1" applyProtection="1">
      <alignment horizontal="left" vertical="center"/>
      <protection hidden="1"/>
    </xf>
    <xf numFmtId="0" fontId="14" fillId="9" borderId="29" xfId="8" applyBorder="1" applyProtection="1">
      <alignment horizontal="left" vertical="center"/>
      <protection hidden="1"/>
    </xf>
    <xf numFmtId="0" fontId="3" fillId="0" borderId="0" xfId="0" applyFont="1" applyBorder="1" applyAlignment="1" applyProtection="1">
      <alignment vertical="center"/>
      <protection hidden="1"/>
    </xf>
    <xf numFmtId="0" fontId="0" fillId="0" borderId="0" xfId="0" applyFill="1" applyBorder="1"/>
    <xf numFmtId="0" fontId="0" fillId="0" borderId="82" xfId="0" applyFill="1" applyBorder="1"/>
    <xf numFmtId="0" fontId="0" fillId="0" borderId="83" xfId="0" applyFill="1" applyBorder="1"/>
    <xf numFmtId="0" fontId="0" fillId="0" borderId="84" xfId="0" applyFill="1" applyBorder="1" applyAlignment="1">
      <alignment horizontal="left" vertical="center"/>
    </xf>
    <xf numFmtId="0" fontId="0" fillId="0" borderId="8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86" xfId="0" applyFill="1" applyBorder="1" applyAlignment="1">
      <alignment horizontal="left" vertical="center"/>
    </xf>
    <xf numFmtId="0" fontId="0" fillId="0" borderId="87" xfId="0" applyFill="1" applyBorder="1"/>
    <xf numFmtId="0" fontId="0" fillId="0" borderId="0" xfId="0" applyAlignment="1">
      <alignment horizontal="right"/>
    </xf>
    <xf numFmtId="14" fontId="0" fillId="0" borderId="0" xfId="0" applyNumberFormat="1" applyBorder="1"/>
    <xf numFmtId="0" fontId="0" fillId="0" borderId="0" xfId="0" applyBorder="1" applyAlignment="1" applyProtection="1">
      <alignment horizontal="left"/>
      <protection hidden="1"/>
    </xf>
    <xf numFmtId="0" fontId="2" fillId="0" borderId="0" xfId="0" applyFont="1" applyBorder="1" applyAlignment="1">
      <alignment horizontal="right" vertical="center"/>
    </xf>
    <xf numFmtId="0" fontId="9" fillId="0" borderId="0" xfId="0" applyFont="1" applyBorder="1" applyAlignment="1" applyProtection="1">
      <alignment horizontal="left" vertical="center" wrapText="1" indent="1"/>
      <protection hidden="1"/>
    </xf>
    <xf numFmtId="0" fontId="9" fillId="0" borderId="0" xfId="0" applyFont="1" applyBorder="1" applyAlignment="1" applyProtection="1">
      <alignment horizontal="left" indent="1"/>
      <protection hidden="1"/>
    </xf>
    <xf numFmtId="0" fontId="9" fillId="0" borderId="0" xfId="0" applyFont="1" applyBorder="1" applyAlignment="1" applyProtection="1">
      <alignment horizontal="left" vertical="center" indent="1"/>
      <protection hidden="1"/>
    </xf>
    <xf numFmtId="0" fontId="15" fillId="3" borderId="30" xfId="0" applyFont="1" applyFill="1" applyBorder="1" applyAlignment="1" applyProtection="1">
      <alignment horizontal="center"/>
      <protection hidden="1"/>
    </xf>
    <xf numFmtId="0" fontId="11" fillId="7" borderId="67" xfId="2"/>
    <xf numFmtId="0" fontId="0" fillId="0" borderId="0" xfId="0" applyProtection="1"/>
    <xf numFmtId="0" fontId="0" fillId="0" borderId="2" xfId="0" applyFont="1" applyBorder="1" applyAlignment="1" applyProtection="1">
      <alignment horizontal="center" vertical="center"/>
      <protection hidden="1"/>
    </xf>
    <xf numFmtId="168" fontId="5" fillId="6" borderId="28" xfId="4" applyFont="1" applyFill="1" applyBorder="1">
      <alignment horizontal="center" vertical="center" wrapText="1"/>
      <protection hidden="1"/>
    </xf>
    <xf numFmtId="168" fontId="5" fillId="0" borderId="22" xfId="4" applyFont="1" applyBorder="1">
      <alignment horizontal="center" vertical="center" wrapText="1"/>
      <protection hidden="1"/>
    </xf>
    <xf numFmtId="166" fontId="5" fillId="0" borderId="1" xfId="1" applyFont="1" applyFill="1" applyBorder="1">
      <alignment horizontal="center" vertical="center"/>
      <protection hidden="1"/>
    </xf>
    <xf numFmtId="168" fontId="5" fillId="4" borderId="22" xfId="4" applyFont="1" applyFill="1" applyBorder="1">
      <alignment horizontal="center" vertical="center" wrapText="1"/>
      <protection hidden="1"/>
    </xf>
    <xf numFmtId="166" fontId="5" fillId="4" borderId="1" xfId="1" applyFont="1" applyFill="1" applyBorder="1">
      <alignment horizontal="center" vertical="center"/>
      <protection hidden="1"/>
    </xf>
    <xf numFmtId="0" fontId="5" fillId="0" borderId="31" xfId="0" applyFont="1" applyBorder="1" applyAlignment="1" applyProtection="1">
      <protection hidden="1"/>
    </xf>
    <xf numFmtId="3" fontId="5" fillId="0" borderId="31" xfId="0" applyNumberFormat="1" applyFont="1" applyBorder="1" applyAlignment="1" applyProtection="1">
      <protection hidden="1"/>
    </xf>
    <xf numFmtId="0" fontId="5" fillId="0" borderId="0" xfId="0" applyFont="1" applyAlignment="1" applyProtection="1">
      <alignment vertical="center"/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Border="1" applyProtection="1">
      <protection hidden="1"/>
    </xf>
    <xf numFmtId="165" fontId="5" fillId="0" borderId="0" xfId="0" applyNumberFormat="1" applyFont="1" applyBorder="1" applyAlignment="1" applyProtection="1">
      <alignment vertical="center" wrapText="1"/>
      <protection hidden="1"/>
    </xf>
    <xf numFmtId="0" fontId="5" fillId="0" borderId="0" xfId="0" applyFont="1" applyFill="1" applyProtection="1">
      <protection hidden="1"/>
    </xf>
    <xf numFmtId="0" fontId="5" fillId="0" borderId="0" xfId="0" applyFont="1" applyFill="1" applyBorder="1" applyAlignment="1" applyProtection="1">
      <protection hidden="1"/>
    </xf>
    <xf numFmtId="0" fontId="5" fillId="0" borderId="0" xfId="0" applyFont="1"/>
    <xf numFmtId="0" fontId="5" fillId="0" borderId="0" xfId="0" applyFont="1" applyAlignment="1" applyProtection="1">
      <alignment horizontal="center"/>
      <protection hidden="1"/>
    </xf>
    <xf numFmtId="3" fontId="5" fillId="0" borderId="0" xfId="0" applyNumberFormat="1" applyFont="1" applyFill="1" applyBorder="1" applyAlignment="1" applyProtection="1">
      <alignment horizontal="right" vertical="center"/>
      <protection hidden="1"/>
    </xf>
    <xf numFmtId="3" fontId="5" fillId="0" borderId="0" xfId="0" applyNumberFormat="1" applyFont="1" applyFill="1" applyBorder="1" applyAlignment="1" applyProtection="1">
      <alignment horizontal="center" vertical="center"/>
      <protection hidden="1"/>
    </xf>
    <xf numFmtId="3" fontId="5" fillId="0" borderId="0" xfId="0" applyNumberFormat="1" applyFont="1" applyFill="1" applyBorder="1" applyAlignment="1" applyProtection="1">
      <alignment vertical="center"/>
      <protection hidden="1"/>
    </xf>
    <xf numFmtId="0" fontId="0" fillId="12" borderId="2" xfId="0" applyFill="1" applyBorder="1" applyAlignment="1" applyProtection="1">
      <alignment wrapText="1"/>
      <protection hidden="1"/>
    </xf>
    <xf numFmtId="0" fontId="0" fillId="0" borderId="2" xfId="0" applyBorder="1" applyAlignment="1" applyProtection="1">
      <alignment horizontal="center" vertical="center" wrapText="1"/>
      <protection hidden="1"/>
    </xf>
    <xf numFmtId="1" fontId="0" fillId="0" borderId="0" xfId="0" applyNumberFormat="1" applyFill="1" applyAlignment="1" applyProtection="1">
      <alignment horizontal="center" vertical="center"/>
      <protection hidden="1"/>
    </xf>
    <xf numFmtId="0" fontId="0" fillId="0" borderId="0" xfId="0" applyFill="1" applyAlignment="1" applyProtection="1">
      <alignment vertical="center"/>
      <protection hidden="1"/>
    </xf>
    <xf numFmtId="164" fontId="0" fillId="0" borderId="0" xfId="0" applyNumberFormat="1" applyFill="1" applyAlignment="1" applyProtection="1">
      <alignment horizontal="center" vertical="center"/>
      <protection hidden="1"/>
    </xf>
    <xf numFmtId="0" fontId="0" fillId="0" borderId="0" xfId="0" applyFill="1" applyBorder="1" applyProtection="1">
      <protection hidden="1"/>
    </xf>
    <xf numFmtId="14" fontId="0" fillId="0" borderId="0" xfId="0" applyNumberFormat="1" applyFill="1" applyBorder="1"/>
    <xf numFmtId="0" fontId="0" fillId="0" borderId="0" xfId="0" quotePrefix="1" applyAlignment="1" applyProtection="1">
      <alignment horizontal="center" vertical="center"/>
      <protection hidden="1"/>
    </xf>
    <xf numFmtId="0" fontId="14" fillId="9" borderId="28" xfId="6" applyBorder="1">
      <alignment horizontal="center" vertical="center"/>
      <protection locked="0"/>
    </xf>
    <xf numFmtId="0" fontId="14" fillId="9" borderId="5" xfId="6" applyBorder="1">
      <alignment horizontal="center" vertical="center"/>
      <protection locked="0"/>
    </xf>
    <xf numFmtId="0" fontId="6" fillId="0" borderId="0" xfId="0" applyFont="1" applyFill="1" applyProtection="1">
      <protection hidden="1"/>
    </xf>
    <xf numFmtId="0" fontId="17" fillId="0" borderId="0" xfId="0" applyFont="1" applyFill="1" applyProtection="1">
      <protection hidden="1"/>
    </xf>
    <xf numFmtId="0" fontId="18" fillId="0" borderId="0" xfId="0" applyFont="1" applyFill="1" applyAlignment="1" applyProtection="1">
      <alignment horizontal="center" vertical="center"/>
      <protection hidden="1"/>
    </xf>
    <xf numFmtId="0" fontId="19" fillId="0" borderId="0" xfId="0" applyFont="1" applyFill="1" applyProtection="1">
      <protection hidden="1"/>
    </xf>
    <xf numFmtId="0" fontId="0" fillId="0" borderId="28" xfId="0" applyFont="1" applyBorder="1" applyAlignment="1" applyProtection="1">
      <alignment horizontal="center" vertical="center" wrapText="1"/>
      <protection hidden="1"/>
    </xf>
    <xf numFmtId="0" fontId="0" fillId="0" borderId="0" xfId="0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right"/>
      <protection locked="0"/>
    </xf>
    <xf numFmtId="3" fontId="0" fillId="2" borderId="1" xfId="0" applyNumberFormat="1" applyFont="1" applyFill="1" applyBorder="1" applyAlignment="1" applyProtection="1">
      <alignment horizontal="right" vertical="center"/>
      <protection hidden="1"/>
    </xf>
    <xf numFmtId="3" fontId="0" fillId="0" borderId="1" xfId="0" applyNumberFormat="1" applyFont="1" applyBorder="1" applyAlignment="1" applyProtection="1">
      <alignment horizontal="right" vertical="center"/>
      <protection hidden="1"/>
    </xf>
    <xf numFmtId="3" fontId="0" fillId="4" borderId="1" xfId="0" applyNumberFormat="1" applyFont="1" applyFill="1" applyBorder="1" applyAlignment="1" applyProtection="1">
      <alignment horizontal="right" vertical="center"/>
      <protection hidden="1"/>
    </xf>
    <xf numFmtId="3" fontId="0" fillId="4" borderId="71" xfId="0" applyNumberFormat="1" applyFont="1" applyFill="1" applyBorder="1" applyAlignment="1" applyProtection="1">
      <alignment horizontal="right" vertical="center"/>
      <protection hidden="1"/>
    </xf>
    <xf numFmtId="3" fontId="0" fillId="0" borderId="71" xfId="0" applyNumberFormat="1" applyFont="1" applyBorder="1" applyAlignment="1" applyProtection="1">
      <alignment horizontal="right" vertical="center"/>
      <protection hidden="1"/>
    </xf>
    <xf numFmtId="3" fontId="0" fillId="4" borderId="72" xfId="0" applyNumberFormat="1" applyFont="1" applyFill="1" applyBorder="1" applyAlignment="1" applyProtection="1">
      <alignment horizontal="right" vertical="center"/>
      <protection hidden="1"/>
    </xf>
    <xf numFmtId="3" fontId="0" fillId="0" borderId="72" xfId="0" applyNumberFormat="1" applyFont="1" applyBorder="1" applyAlignment="1" applyProtection="1">
      <alignment horizontal="right" vertical="center"/>
      <protection hidden="1"/>
    </xf>
    <xf numFmtId="3" fontId="0" fillId="0" borderId="11" xfId="0" applyNumberFormat="1" applyFont="1" applyBorder="1" applyAlignment="1" applyProtection="1">
      <alignment horizontal="right" vertical="center"/>
      <protection hidden="1"/>
    </xf>
    <xf numFmtId="3" fontId="0" fillId="4" borderId="11" xfId="0" applyNumberFormat="1" applyFont="1" applyFill="1" applyBorder="1" applyAlignment="1" applyProtection="1">
      <alignment horizontal="right" vertical="center"/>
      <protection hidden="1"/>
    </xf>
    <xf numFmtId="3" fontId="0" fillId="0" borderId="17" xfId="0" applyNumberFormat="1" applyFont="1" applyBorder="1" applyAlignment="1" applyProtection="1">
      <alignment horizontal="right" vertical="center"/>
      <protection hidden="1"/>
    </xf>
    <xf numFmtId="3" fontId="0" fillId="0" borderId="21" xfId="0" applyNumberFormat="1" applyFont="1" applyBorder="1" applyAlignment="1" applyProtection="1">
      <alignment horizontal="right" vertical="center"/>
      <protection hidden="1"/>
    </xf>
    <xf numFmtId="3" fontId="0" fillId="4" borderId="17" xfId="0" applyNumberFormat="1" applyFont="1" applyFill="1" applyBorder="1" applyAlignment="1" applyProtection="1">
      <alignment horizontal="right" vertical="center"/>
      <protection hidden="1"/>
    </xf>
    <xf numFmtId="3" fontId="0" fillId="4" borderId="21" xfId="0" applyNumberFormat="1" applyFont="1" applyFill="1" applyBorder="1" applyAlignment="1" applyProtection="1">
      <alignment horizontal="right" vertical="center"/>
      <protection hidden="1"/>
    </xf>
    <xf numFmtId="3" fontId="0" fillId="0" borderId="79" xfId="0" applyNumberFormat="1" applyFont="1" applyBorder="1" applyAlignment="1" applyProtection="1">
      <alignment horizontal="right" vertical="center"/>
      <protection hidden="1"/>
    </xf>
    <xf numFmtId="3" fontId="0" fillId="4" borderId="71" xfId="0" applyNumberFormat="1" applyFont="1" applyFill="1" applyBorder="1" applyAlignment="1" applyProtection="1">
      <alignment horizontal="right" vertical="center"/>
      <protection locked="0"/>
    </xf>
    <xf numFmtId="3" fontId="0" fillId="4" borderId="72" xfId="0" applyNumberFormat="1" applyFont="1" applyFill="1" applyBorder="1" applyAlignment="1" applyProtection="1">
      <alignment horizontal="right" vertical="center"/>
      <protection locked="0"/>
    </xf>
    <xf numFmtId="3" fontId="0" fillId="0" borderId="71" xfId="0" applyNumberFormat="1" applyFont="1" applyBorder="1" applyAlignment="1" applyProtection="1">
      <alignment horizontal="right" vertical="center"/>
      <protection locked="0"/>
    </xf>
    <xf numFmtId="3" fontId="0" fillId="0" borderId="72" xfId="0" applyNumberFormat="1" applyFont="1" applyBorder="1" applyAlignment="1" applyProtection="1">
      <alignment horizontal="right" vertical="center"/>
      <protection locked="0"/>
    </xf>
    <xf numFmtId="3" fontId="0" fillId="0" borderId="71" xfId="0" applyNumberFormat="1" applyFont="1" applyFill="1" applyBorder="1" applyAlignment="1" applyProtection="1">
      <alignment horizontal="right" vertical="center"/>
      <protection locked="0"/>
    </xf>
    <xf numFmtId="3" fontId="0" fillId="0" borderId="72" xfId="0" applyNumberFormat="1" applyFont="1" applyFill="1" applyBorder="1" applyAlignment="1" applyProtection="1">
      <alignment horizontal="right" vertical="center"/>
      <protection locked="0"/>
    </xf>
    <xf numFmtId="3" fontId="4" fillId="0" borderId="71" xfId="0" applyNumberFormat="1" applyFont="1" applyFill="1" applyBorder="1" applyAlignment="1" applyProtection="1">
      <alignment horizontal="right" vertical="center"/>
      <protection locked="0"/>
    </xf>
    <xf numFmtId="3" fontId="4" fillId="0" borderId="72" xfId="0" applyNumberFormat="1" applyFont="1" applyFill="1" applyBorder="1" applyAlignment="1" applyProtection="1">
      <alignment horizontal="right" vertical="center"/>
      <protection locked="0"/>
    </xf>
    <xf numFmtId="3" fontId="0" fillId="4" borderId="71" xfId="0" applyNumberFormat="1" applyFont="1" applyFill="1" applyBorder="1" applyAlignment="1" applyProtection="1">
      <alignment horizontal="right" vertical="center" wrapText="1"/>
      <protection locked="0"/>
    </xf>
    <xf numFmtId="3" fontId="0" fillId="4" borderId="72" xfId="0" applyNumberFormat="1" applyFont="1" applyFill="1" applyBorder="1" applyAlignment="1" applyProtection="1">
      <alignment horizontal="right" vertical="center" wrapText="1"/>
      <protection locked="0"/>
    </xf>
    <xf numFmtId="3" fontId="0" fillId="0" borderId="71" xfId="0" applyNumberFormat="1" applyFont="1" applyFill="1" applyBorder="1" applyAlignment="1" applyProtection="1">
      <alignment horizontal="right" vertical="center" wrapText="1"/>
      <protection locked="0"/>
    </xf>
    <xf numFmtId="3" fontId="0" fillId="0" borderId="72" xfId="0" applyNumberFormat="1" applyFont="1" applyFill="1" applyBorder="1" applyAlignment="1" applyProtection="1">
      <alignment horizontal="right" vertical="center" wrapText="1"/>
      <protection locked="0"/>
    </xf>
    <xf numFmtId="3" fontId="4" fillId="0" borderId="71" xfId="0" applyNumberFormat="1" applyFont="1" applyFill="1" applyBorder="1" applyAlignment="1" applyProtection="1">
      <alignment horizontal="right" vertical="center" wrapText="1"/>
      <protection locked="0"/>
    </xf>
    <xf numFmtId="3" fontId="4" fillId="0" borderId="72" xfId="0" applyNumberFormat="1" applyFont="1" applyFill="1" applyBorder="1" applyAlignment="1" applyProtection="1">
      <alignment horizontal="right" vertical="center" wrapText="1"/>
      <protection locked="0"/>
    </xf>
    <xf numFmtId="0" fontId="14" fillId="0" borderId="4" xfId="8" quotePrefix="1" applyFill="1" applyAlignment="1" applyProtection="1">
      <alignment horizontal="left" vertical="center" indent="1"/>
      <protection hidden="1"/>
    </xf>
    <xf numFmtId="3" fontId="4" fillId="4" borderId="6" xfId="0" applyNumberFormat="1" applyFont="1" applyFill="1" applyBorder="1" applyAlignment="1" applyProtection="1">
      <alignment horizontal="right" vertical="center"/>
      <protection hidden="1"/>
    </xf>
    <xf numFmtId="0" fontId="0" fillId="0" borderId="0" xfId="0" applyBorder="1" applyAlignment="1" applyProtection="1">
      <alignment wrapText="1"/>
      <protection hidden="1"/>
    </xf>
    <xf numFmtId="49" fontId="4" fillId="0" borderId="4" xfId="9" applyFont="1" applyProtection="1">
      <alignment horizontal="left" indent="1"/>
      <protection hidden="1"/>
    </xf>
    <xf numFmtId="168" fontId="4" fillId="6" borderId="28" xfId="4" applyFont="1" applyFill="1" applyBorder="1">
      <alignment horizontal="center" vertical="center" wrapText="1"/>
      <protection hidden="1"/>
    </xf>
    <xf numFmtId="168" fontId="4" fillId="4" borderId="32" xfId="4" applyFont="1" applyFill="1" applyBorder="1">
      <alignment horizontal="center" vertical="center" wrapText="1"/>
      <protection hidden="1"/>
    </xf>
    <xf numFmtId="166" fontId="4" fillId="4" borderId="9" xfId="1" applyFont="1" applyFill="1" applyBorder="1">
      <alignment horizontal="center" vertical="center"/>
      <protection hidden="1"/>
    </xf>
    <xf numFmtId="168" fontId="4" fillId="0" borderId="22" xfId="4" applyFont="1" applyBorder="1">
      <alignment horizontal="center" vertical="center" wrapText="1"/>
      <protection hidden="1"/>
    </xf>
    <xf numFmtId="166" fontId="4" fillId="0" borderId="1" xfId="1" applyFont="1" applyFill="1" applyBorder="1">
      <alignment horizontal="center" vertical="center"/>
      <protection hidden="1"/>
    </xf>
    <xf numFmtId="168" fontId="4" fillId="4" borderId="22" xfId="4" applyFont="1" applyFill="1" applyBorder="1">
      <alignment horizontal="center" vertical="center" wrapText="1"/>
      <protection hidden="1"/>
    </xf>
    <xf numFmtId="166" fontId="4" fillId="4" borderId="1" xfId="1" applyFont="1" applyFill="1" applyBorder="1">
      <alignment horizontal="center" vertical="center"/>
      <protection hidden="1"/>
    </xf>
    <xf numFmtId="168" fontId="4" fillId="4" borderId="7" xfId="4" applyFont="1" applyFill="1" applyBorder="1">
      <alignment horizontal="center" vertical="center" wrapText="1"/>
      <protection hidden="1"/>
    </xf>
    <xf numFmtId="166" fontId="4" fillId="4" borderId="6" xfId="1" applyFont="1" applyFill="1" applyBorder="1">
      <alignment horizontal="center" vertical="center"/>
      <protection hidden="1"/>
    </xf>
    <xf numFmtId="168" fontId="4" fillId="0" borderId="18" xfId="4" applyFont="1" applyBorder="1">
      <alignment horizontal="center" vertical="center" wrapText="1"/>
      <protection hidden="1"/>
    </xf>
    <xf numFmtId="166" fontId="4" fillId="0" borderId="12" xfId="1" applyFont="1" applyFill="1" applyBorder="1">
      <alignment horizontal="center" vertical="center"/>
      <protection hidden="1"/>
    </xf>
    <xf numFmtId="0" fontId="0" fillId="6" borderId="33" xfId="0" applyFont="1" applyFill="1" applyBorder="1" applyAlignment="1" applyProtection="1">
      <protection hidden="1"/>
    </xf>
    <xf numFmtId="0" fontId="0" fillId="6" borderId="29" xfId="0" applyFont="1" applyFill="1" applyBorder="1" applyAlignment="1" applyProtection="1">
      <protection hidden="1"/>
    </xf>
    <xf numFmtId="0" fontId="4" fillId="6" borderId="34" xfId="0" applyFont="1" applyFill="1" applyBorder="1" applyAlignment="1" applyProtection="1">
      <alignment vertical="center"/>
      <protection hidden="1"/>
    </xf>
    <xf numFmtId="0" fontId="4" fillId="6" borderId="33" xfId="0" applyFont="1" applyFill="1" applyBorder="1" applyAlignment="1" applyProtection="1">
      <alignment vertical="center" wrapText="1"/>
      <protection hidden="1"/>
    </xf>
    <xf numFmtId="0" fontId="4" fillId="6" borderId="35" xfId="0" applyFont="1" applyFill="1" applyBorder="1" applyAlignment="1" applyProtection="1">
      <alignment vertical="center" wrapText="1"/>
      <protection hidden="1"/>
    </xf>
    <xf numFmtId="0" fontId="4" fillId="6" borderId="34" xfId="0" applyFont="1" applyFill="1" applyBorder="1" applyAlignment="1" applyProtection="1">
      <alignment horizontal="center" vertical="center" wrapText="1"/>
      <protection hidden="1"/>
    </xf>
    <xf numFmtId="0" fontId="4" fillId="6" borderId="29" xfId="0" applyFont="1" applyFill="1" applyBorder="1" applyAlignment="1" applyProtection="1">
      <alignment horizontal="center" vertical="center" wrapText="1"/>
      <protection hidden="1"/>
    </xf>
    <xf numFmtId="3" fontId="4" fillId="0" borderId="30" xfId="0" applyNumberFormat="1" applyFont="1" applyBorder="1" applyAlignment="1" applyProtection="1">
      <alignment vertical="center"/>
      <protection hidden="1"/>
    </xf>
    <xf numFmtId="3" fontId="4" fillId="0" borderId="36" xfId="0" applyNumberFormat="1" applyFont="1" applyBorder="1" applyAlignment="1" applyProtection="1">
      <alignment vertical="center"/>
      <protection hidden="1"/>
    </xf>
    <xf numFmtId="3" fontId="0" fillId="0" borderId="16" xfId="0" applyNumberFormat="1" applyFont="1" applyBorder="1" applyAlignment="1" applyProtection="1">
      <alignment vertical="center"/>
      <protection hidden="1"/>
    </xf>
    <xf numFmtId="3" fontId="0" fillId="0" borderId="17" xfId="0" applyNumberFormat="1" applyFont="1" applyBorder="1" applyAlignment="1" applyProtection="1">
      <alignment vertical="center"/>
      <protection hidden="1"/>
    </xf>
    <xf numFmtId="3" fontId="0" fillId="4" borderId="16" xfId="0" applyNumberFormat="1" applyFont="1" applyFill="1" applyBorder="1" applyAlignment="1" applyProtection="1">
      <alignment vertical="center"/>
      <protection hidden="1"/>
    </xf>
    <xf numFmtId="3" fontId="0" fillId="4" borderId="17" xfId="0" applyNumberFormat="1" applyFont="1" applyFill="1" applyBorder="1" applyAlignment="1" applyProtection="1">
      <alignment vertical="center"/>
      <protection hidden="1"/>
    </xf>
    <xf numFmtId="3" fontId="0" fillId="0" borderId="16" xfId="0" applyNumberFormat="1" applyFont="1" applyBorder="1" applyAlignment="1" applyProtection="1">
      <alignment vertical="center" wrapText="1"/>
      <protection hidden="1"/>
    </xf>
    <xf numFmtId="3" fontId="0" fillId="0" borderId="17" xfId="0" applyNumberFormat="1" applyFont="1" applyBorder="1" applyAlignment="1" applyProtection="1">
      <alignment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0" fillId="0" borderId="88" xfId="0" applyFill="1" applyBorder="1"/>
    <xf numFmtId="0" fontId="0" fillId="0" borderId="89" xfId="0" applyFill="1" applyBorder="1"/>
    <xf numFmtId="0" fontId="0" fillId="0" borderId="90" xfId="0" applyFill="1" applyBorder="1"/>
    <xf numFmtId="166" fontId="5" fillId="4" borderId="71" xfId="1" applyFont="1" applyFill="1" applyBorder="1">
      <alignment horizontal="center" vertical="center"/>
      <protection hidden="1"/>
    </xf>
    <xf numFmtId="166" fontId="5" fillId="0" borderId="71" xfId="1" applyFont="1" applyFill="1" applyBorder="1">
      <alignment horizontal="center" vertical="center"/>
      <protection hidden="1"/>
    </xf>
    <xf numFmtId="166" fontId="4" fillId="4" borderId="71" xfId="1" applyFont="1" applyFill="1" applyBorder="1">
      <alignment horizontal="center" vertical="center"/>
      <protection hidden="1"/>
    </xf>
    <xf numFmtId="166" fontId="4" fillId="0" borderId="71" xfId="1" applyFont="1" applyFill="1" applyBorder="1">
      <alignment horizontal="center" vertical="center"/>
      <protection hidden="1"/>
    </xf>
    <xf numFmtId="3" fontId="4" fillId="0" borderId="36" xfId="0" applyNumberFormat="1" applyFont="1" applyBorder="1" applyAlignment="1" applyProtection="1">
      <alignment horizontal="right" vertical="center"/>
      <protection hidden="1"/>
    </xf>
    <xf numFmtId="3" fontId="4" fillId="0" borderId="37" xfId="0" applyNumberFormat="1" applyFont="1" applyBorder="1" applyAlignment="1" applyProtection="1">
      <alignment horizontal="right" vertical="center"/>
      <protection hidden="1"/>
    </xf>
    <xf numFmtId="49" fontId="5" fillId="0" borderId="4" xfId="9" applyBorder="1" applyAlignment="1">
      <protection hidden="1"/>
    </xf>
    <xf numFmtId="49" fontId="5" fillId="0" borderId="4" xfId="9" applyFill="1" applyBorder="1" applyAlignment="1">
      <protection hidden="1"/>
    </xf>
    <xf numFmtId="0" fontId="0" fillId="0" borderId="4" xfId="0" applyBorder="1" applyProtection="1">
      <protection hidden="1"/>
    </xf>
    <xf numFmtId="1" fontId="0" fillId="0" borderId="0" xfId="0" applyNumberFormat="1" applyAlignment="1" applyProtection="1">
      <alignment horizontal="right" vertical="center"/>
      <protection hidden="1"/>
    </xf>
    <xf numFmtId="49" fontId="5" fillId="0" borderId="0" xfId="9" applyFill="1" applyBorder="1">
      <alignment horizontal="left" indent="1"/>
      <protection hidden="1"/>
    </xf>
    <xf numFmtId="0" fontId="5" fillId="0" borderId="0" xfId="0" applyFont="1" applyAlignment="1" applyProtection="1">
      <protection hidden="1"/>
    </xf>
    <xf numFmtId="49" fontId="0" fillId="0" borderId="0" xfId="0" applyNumberFormat="1" applyAlignment="1">
      <alignment horizontal="left" wrapText="1"/>
    </xf>
    <xf numFmtId="0" fontId="0" fillId="0" borderId="0" xfId="0" applyNumberFormat="1" applyAlignment="1">
      <alignment horizontal="left" wrapText="1"/>
    </xf>
    <xf numFmtId="49" fontId="0" fillId="0" borderId="0" xfId="0" applyNumberFormat="1" applyBorder="1" applyAlignment="1">
      <alignment horizontal="left" wrapText="1"/>
    </xf>
    <xf numFmtId="0" fontId="0" fillId="0" borderId="0" xfId="0" applyNumberFormat="1" applyBorder="1" applyAlignment="1">
      <alignment horizontal="left" wrapText="1"/>
    </xf>
    <xf numFmtId="0" fontId="2" fillId="0" borderId="0" xfId="0" applyFont="1" applyBorder="1" applyAlignment="1" applyProtection="1">
      <alignment vertical="center"/>
      <protection hidden="1"/>
    </xf>
    <xf numFmtId="0" fontId="5" fillId="0" borderId="0" xfId="0" applyFont="1" applyBorder="1" applyAlignment="1" applyProtection="1">
      <alignment horizontal="right"/>
      <protection hidden="1"/>
    </xf>
    <xf numFmtId="168" fontId="4" fillId="0" borderId="78" xfId="4" applyFont="1" applyBorder="1" applyAlignment="1">
      <alignment horizontal="center" vertical="center" wrapText="1"/>
      <protection hidden="1"/>
    </xf>
    <xf numFmtId="166" fontId="4" fillId="0" borderId="79" xfId="1" applyFont="1" applyFill="1" applyBorder="1">
      <alignment horizontal="center" vertical="center"/>
      <protection hidden="1"/>
    </xf>
    <xf numFmtId="168" fontId="4" fillId="4" borderId="70" xfId="4" applyFont="1" applyFill="1" applyBorder="1" applyAlignment="1">
      <alignment horizontal="center" vertical="center" wrapText="1"/>
      <protection hidden="1"/>
    </xf>
    <xf numFmtId="168" fontId="4" fillId="0" borderId="70" xfId="4" applyFont="1" applyBorder="1" applyAlignment="1">
      <alignment horizontal="center" vertical="center" wrapText="1"/>
      <protection hidden="1"/>
    </xf>
    <xf numFmtId="168" fontId="4" fillId="0" borderId="70" xfId="4" applyFont="1" applyFill="1" applyBorder="1" applyAlignment="1">
      <alignment horizontal="center" vertical="center" wrapText="1"/>
      <protection hidden="1"/>
    </xf>
    <xf numFmtId="168" fontId="5" fillId="4" borderId="70" xfId="4" applyFont="1" applyFill="1" applyBorder="1" applyAlignment="1">
      <alignment horizontal="center" vertical="center" wrapText="1"/>
      <protection hidden="1"/>
    </xf>
    <xf numFmtId="168" fontId="5" fillId="0" borderId="70" xfId="4" applyFont="1" applyBorder="1" applyAlignment="1">
      <alignment horizontal="center" vertical="center" wrapText="1"/>
      <protection hidden="1"/>
    </xf>
    <xf numFmtId="168" fontId="5" fillId="0" borderId="70" xfId="4" applyFont="1" applyFill="1" applyBorder="1" applyAlignment="1">
      <alignment horizontal="center" vertical="center" wrapText="1"/>
      <protection hidden="1"/>
    </xf>
    <xf numFmtId="0" fontId="0" fillId="0" borderId="0" xfId="0" applyAlignment="1">
      <alignment wrapText="1"/>
    </xf>
    <xf numFmtId="0" fontId="0" fillId="12" borderId="2" xfId="0" applyFill="1" applyBorder="1" applyAlignment="1">
      <alignment wrapText="1"/>
    </xf>
    <xf numFmtId="168" fontId="4" fillId="0" borderId="78" xfId="4" applyFont="1" applyBorder="1" applyProtection="1">
      <alignment horizontal="center" vertical="center" wrapText="1"/>
      <protection hidden="1"/>
    </xf>
    <xf numFmtId="166" fontId="4" fillId="0" borderId="79" xfId="1" applyFont="1" applyBorder="1" applyProtection="1">
      <alignment horizontal="center" vertical="center"/>
      <protection hidden="1"/>
    </xf>
    <xf numFmtId="168" fontId="4" fillId="4" borderId="70" xfId="4" applyFont="1" applyFill="1" applyBorder="1" applyProtection="1">
      <alignment horizontal="center" vertical="center" wrapText="1"/>
      <protection hidden="1"/>
    </xf>
    <xf numFmtId="166" fontId="4" fillId="4" borderId="71" xfId="1" applyFont="1" applyFill="1" applyBorder="1" applyProtection="1">
      <alignment horizontal="center" vertical="center"/>
      <protection hidden="1"/>
    </xf>
    <xf numFmtId="168" fontId="4" fillId="0" borderId="70" xfId="4" applyFont="1" applyBorder="1" applyProtection="1">
      <alignment horizontal="center" vertical="center" wrapText="1"/>
      <protection hidden="1"/>
    </xf>
    <xf numFmtId="166" fontId="4" fillId="0" borderId="71" xfId="1" applyFont="1" applyBorder="1" applyProtection="1">
      <alignment horizontal="center" vertical="center"/>
      <protection hidden="1"/>
    </xf>
    <xf numFmtId="168" fontId="4" fillId="0" borderId="73" xfId="4" applyFont="1" applyBorder="1" applyProtection="1">
      <alignment horizontal="center" vertical="center" wrapText="1"/>
      <protection hidden="1"/>
    </xf>
    <xf numFmtId="166" fontId="4" fillId="0" borderId="74" xfId="1" applyFont="1" applyBorder="1" applyProtection="1">
      <alignment horizontal="center" vertical="center"/>
      <protection hidden="1"/>
    </xf>
    <xf numFmtId="168" fontId="5" fillId="4" borderId="70" xfId="4" applyFont="1" applyFill="1" applyBorder="1" applyProtection="1">
      <alignment horizontal="center" vertical="center" wrapText="1"/>
      <protection hidden="1"/>
    </xf>
    <xf numFmtId="166" fontId="5" fillId="4" borderId="71" xfId="1" applyFont="1" applyFill="1" applyBorder="1" applyProtection="1">
      <alignment horizontal="center" vertical="center"/>
      <protection hidden="1"/>
    </xf>
    <xf numFmtId="168" fontId="5" fillId="0" borderId="70" xfId="4" applyFont="1" applyBorder="1" applyProtection="1">
      <alignment horizontal="center" vertical="center" wrapText="1"/>
      <protection hidden="1"/>
    </xf>
    <xf numFmtId="166" fontId="5" fillId="0" borderId="71" xfId="1" applyFont="1" applyBorder="1" applyProtection="1">
      <alignment horizontal="center" vertical="center"/>
      <protection hidden="1"/>
    </xf>
    <xf numFmtId="168" fontId="5" fillId="4" borderId="73" xfId="4" applyFont="1" applyFill="1" applyBorder="1" applyAlignment="1">
      <alignment horizontal="center" vertical="center" wrapText="1"/>
      <protection hidden="1"/>
    </xf>
    <xf numFmtId="166" fontId="5" fillId="4" borderId="74" xfId="1" applyFont="1" applyFill="1" applyBorder="1">
      <alignment horizontal="center" vertical="center"/>
      <protection hidden="1"/>
    </xf>
    <xf numFmtId="3" fontId="0" fillId="0" borderId="71" xfId="0" applyNumberFormat="1" applyFont="1" applyFill="1" applyBorder="1" applyAlignment="1" applyProtection="1">
      <alignment horizontal="right" vertical="center"/>
      <protection hidden="1"/>
    </xf>
    <xf numFmtId="3" fontId="0" fillId="0" borderId="72" xfId="0" applyNumberFormat="1" applyFont="1" applyFill="1" applyBorder="1" applyAlignment="1" applyProtection="1">
      <alignment horizontal="right" vertical="center"/>
      <protection hidden="1"/>
    </xf>
    <xf numFmtId="0" fontId="15" fillId="3" borderId="12" xfId="0" quotePrefix="1" applyNumberFormat="1" applyFont="1" applyFill="1" applyBorder="1" applyAlignment="1" applyProtection="1">
      <alignment horizontal="center"/>
      <protection hidden="1"/>
    </xf>
    <xf numFmtId="168" fontId="4" fillId="4" borderId="70" xfId="4" applyFont="1" applyFill="1" applyBorder="1">
      <alignment horizontal="center" vertical="center" wrapText="1"/>
      <protection hidden="1"/>
    </xf>
    <xf numFmtId="168" fontId="4" fillId="0" borderId="70" xfId="4" applyFont="1" applyBorder="1">
      <alignment horizontal="center" vertical="center" wrapText="1"/>
      <protection hidden="1"/>
    </xf>
    <xf numFmtId="166" fontId="4" fillId="0" borderId="71" xfId="1" applyFont="1" applyBorder="1">
      <alignment horizontal="center" vertical="center"/>
      <protection hidden="1"/>
    </xf>
    <xf numFmtId="168" fontId="5" fillId="0" borderId="78" xfId="4" applyFont="1" applyBorder="1">
      <alignment horizontal="center" vertical="center" wrapText="1"/>
      <protection hidden="1"/>
    </xf>
    <xf numFmtId="166" fontId="5" fillId="0" borderId="79" xfId="1" applyFont="1" applyBorder="1">
      <alignment horizontal="center" vertical="center"/>
      <protection hidden="1"/>
    </xf>
    <xf numFmtId="168" fontId="5" fillId="4" borderId="70" xfId="4" applyFont="1" applyFill="1" applyBorder="1">
      <alignment horizontal="center" vertical="center" wrapText="1"/>
      <protection hidden="1"/>
    </xf>
    <xf numFmtId="168" fontId="5" fillId="0" borderId="70" xfId="4" applyFont="1" applyBorder="1">
      <alignment horizontal="center" vertical="center" wrapText="1"/>
      <protection hidden="1"/>
    </xf>
    <xf numFmtId="166" fontId="5" fillId="0" borderId="71" xfId="1" applyFont="1" applyBorder="1">
      <alignment horizontal="center" vertical="center"/>
      <protection hidden="1"/>
    </xf>
    <xf numFmtId="168" fontId="5" fillId="4" borderId="73" xfId="4" applyFont="1" applyFill="1" applyBorder="1">
      <alignment horizontal="center" vertical="center" wrapText="1"/>
      <protection hidden="1"/>
    </xf>
    <xf numFmtId="3" fontId="4" fillId="0" borderId="74" xfId="0" applyNumberFormat="1" applyFont="1" applyBorder="1" applyAlignment="1" applyProtection="1">
      <alignment horizontal="right" vertical="center"/>
      <protection hidden="1"/>
    </xf>
    <xf numFmtId="3" fontId="4" fillId="0" borderId="81" xfId="0" applyNumberFormat="1" applyFont="1" applyBorder="1" applyAlignment="1" applyProtection="1">
      <alignment horizontal="right" vertical="center"/>
      <protection hidden="1"/>
    </xf>
    <xf numFmtId="38" fontId="4" fillId="4" borderId="15" xfId="0" applyNumberFormat="1" applyFont="1" applyFill="1" applyBorder="1" applyAlignment="1" applyProtection="1">
      <alignment horizontal="right" vertical="center"/>
      <protection hidden="1"/>
    </xf>
    <xf numFmtId="38" fontId="4" fillId="4" borderId="38" xfId="0" applyNumberFormat="1" applyFont="1" applyFill="1" applyBorder="1" applyAlignment="1" applyProtection="1">
      <alignment horizontal="right" vertical="center"/>
      <protection hidden="1"/>
    </xf>
    <xf numFmtId="38" fontId="4" fillId="0" borderId="74" xfId="0" applyNumberFormat="1" applyFont="1" applyFill="1" applyBorder="1" applyAlignment="1" applyProtection="1">
      <alignment horizontal="right" vertical="center"/>
      <protection hidden="1"/>
    </xf>
    <xf numFmtId="38" fontId="4" fillId="0" borderId="81" xfId="0" applyNumberFormat="1" applyFont="1" applyFill="1" applyBorder="1" applyAlignment="1" applyProtection="1">
      <alignment horizontal="right" vertical="center"/>
      <protection hidden="1"/>
    </xf>
    <xf numFmtId="3" fontId="0" fillId="4" borderId="11" xfId="0" applyNumberFormat="1" applyFont="1" applyFill="1" applyBorder="1" applyAlignment="1" applyProtection="1">
      <alignment horizontal="right" vertical="center"/>
      <protection locked="0"/>
    </xf>
    <xf numFmtId="3" fontId="0" fillId="0" borderId="11" xfId="0" applyNumberFormat="1" applyFont="1" applyBorder="1" applyAlignment="1" applyProtection="1">
      <alignment horizontal="right" vertical="center"/>
      <protection locked="0"/>
    </xf>
    <xf numFmtId="3" fontId="4" fillId="0" borderId="1" xfId="0" applyNumberFormat="1" applyFont="1" applyBorder="1" applyAlignment="1" applyProtection="1">
      <alignment horizontal="right" vertical="center"/>
      <protection locked="0"/>
    </xf>
    <xf numFmtId="3" fontId="4" fillId="0" borderId="11" xfId="0" applyNumberFormat="1" applyFont="1" applyBorder="1" applyAlignment="1" applyProtection="1">
      <alignment horizontal="right" vertical="center"/>
      <protection locked="0"/>
    </xf>
    <xf numFmtId="167" fontId="4" fillId="4" borderId="1" xfId="0" applyNumberFormat="1" applyFont="1" applyFill="1" applyBorder="1" applyAlignment="1" applyProtection="1">
      <alignment horizontal="right" vertical="center"/>
      <protection locked="0"/>
    </xf>
    <xf numFmtId="167" fontId="4" fillId="4" borderId="11" xfId="0" applyNumberFormat="1" applyFont="1" applyFill="1" applyBorder="1" applyAlignment="1" applyProtection="1">
      <alignment horizontal="right" vertical="center"/>
      <protection locked="0"/>
    </xf>
    <xf numFmtId="3" fontId="4" fillId="4" borderId="11" xfId="0" applyNumberFormat="1" applyFont="1" applyFill="1" applyBorder="1" applyAlignment="1" applyProtection="1">
      <alignment horizontal="right" vertical="center"/>
      <protection locked="0"/>
    </xf>
    <xf numFmtId="3" fontId="4" fillId="4" borderId="0" xfId="0" applyNumberFormat="1" applyFont="1" applyFill="1" applyBorder="1" applyAlignment="1" applyProtection="1">
      <alignment horizontal="right" vertical="center"/>
      <protection locked="0"/>
    </xf>
    <xf numFmtId="3" fontId="4" fillId="4" borderId="39" xfId="0" applyNumberFormat="1" applyFont="1" applyFill="1" applyBorder="1" applyAlignment="1" applyProtection="1">
      <alignment horizontal="right" vertical="center"/>
      <protection locked="0"/>
    </xf>
    <xf numFmtId="3" fontId="0" fillId="4" borderId="17" xfId="0" applyNumberFormat="1" applyFont="1" applyFill="1" applyBorder="1" applyAlignment="1" applyProtection="1">
      <alignment horizontal="right" vertical="center"/>
      <protection locked="0"/>
    </xf>
    <xf numFmtId="3" fontId="0" fillId="4" borderId="21" xfId="0" applyNumberFormat="1" applyFont="1" applyFill="1" applyBorder="1" applyAlignment="1" applyProtection="1">
      <alignment horizontal="right" vertical="center"/>
      <protection locked="0"/>
    </xf>
    <xf numFmtId="3" fontId="0" fillId="0" borderId="17" xfId="0" applyNumberFormat="1" applyFont="1" applyBorder="1" applyAlignment="1" applyProtection="1">
      <alignment horizontal="right" vertical="center"/>
      <protection locked="0"/>
    </xf>
    <xf numFmtId="3" fontId="0" fillId="0" borderId="21" xfId="0" applyNumberFormat="1" applyFont="1" applyBorder="1" applyAlignment="1" applyProtection="1">
      <alignment horizontal="right" vertical="center"/>
      <protection locked="0"/>
    </xf>
    <xf numFmtId="3" fontId="4" fillId="4" borderId="17" xfId="0" applyNumberFormat="1" applyFont="1" applyFill="1" applyBorder="1" applyAlignment="1" applyProtection="1">
      <alignment horizontal="right" vertical="center"/>
      <protection locked="0"/>
    </xf>
    <xf numFmtId="3" fontId="4" fillId="4" borderId="21" xfId="0" applyNumberFormat="1" applyFont="1" applyFill="1" applyBorder="1" applyAlignment="1" applyProtection="1">
      <alignment horizontal="right" vertical="center"/>
      <protection locked="0"/>
    </xf>
    <xf numFmtId="3" fontId="4" fillId="0" borderId="17" xfId="0" applyNumberFormat="1" applyFont="1" applyBorder="1" applyAlignment="1" applyProtection="1">
      <alignment horizontal="right" vertical="center"/>
      <protection locked="0"/>
    </xf>
    <xf numFmtId="3" fontId="4" fillId="0" borderId="21" xfId="0" applyNumberFormat="1" applyFont="1" applyBorder="1" applyAlignment="1" applyProtection="1">
      <alignment horizontal="right" vertical="center"/>
      <protection locked="0"/>
    </xf>
    <xf numFmtId="3" fontId="4" fillId="0" borderId="71" xfId="0" applyNumberFormat="1" applyFont="1" applyBorder="1" applyAlignment="1" applyProtection="1">
      <alignment horizontal="right" vertical="center"/>
      <protection locked="0"/>
    </xf>
    <xf numFmtId="3" fontId="4" fillId="0" borderId="72" xfId="0" applyNumberFormat="1" applyFont="1" applyBorder="1" applyAlignment="1" applyProtection="1">
      <alignment horizontal="right" vertical="center"/>
      <protection locked="0"/>
    </xf>
    <xf numFmtId="0" fontId="4" fillId="4" borderId="71" xfId="0" applyNumberFormat="1" applyFont="1" applyFill="1" applyBorder="1" applyAlignment="1" applyProtection="1">
      <alignment horizontal="right" vertical="center"/>
      <protection locked="0"/>
    </xf>
    <xf numFmtId="0" fontId="4" fillId="4" borderId="72" xfId="0" applyNumberFormat="1" applyFont="1" applyFill="1" applyBorder="1" applyAlignment="1" applyProtection="1">
      <alignment horizontal="right" vertical="center"/>
      <protection locked="0"/>
    </xf>
    <xf numFmtId="0" fontId="0" fillId="0" borderId="71" xfId="0" applyNumberFormat="1" applyFont="1" applyFill="1" applyBorder="1" applyAlignment="1" applyProtection="1">
      <alignment horizontal="right" vertical="center"/>
      <protection locked="0"/>
    </xf>
    <xf numFmtId="0" fontId="0" fillId="0" borderId="72" xfId="0" applyNumberFormat="1" applyFont="1" applyFill="1" applyBorder="1" applyAlignment="1" applyProtection="1">
      <alignment horizontal="right" vertical="center"/>
      <protection locked="0"/>
    </xf>
    <xf numFmtId="0" fontId="0" fillId="4" borderId="71" xfId="0" applyNumberFormat="1" applyFont="1" applyFill="1" applyBorder="1" applyAlignment="1" applyProtection="1">
      <alignment horizontal="right" vertical="center"/>
      <protection locked="0"/>
    </xf>
    <xf numFmtId="0" fontId="0" fillId="4" borderId="72" xfId="0" applyNumberFormat="1" applyFont="1" applyFill="1" applyBorder="1" applyAlignment="1" applyProtection="1">
      <alignment horizontal="right" vertical="center"/>
      <protection locked="0"/>
    </xf>
    <xf numFmtId="0" fontId="0" fillId="4" borderId="74" xfId="0" applyNumberFormat="1" applyFont="1" applyFill="1" applyBorder="1" applyAlignment="1" applyProtection="1">
      <alignment horizontal="right" vertical="center"/>
      <protection locked="0"/>
    </xf>
    <xf numFmtId="0" fontId="0" fillId="4" borderId="81" xfId="0" applyNumberFormat="1" applyFont="1" applyFill="1" applyBorder="1" applyAlignment="1" applyProtection="1">
      <alignment horizontal="right" vertical="center"/>
      <protection locked="0"/>
    </xf>
    <xf numFmtId="3" fontId="0" fillId="0" borderId="79" xfId="0" applyNumberFormat="1" applyFont="1" applyBorder="1" applyAlignment="1" applyProtection="1">
      <alignment horizontal="right" vertical="center"/>
      <protection locked="0"/>
    </xf>
    <xf numFmtId="3" fontId="0" fillId="0" borderId="80" xfId="0" applyNumberFormat="1" applyFont="1" applyBorder="1" applyAlignment="1" applyProtection="1">
      <alignment horizontal="right" vertical="center"/>
      <protection locked="0"/>
    </xf>
    <xf numFmtId="3" fontId="0" fillId="4" borderId="74" xfId="0" applyNumberFormat="1" applyFont="1" applyFill="1" applyBorder="1" applyAlignment="1" applyProtection="1">
      <alignment horizontal="right" vertical="center"/>
      <protection locked="0"/>
    </xf>
    <xf numFmtId="3" fontId="0" fillId="4" borderId="81" xfId="0" applyNumberFormat="1" applyFont="1" applyFill="1" applyBorder="1" applyAlignment="1" applyProtection="1">
      <alignment horizontal="right" vertical="center"/>
      <protection locked="0"/>
    </xf>
    <xf numFmtId="3" fontId="4" fillId="0" borderId="79" xfId="0" applyNumberFormat="1" applyFont="1" applyBorder="1" applyAlignment="1" applyProtection="1">
      <alignment horizontal="right" vertical="center"/>
      <protection locked="0"/>
    </xf>
    <xf numFmtId="0" fontId="0" fillId="0" borderId="0" xfId="0" quotePrefix="1" applyAlignment="1" applyProtection="1">
      <alignment vertical="center"/>
      <protection hidden="1"/>
    </xf>
    <xf numFmtId="0" fontId="0" fillId="0" borderId="2" xfId="0" applyBorder="1" applyAlignment="1" applyProtection="1">
      <alignment vertical="center"/>
      <protection locked="0" hidden="1"/>
    </xf>
    <xf numFmtId="0" fontId="0" fillId="0" borderId="0" xfId="0" applyBorder="1" applyAlignment="1" applyProtection="1">
      <alignment vertical="center"/>
      <protection hidden="1"/>
    </xf>
    <xf numFmtId="0" fontId="6" fillId="0" borderId="0" xfId="0" applyFont="1" applyFill="1" applyAlignment="1" applyProtection="1">
      <alignment horizontal="left" inden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170" fontId="0" fillId="0" borderId="2" xfId="0" applyNumberFormat="1" applyBorder="1" applyAlignment="1" applyProtection="1">
      <alignment horizontal="center" vertical="center"/>
      <protection hidden="1"/>
    </xf>
    <xf numFmtId="170" fontId="0" fillId="0" borderId="2" xfId="0" applyNumberFormat="1" applyBorder="1" applyProtection="1">
      <protection hidden="1"/>
    </xf>
    <xf numFmtId="0" fontId="0" fillId="0" borderId="2" xfId="0" applyFill="1" applyBorder="1" applyAlignment="1" applyProtection="1">
      <alignment horizontal="right" indent="1"/>
      <protection hidden="1"/>
    </xf>
    <xf numFmtId="0" fontId="6" fillId="0" borderId="40" xfId="0" applyFont="1" applyFill="1" applyBorder="1" applyProtection="1">
      <protection hidden="1"/>
    </xf>
    <xf numFmtId="0" fontId="0" fillId="0" borderId="31" xfId="0" applyFill="1" applyBorder="1" applyProtection="1">
      <protection hidden="1"/>
    </xf>
    <xf numFmtId="0" fontId="0" fillId="0" borderId="41" xfId="0" applyFill="1" applyBorder="1" applyProtection="1">
      <protection hidden="1"/>
    </xf>
    <xf numFmtId="0" fontId="6" fillId="0" borderId="42" xfId="0" applyFont="1" applyFill="1" applyBorder="1" applyProtection="1">
      <protection hidden="1"/>
    </xf>
    <xf numFmtId="0" fontId="0" fillId="0" borderId="43" xfId="0" applyFill="1" applyBorder="1" applyProtection="1">
      <protection hidden="1"/>
    </xf>
    <xf numFmtId="0" fontId="20" fillId="0" borderId="42" xfId="0" applyFont="1" applyFill="1" applyBorder="1" applyProtection="1">
      <protection hidden="1"/>
    </xf>
    <xf numFmtId="0" fontId="20" fillId="0" borderId="44" xfId="0" applyFont="1" applyFill="1" applyBorder="1" applyProtection="1">
      <protection hidden="1"/>
    </xf>
    <xf numFmtId="0" fontId="0" fillId="0" borderId="4" xfId="0" applyFill="1" applyBorder="1" applyProtection="1">
      <protection hidden="1"/>
    </xf>
    <xf numFmtId="0" fontId="0" fillId="0" borderId="45" xfId="0" applyFill="1" applyBorder="1" applyProtection="1">
      <protection hidden="1"/>
    </xf>
    <xf numFmtId="0" fontId="0" fillId="0" borderId="4" xfId="0" applyBorder="1"/>
    <xf numFmtId="14" fontId="0" fillId="0" borderId="0" xfId="0" applyNumberFormat="1" applyFill="1"/>
    <xf numFmtId="0" fontId="0" fillId="0" borderId="83" xfId="0" applyNumberFormat="1" applyFill="1" applyBorder="1"/>
    <xf numFmtId="0" fontId="0" fillId="0" borderId="4" xfId="0" applyFill="1" applyBorder="1"/>
    <xf numFmtId="0" fontId="25" fillId="15" borderId="67" xfId="13"/>
    <xf numFmtId="164" fontId="0" fillId="0" borderId="0" xfId="0" applyNumberFormat="1" applyProtection="1">
      <protection hidden="1"/>
    </xf>
    <xf numFmtId="0" fontId="0" fillId="0" borderId="0" xfId="0" applyNumberFormat="1" applyAlignment="1" applyProtection="1">
      <alignment horizontal="right"/>
      <protection hidden="1"/>
    </xf>
    <xf numFmtId="164" fontId="0" fillId="0" borderId="0" xfId="0" applyNumberFormat="1" applyBorder="1" applyProtection="1">
      <protection hidden="1"/>
    </xf>
    <xf numFmtId="0" fontId="0" fillId="0" borderId="0" xfId="0" applyNumberFormat="1" applyBorder="1" applyAlignment="1" applyProtection="1">
      <alignment horizontal="right"/>
      <protection hidden="1"/>
    </xf>
    <xf numFmtId="0" fontId="26" fillId="14" borderId="0" xfId="12" applyFont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vertical="center"/>
      <protection hidden="1"/>
    </xf>
    <xf numFmtId="0" fontId="18" fillId="0" borderId="0" xfId="0" applyFont="1" applyFill="1" applyAlignment="1" applyProtection="1">
      <alignment horizontal="center" vertical="center"/>
      <protection hidden="1"/>
    </xf>
    <xf numFmtId="0" fontId="21" fillId="0" borderId="4" xfId="6" applyFont="1" applyFill="1" applyBorder="1" applyAlignment="1" applyProtection="1">
      <alignment horizontal="right" vertical="center" indent="1"/>
      <protection hidden="1"/>
    </xf>
    <xf numFmtId="0" fontId="21" fillId="9" borderId="28" xfId="6" applyFont="1" applyBorder="1" applyAlignment="1">
      <alignment horizontal="right" vertical="center" indent="1"/>
      <protection locked="0"/>
    </xf>
    <xf numFmtId="0" fontId="21" fillId="9" borderId="29" xfId="6" applyFont="1" applyBorder="1" applyAlignment="1">
      <alignment horizontal="right" vertical="center" indent="1"/>
      <protection locked="0"/>
    </xf>
    <xf numFmtId="0" fontId="21" fillId="9" borderId="46" xfId="6" applyFont="1" applyBorder="1" applyAlignment="1">
      <alignment horizontal="center" vertical="center"/>
      <protection locked="0"/>
    </xf>
    <xf numFmtId="0" fontId="21" fillId="9" borderId="47" xfId="6" applyFont="1" applyBorder="1" applyAlignment="1">
      <alignment horizontal="center" vertical="center"/>
      <protection locked="0"/>
    </xf>
    <xf numFmtId="0" fontId="21" fillId="9" borderId="48" xfId="6" applyFont="1" applyBorder="1" applyAlignment="1">
      <alignment horizontal="center" vertical="center"/>
      <protection locked="0"/>
    </xf>
    <xf numFmtId="0" fontId="21" fillId="9" borderId="49" xfId="6" applyFont="1" applyBorder="1" applyAlignment="1">
      <alignment horizontal="center" vertical="center"/>
      <protection locked="0"/>
    </xf>
    <xf numFmtId="0" fontId="21" fillId="9" borderId="0" xfId="6" applyFont="1" applyBorder="1" applyAlignment="1">
      <alignment horizontal="center" vertical="center"/>
      <protection locked="0"/>
    </xf>
    <xf numFmtId="0" fontId="21" fillId="9" borderId="50" xfId="6" applyFont="1" applyBorder="1" applyAlignment="1">
      <alignment horizontal="center" vertical="center"/>
      <protection locked="0"/>
    </xf>
    <xf numFmtId="0" fontId="21" fillId="9" borderId="51" xfId="6" applyFont="1" applyBorder="1" applyAlignment="1">
      <alignment horizontal="center" vertical="center"/>
      <protection locked="0"/>
    </xf>
    <xf numFmtId="0" fontId="21" fillId="9" borderId="52" xfId="6" applyFont="1" applyBorder="1" applyAlignment="1">
      <alignment horizontal="center" vertical="center"/>
      <protection locked="0"/>
    </xf>
    <xf numFmtId="0" fontId="21" fillId="9" borderId="53" xfId="6" applyFont="1" applyBorder="1" applyAlignment="1">
      <alignment horizontal="center" vertical="center"/>
      <protection locked="0"/>
    </xf>
    <xf numFmtId="0" fontId="0" fillId="0" borderId="0" xfId="0" applyBorder="1" applyAlignment="1" applyProtection="1">
      <alignment horizontal="right" vertical="center" wrapText="1"/>
      <protection hidden="1"/>
    </xf>
    <xf numFmtId="0" fontId="22" fillId="9" borderId="4" xfId="8" applyFont="1" applyAlignment="1">
      <alignment horizontal="left" vertical="center"/>
      <protection locked="0"/>
    </xf>
    <xf numFmtId="0" fontId="14" fillId="9" borderId="28" xfId="6" applyBorder="1" applyAlignment="1">
      <alignment horizontal="right" vertical="center" indent="1"/>
      <protection locked="0"/>
    </xf>
    <xf numFmtId="0" fontId="14" fillId="9" borderId="33" xfId="6" applyBorder="1" applyAlignment="1">
      <alignment horizontal="right" vertical="center" indent="1"/>
      <protection locked="0"/>
    </xf>
    <xf numFmtId="0" fontId="14" fillId="9" borderId="29" xfId="6" applyBorder="1" applyAlignment="1">
      <alignment horizontal="right" vertical="center" indent="1"/>
      <protection locked="0"/>
    </xf>
    <xf numFmtId="0" fontId="14" fillId="9" borderId="4" xfId="8">
      <alignment horizontal="left" vertical="center"/>
      <protection locked="0"/>
    </xf>
    <xf numFmtId="0" fontId="14" fillId="9" borderId="4" xfId="8" applyBorder="1">
      <alignment horizontal="left" vertical="center"/>
      <protection locked="0"/>
    </xf>
    <xf numFmtId="0" fontId="15" fillId="3" borderId="30" xfId="0" applyFont="1" applyFill="1" applyBorder="1" applyAlignment="1" applyProtection="1">
      <alignment horizontal="center"/>
      <protection hidden="1"/>
    </xf>
    <xf numFmtId="0" fontId="15" fillId="3" borderId="36" xfId="0" applyFont="1" applyFill="1" applyBorder="1" applyAlignment="1" applyProtection="1">
      <alignment horizontal="center"/>
      <protection hidden="1"/>
    </xf>
    <xf numFmtId="0" fontId="15" fillId="3" borderId="55" xfId="0" applyFont="1" applyFill="1" applyBorder="1" applyAlignment="1" applyProtection="1">
      <alignment horizontal="center" vertical="center" wrapText="1"/>
      <protection hidden="1"/>
    </xf>
    <xf numFmtId="0" fontId="15" fillId="3" borderId="32" xfId="0" applyFont="1" applyFill="1" applyBorder="1" applyAlignment="1" applyProtection="1">
      <alignment horizontal="center" vertical="center" wrapText="1"/>
      <protection hidden="1"/>
    </xf>
    <xf numFmtId="0" fontId="15" fillId="3" borderId="24" xfId="0" applyFont="1" applyFill="1" applyBorder="1" applyAlignment="1" applyProtection="1">
      <alignment horizontal="center" vertical="center" wrapText="1"/>
      <protection hidden="1"/>
    </xf>
    <xf numFmtId="0" fontId="15" fillId="3" borderId="62" xfId="0" applyFont="1" applyFill="1" applyBorder="1" applyAlignment="1" applyProtection="1">
      <alignment horizontal="center" vertical="center" wrapText="1"/>
      <protection hidden="1"/>
    </xf>
    <xf numFmtId="0" fontId="15" fillId="3" borderId="63" xfId="0" applyFont="1" applyFill="1" applyBorder="1" applyAlignment="1" applyProtection="1">
      <alignment horizontal="center" vertical="center" wrapText="1"/>
      <protection hidden="1"/>
    </xf>
    <xf numFmtId="0" fontId="0" fillId="4" borderId="16" xfId="0" applyFont="1" applyFill="1" applyBorder="1" applyAlignment="1" applyProtection="1">
      <alignment horizontal="left" vertical="center" wrapText="1"/>
      <protection hidden="1"/>
    </xf>
    <xf numFmtId="0" fontId="0" fillId="4" borderId="54" xfId="0" applyFont="1" applyFill="1" applyBorder="1" applyAlignment="1" applyProtection="1">
      <alignment horizontal="left" vertical="center" wrapText="1"/>
      <protection hidden="1"/>
    </xf>
    <xf numFmtId="0" fontId="0" fillId="4" borderId="17" xfId="0" applyFont="1" applyFill="1" applyBorder="1" applyAlignment="1" applyProtection="1">
      <alignment horizontal="left" vertical="center" wrapText="1"/>
      <protection hidden="1"/>
    </xf>
    <xf numFmtId="0" fontId="0" fillId="0" borderId="16" xfId="0" applyFont="1" applyBorder="1" applyAlignment="1" applyProtection="1">
      <alignment horizontal="left" vertical="center" wrapText="1"/>
      <protection hidden="1"/>
    </xf>
    <xf numFmtId="0" fontId="0" fillId="0" borderId="54" xfId="0" applyFont="1" applyBorder="1" applyAlignment="1" applyProtection="1">
      <alignment horizontal="left" vertical="center" wrapText="1"/>
      <protection hidden="1"/>
    </xf>
    <xf numFmtId="0" fontId="0" fillId="0" borderId="17" xfId="0" applyFont="1" applyBorder="1" applyAlignment="1" applyProtection="1">
      <alignment horizontal="left" vertical="center" wrapText="1"/>
      <protection hidden="1"/>
    </xf>
    <xf numFmtId="0" fontId="4" fillId="4" borderId="16" xfId="0" applyFont="1" applyFill="1" applyBorder="1" applyAlignment="1" applyProtection="1">
      <alignment horizontal="left" vertical="center" wrapText="1"/>
      <protection hidden="1"/>
    </xf>
    <xf numFmtId="0" fontId="4" fillId="4" borderId="54" xfId="0" applyFont="1" applyFill="1" applyBorder="1" applyAlignment="1" applyProtection="1">
      <alignment horizontal="left" vertical="center" wrapText="1"/>
      <protection hidden="1"/>
    </xf>
    <xf numFmtId="0" fontId="4" fillId="4" borderId="17" xfId="0" applyFont="1" applyFill="1" applyBorder="1" applyAlignment="1" applyProtection="1">
      <alignment horizontal="left" vertical="center" wrapText="1"/>
      <protection hidden="1"/>
    </xf>
    <xf numFmtId="0" fontId="15" fillId="3" borderId="56" xfId="0" applyFont="1" applyFill="1" applyBorder="1" applyAlignment="1" applyProtection="1">
      <alignment horizontal="center"/>
      <protection hidden="1"/>
    </xf>
    <xf numFmtId="0" fontId="4" fillId="0" borderId="16" xfId="0" applyFont="1" applyBorder="1" applyAlignment="1" applyProtection="1">
      <alignment horizontal="left" vertical="center" wrapText="1"/>
      <protection hidden="1"/>
    </xf>
    <xf numFmtId="0" fontId="4" fillId="0" borderId="54" xfId="0" applyFont="1" applyBorder="1" applyAlignment="1" applyProtection="1">
      <alignment horizontal="left" vertical="center" wrapText="1"/>
      <protection hidden="1"/>
    </xf>
    <xf numFmtId="0" fontId="4" fillId="0" borderId="17" xfId="0" applyFont="1" applyBorder="1" applyAlignment="1" applyProtection="1">
      <alignment horizontal="left" vertical="center" wrapText="1"/>
      <protection hidden="1"/>
    </xf>
    <xf numFmtId="0" fontId="4" fillId="0" borderId="30" xfId="0" applyFont="1" applyBorder="1" applyAlignment="1" applyProtection="1">
      <alignment horizontal="left" vertical="center" wrapText="1"/>
      <protection hidden="1"/>
    </xf>
    <xf numFmtId="0" fontId="4" fillId="0" borderId="56" xfId="0" applyFont="1" applyBorder="1" applyAlignment="1" applyProtection="1">
      <alignment horizontal="left" vertical="center" wrapText="1"/>
      <protection hidden="1"/>
    </xf>
    <xf numFmtId="0" fontId="4" fillId="0" borderId="36" xfId="0" applyFont="1" applyBorder="1" applyAlignment="1" applyProtection="1">
      <alignment horizontal="left" vertical="center" wrapText="1"/>
      <protection hidden="1"/>
    </xf>
    <xf numFmtId="0" fontId="4" fillId="6" borderId="33" xfId="0" applyFont="1" applyFill="1" applyBorder="1" applyAlignment="1" applyProtection="1">
      <alignment horizontal="left" vertical="center"/>
      <protection hidden="1"/>
    </xf>
    <xf numFmtId="0" fontId="4" fillId="6" borderId="35" xfId="0" applyFont="1" applyFill="1" applyBorder="1" applyAlignment="1" applyProtection="1">
      <alignment horizontal="left" vertical="center"/>
      <protection hidden="1"/>
    </xf>
    <xf numFmtId="0" fontId="4" fillId="4" borderId="14" xfId="0" applyFont="1" applyFill="1" applyBorder="1" applyAlignment="1" applyProtection="1">
      <alignment horizontal="left" vertical="center" wrapText="1"/>
      <protection hidden="1"/>
    </xf>
    <xf numFmtId="0" fontId="4" fillId="4" borderId="57" xfId="0" applyFont="1" applyFill="1" applyBorder="1" applyAlignment="1" applyProtection="1">
      <alignment horizontal="left" vertical="center" wrapText="1"/>
      <protection hidden="1"/>
    </xf>
    <xf numFmtId="0" fontId="4" fillId="4" borderId="15" xfId="0" applyFont="1" applyFill="1" applyBorder="1" applyAlignment="1" applyProtection="1">
      <alignment horizontal="left" vertical="center" wrapText="1"/>
      <protection hidden="1"/>
    </xf>
    <xf numFmtId="0" fontId="15" fillId="3" borderId="64" xfId="0" applyFont="1" applyFill="1" applyBorder="1" applyAlignment="1" applyProtection="1">
      <alignment horizontal="center" vertical="center" wrapText="1"/>
      <protection hidden="1"/>
    </xf>
    <xf numFmtId="0" fontId="15" fillId="3" borderId="65" xfId="0" applyFont="1" applyFill="1" applyBorder="1" applyAlignment="1" applyProtection="1">
      <alignment horizontal="center" vertical="center" wrapText="1"/>
      <protection hidden="1"/>
    </xf>
    <xf numFmtId="0" fontId="15" fillId="3" borderId="58" xfId="0" applyFont="1" applyFill="1" applyBorder="1" applyAlignment="1" applyProtection="1">
      <alignment horizontal="center" vertical="center"/>
      <protection hidden="1"/>
    </xf>
    <xf numFmtId="0" fontId="15" fillId="3" borderId="31" xfId="0" applyFont="1" applyFill="1" applyBorder="1" applyAlignment="1" applyProtection="1">
      <alignment horizontal="center" vertical="center"/>
      <protection hidden="1"/>
    </xf>
    <xf numFmtId="0" fontId="15" fillId="3" borderId="59" xfId="0" applyFont="1" applyFill="1" applyBorder="1" applyAlignment="1" applyProtection="1">
      <alignment horizontal="center" vertical="center"/>
      <protection hidden="1"/>
    </xf>
    <xf numFmtId="0" fontId="15" fillId="3" borderId="60" xfId="0" applyFont="1" applyFill="1" applyBorder="1" applyAlignment="1" applyProtection="1">
      <alignment horizontal="center" vertical="center"/>
      <protection hidden="1"/>
    </xf>
    <xf numFmtId="0" fontId="15" fillId="3" borderId="66" xfId="0" applyFont="1" applyFill="1" applyBorder="1" applyAlignment="1" applyProtection="1">
      <alignment horizontal="center" vertical="center"/>
      <protection hidden="1"/>
    </xf>
    <xf numFmtId="0" fontId="15" fillId="3" borderId="61" xfId="0" applyFont="1" applyFill="1" applyBorder="1" applyAlignment="1" applyProtection="1">
      <alignment horizontal="center" vertical="center"/>
      <protection hidden="1"/>
    </xf>
    <xf numFmtId="0" fontId="15" fillId="3" borderId="58" xfId="0" applyFont="1" applyFill="1" applyBorder="1" applyAlignment="1" applyProtection="1">
      <alignment horizontal="center" vertical="center" wrapText="1"/>
      <protection hidden="1"/>
    </xf>
    <xf numFmtId="0" fontId="15" fillId="3" borderId="59" xfId="0" applyFont="1" applyFill="1" applyBorder="1" applyAlignment="1" applyProtection="1">
      <alignment horizontal="center" vertical="center" wrapText="1"/>
      <protection hidden="1"/>
    </xf>
    <xf numFmtId="0" fontId="15" fillId="3" borderId="60" xfId="0" applyFont="1" applyFill="1" applyBorder="1" applyAlignment="1" applyProtection="1">
      <alignment horizontal="center" vertical="center" wrapText="1"/>
      <protection hidden="1"/>
    </xf>
    <xf numFmtId="0" fontId="15" fillId="3" borderId="61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Border="1" applyAlignment="1" applyProtection="1">
      <alignment horizontal="left" wrapText="1"/>
      <protection hidden="1"/>
    </xf>
    <xf numFmtId="0" fontId="15" fillId="13" borderId="58" xfId="0" applyFont="1" applyFill="1" applyBorder="1" applyAlignment="1" applyProtection="1">
      <alignment horizontal="center" vertical="center"/>
      <protection hidden="1"/>
    </xf>
    <xf numFmtId="0" fontId="15" fillId="13" borderId="31" xfId="0" applyFont="1" applyFill="1" applyBorder="1" applyAlignment="1" applyProtection="1">
      <alignment horizontal="center" vertical="center"/>
      <protection hidden="1"/>
    </xf>
    <xf numFmtId="0" fontId="15" fillId="13" borderId="59" xfId="0" applyFont="1" applyFill="1" applyBorder="1" applyAlignment="1" applyProtection="1">
      <alignment horizontal="center" vertical="center"/>
      <protection hidden="1"/>
    </xf>
    <xf numFmtId="0" fontId="15" fillId="13" borderId="60" xfId="0" applyFont="1" applyFill="1" applyBorder="1" applyAlignment="1" applyProtection="1">
      <alignment horizontal="center" vertical="center"/>
      <protection hidden="1"/>
    </xf>
    <xf numFmtId="0" fontId="15" fillId="13" borderId="66" xfId="0" applyFont="1" applyFill="1" applyBorder="1" applyAlignment="1" applyProtection="1">
      <alignment horizontal="center" vertical="center"/>
      <protection hidden="1"/>
    </xf>
    <xf numFmtId="0" fontId="15" fillId="13" borderId="61" xfId="0" applyFont="1" applyFill="1" applyBorder="1" applyAlignment="1" applyProtection="1">
      <alignment horizontal="center" vertical="center"/>
      <protection hidden="1"/>
    </xf>
    <xf numFmtId="0" fontId="5" fillId="0" borderId="4" xfId="10" applyFont="1">
      <alignment horizontal="left" indent="1"/>
      <protection hidden="1"/>
    </xf>
    <xf numFmtId="0" fontId="15" fillId="3" borderId="25" xfId="0" applyFont="1" applyFill="1" applyBorder="1" applyAlignment="1" applyProtection="1">
      <alignment horizontal="center" vertical="center" wrapText="1"/>
      <protection hidden="1"/>
    </xf>
    <xf numFmtId="49" fontId="5" fillId="0" borderId="4" xfId="9" applyFont="1">
      <alignment horizontal="left" indent="1"/>
      <protection hidden="1"/>
    </xf>
    <xf numFmtId="0" fontId="15" fillId="3" borderId="24" xfId="0" applyFont="1" applyFill="1" applyBorder="1" applyAlignment="1" applyProtection="1">
      <alignment horizontal="center" vertical="center"/>
      <protection hidden="1"/>
    </xf>
    <xf numFmtId="0" fontId="0" fillId="0" borderId="0" xfId="0" applyFont="1" applyFill="1" applyBorder="1" applyAlignment="1" applyProtection="1">
      <alignment horizontal="center" vertical="center"/>
      <protection hidden="1"/>
    </xf>
    <xf numFmtId="0" fontId="4" fillId="6" borderId="33" xfId="0" applyFont="1" applyFill="1" applyBorder="1" applyAlignment="1" applyProtection="1">
      <alignment horizontal="left" vertical="center" wrapText="1"/>
      <protection hidden="1"/>
    </xf>
    <xf numFmtId="49" fontId="4" fillId="0" borderId="4" xfId="9" applyFont="1" applyAlignment="1">
      <alignment horizontal="left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0" fillId="0" borderId="71" xfId="0" applyFont="1" applyBorder="1" applyAlignment="1" applyProtection="1">
      <alignment horizontal="left" vertical="center" wrapText="1"/>
      <protection hidden="1"/>
    </xf>
    <xf numFmtId="0" fontId="0" fillId="4" borderId="74" xfId="0" applyFont="1" applyFill="1" applyBorder="1" applyAlignment="1" applyProtection="1">
      <alignment horizontal="left" vertical="center" wrapText="1"/>
      <protection hidden="1"/>
    </xf>
    <xf numFmtId="0" fontId="15" fillId="3" borderId="91" xfId="0" applyFont="1" applyFill="1" applyBorder="1" applyAlignment="1" applyProtection="1">
      <alignment horizontal="center" vertical="center" wrapText="1"/>
      <protection hidden="1"/>
    </xf>
    <xf numFmtId="0" fontId="15" fillId="3" borderId="68" xfId="0" applyFont="1" applyFill="1" applyBorder="1" applyAlignment="1" applyProtection="1">
      <alignment horizontal="center" vertical="center" wrapText="1"/>
      <protection hidden="1"/>
    </xf>
    <xf numFmtId="0" fontId="15" fillId="3" borderId="91" xfId="0" applyFont="1" applyFill="1" applyBorder="1" applyAlignment="1" applyProtection="1">
      <alignment horizontal="center" vertical="center"/>
      <protection hidden="1"/>
    </xf>
    <xf numFmtId="0" fontId="15" fillId="3" borderId="92" xfId="0" applyFont="1" applyFill="1" applyBorder="1" applyAlignment="1" applyProtection="1">
      <alignment horizontal="center" vertical="center"/>
      <protection hidden="1"/>
    </xf>
    <xf numFmtId="0" fontId="4" fillId="4" borderId="71" xfId="0" applyFont="1" applyFill="1" applyBorder="1" applyAlignment="1" applyProtection="1">
      <alignment horizontal="left" vertical="center" wrapText="1"/>
      <protection hidden="1"/>
    </xf>
    <xf numFmtId="0" fontId="0" fillId="4" borderId="71" xfId="0" applyFont="1" applyFill="1" applyBorder="1" applyAlignment="1" applyProtection="1">
      <alignment horizontal="left" vertical="center" wrapText="1"/>
      <protection hidden="1"/>
    </xf>
    <xf numFmtId="0" fontId="4" fillId="0" borderId="93" xfId="0" applyFont="1" applyBorder="1" applyAlignment="1" applyProtection="1">
      <alignment horizontal="left" vertical="center" wrapText="1"/>
      <protection hidden="1"/>
    </xf>
    <xf numFmtId="0" fontId="4" fillId="0" borderId="94" xfId="0" applyFont="1" applyBorder="1" applyAlignment="1" applyProtection="1">
      <alignment horizontal="left" vertical="center" wrapText="1"/>
      <protection hidden="1"/>
    </xf>
    <xf numFmtId="0" fontId="4" fillId="0" borderId="95" xfId="0" applyFont="1" applyBorder="1" applyAlignment="1" applyProtection="1">
      <alignment horizontal="left" vertical="center" wrapText="1"/>
      <protection hidden="1"/>
    </xf>
    <xf numFmtId="0" fontId="4" fillId="0" borderId="71" xfId="0" applyFont="1" applyBorder="1" applyAlignment="1" applyProtection="1">
      <alignment horizontal="left" vertical="center" wrapText="1"/>
      <protection hidden="1"/>
    </xf>
    <xf numFmtId="0" fontId="5" fillId="0" borderId="4" xfId="10">
      <alignment horizontal="left" indent="1"/>
      <protection hidden="1"/>
    </xf>
    <xf numFmtId="0" fontId="15" fillId="3" borderId="96" xfId="0" applyFont="1" applyFill="1" applyBorder="1" applyAlignment="1" applyProtection="1">
      <alignment horizontal="center" vertical="center" wrapText="1"/>
      <protection hidden="1"/>
    </xf>
    <xf numFmtId="0" fontId="15" fillId="3" borderId="97" xfId="0" applyFont="1" applyFill="1" applyBorder="1" applyAlignment="1" applyProtection="1">
      <alignment horizontal="center" vertical="center" wrapText="1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49" fontId="5" fillId="0" borderId="4" xfId="9">
      <alignment horizontal="left" indent="1"/>
      <protection hidden="1"/>
    </xf>
    <xf numFmtId="0" fontId="0" fillId="0" borderId="0" xfId="0" applyBorder="1" applyAlignment="1" applyProtection="1">
      <alignment horizontal="left" wrapText="1"/>
      <protection hidden="1"/>
    </xf>
    <xf numFmtId="0" fontId="15" fillId="3" borderId="68" xfId="0" applyFont="1" applyFill="1" applyBorder="1" applyAlignment="1" applyProtection="1">
      <alignment horizontal="center" vertical="center"/>
      <protection hidden="1"/>
    </xf>
    <xf numFmtId="49" fontId="4" fillId="0" borderId="0" xfId="9" applyFont="1" applyBorder="1" applyAlignment="1">
      <alignment horizontal="left"/>
      <protection hidden="1"/>
    </xf>
    <xf numFmtId="0" fontId="15" fillId="3" borderId="76" xfId="0" applyFont="1" applyFill="1" applyBorder="1" applyAlignment="1" applyProtection="1">
      <alignment horizontal="center"/>
      <protection hidden="1"/>
    </xf>
    <xf numFmtId="0" fontId="4" fillId="0" borderId="79" xfId="0" applyFont="1" applyBorder="1" applyAlignment="1" applyProtection="1">
      <alignment horizontal="left" vertical="center" wrapText="1"/>
      <protection hidden="1"/>
    </xf>
    <xf numFmtId="0" fontId="10" fillId="0" borderId="0" xfId="0" applyFont="1" applyFill="1" applyBorder="1" applyAlignment="1" applyProtection="1">
      <alignment horizontal="center" vertical="center"/>
      <protection hidden="1"/>
    </xf>
    <xf numFmtId="0" fontId="4" fillId="4" borderId="79" xfId="0" applyFont="1" applyFill="1" applyBorder="1" applyAlignment="1" applyProtection="1">
      <alignment horizontal="left" vertical="center" wrapText="1"/>
      <protection hidden="1"/>
    </xf>
    <xf numFmtId="0" fontId="4" fillId="0" borderId="71" xfId="0" applyFont="1" applyFill="1" applyBorder="1" applyAlignment="1" applyProtection="1">
      <alignment horizontal="left" vertical="center" wrapText="1"/>
      <protection hidden="1"/>
    </xf>
    <xf numFmtId="0" fontId="0" fillId="0" borderId="71" xfId="0" applyFont="1" applyFill="1" applyBorder="1" applyAlignment="1" applyProtection="1">
      <alignment horizontal="left" vertical="center" wrapText="1"/>
      <protection hidden="1"/>
    </xf>
    <xf numFmtId="0" fontId="4" fillId="0" borderId="74" xfId="0" applyFont="1" applyFill="1" applyBorder="1" applyAlignment="1" applyProtection="1">
      <alignment horizontal="left" vertical="center" wrapText="1"/>
      <protection hidden="1"/>
    </xf>
    <xf numFmtId="0" fontId="4" fillId="0" borderId="74" xfId="0" applyFont="1" applyBorder="1" applyAlignment="1" applyProtection="1">
      <alignment horizontal="left" vertical="center" wrapText="1"/>
      <protection hidden="1"/>
    </xf>
    <xf numFmtId="0" fontId="3" fillId="0" borderId="0" xfId="0" applyFont="1" applyFill="1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0" fontId="0" fillId="0" borderId="93" xfId="0" applyFont="1" applyBorder="1" applyAlignment="1" applyProtection="1">
      <alignment horizontal="left" vertical="center" wrapText="1"/>
      <protection hidden="1"/>
    </xf>
    <xf numFmtId="0" fontId="0" fillId="0" borderId="94" xfId="0" applyFont="1" applyBorder="1" applyAlignment="1" applyProtection="1">
      <alignment horizontal="left" vertical="center" wrapText="1"/>
      <protection hidden="1"/>
    </xf>
    <xf numFmtId="0" fontId="0" fillId="0" borderId="95" xfId="0" applyFont="1" applyBorder="1" applyAlignment="1" applyProtection="1">
      <alignment horizontal="left" vertical="center" wrapText="1"/>
      <protection hidden="1"/>
    </xf>
    <xf numFmtId="0" fontId="0" fillId="4" borderId="93" xfId="0" applyFont="1" applyFill="1" applyBorder="1" applyAlignment="1" applyProtection="1">
      <alignment horizontal="left" vertical="center" wrapText="1"/>
      <protection hidden="1"/>
    </xf>
    <xf numFmtId="0" fontId="0" fillId="4" borderId="94" xfId="0" applyFont="1" applyFill="1" applyBorder="1" applyAlignment="1" applyProtection="1">
      <alignment horizontal="left" vertical="center" wrapText="1"/>
      <protection hidden="1"/>
    </xf>
    <xf numFmtId="0" fontId="0" fillId="4" borderId="95" xfId="0" applyFont="1" applyFill="1" applyBorder="1" applyAlignment="1" applyProtection="1">
      <alignment horizontal="left" vertical="center" wrapText="1"/>
      <protection hidden="1"/>
    </xf>
    <xf numFmtId="0" fontId="0" fillId="4" borderId="101" xfId="0" applyFont="1" applyFill="1" applyBorder="1" applyAlignment="1" applyProtection="1">
      <alignment horizontal="left" vertical="center" wrapText="1"/>
      <protection hidden="1"/>
    </xf>
    <xf numFmtId="0" fontId="0" fillId="4" borderId="102" xfId="0" applyFont="1" applyFill="1" applyBorder="1" applyAlignment="1" applyProtection="1">
      <alignment horizontal="left" vertical="center" wrapText="1"/>
      <protection hidden="1"/>
    </xf>
    <xf numFmtId="0" fontId="0" fillId="4" borderId="103" xfId="0" applyFont="1" applyFill="1" applyBorder="1" applyAlignment="1" applyProtection="1">
      <alignment horizontal="left" vertical="center" wrapText="1"/>
      <protection hidden="1"/>
    </xf>
    <xf numFmtId="0" fontId="4" fillId="4" borderId="93" xfId="0" applyFont="1" applyFill="1" applyBorder="1" applyAlignment="1" applyProtection="1">
      <alignment horizontal="left" vertical="center" wrapText="1"/>
      <protection hidden="1"/>
    </xf>
    <xf numFmtId="0" fontId="4" fillId="4" borderId="94" xfId="0" applyFont="1" applyFill="1" applyBorder="1" applyAlignment="1" applyProtection="1">
      <alignment horizontal="left" vertical="center" wrapText="1"/>
      <protection hidden="1"/>
    </xf>
    <xf numFmtId="0" fontId="4" fillId="4" borderId="95" xfId="0" applyFont="1" applyFill="1" applyBorder="1" applyAlignment="1" applyProtection="1">
      <alignment horizontal="left" vertical="center" wrapText="1"/>
      <protection hidden="1"/>
    </xf>
    <xf numFmtId="0" fontId="0" fillId="0" borderId="79" xfId="0" applyFont="1" applyBorder="1" applyAlignment="1" applyProtection="1">
      <alignment horizontal="left" vertical="center" wrapText="1"/>
      <protection hidden="1"/>
    </xf>
    <xf numFmtId="0" fontId="5" fillId="0" borderId="4" xfId="10" applyProtection="1">
      <alignment horizontal="left" indent="1"/>
      <protection hidden="1"/>
    </xf>
    <xf numFmtId="0" fontId="15" fillId="3" borderId="1" xfId="0" applyFont="1" applyFill="1" applyBorder="1" applyAlignment="1" applyProtection="1">
      <alignment horizontal="center" vertical="center" wrapText="1"/>
      <protection hidden="1"/>
    </xf>
    <xf numFmtId="0" fontId="15" fillId="3" borderId="31" xfId="0" applyFont="1" applyFill="1" applyBorder="1" applyAlignment="1" applyProtection="1">
      <alignment horizontal="center" vertical="center" wrapText="1"/>
      <protection hidden="1"/>
    </xf>
    <xf numFmtId="0" fontId="15" fillId="3" borderId="66" xfId="0" applyFont="1" applyFill="1" applyBorder="1" applyAlignment="1" applyProtection="1">
      <alignment horizontal="center" vertical="center" wrapText="1"/>
      <protection hidden="1"/>
    </xf>
    <xf numFmtId="0" fontId="0" fillId="0" borderId="93" xfId="0" applyFont="1" applyBorder="1" applyAlignment="1" applyProtection="1">
      <alignment vertical="center" wrapText="1"/>
      <protection hidden="1"/>
    </xf>
    <xf numFmtId="0" fontId="0" fillId="0" borderId="94" xfId="0" applyFont="1" applyBorder="1" applyAlignment="1" applyProtection="1">
      <alignment vertical="center" wrapText="1"/>
      <protection hidden="1"/>
    </xf>
    <xf numFmtId="0" fontId="0" fillId="0" borderId="95" xfId="0" applyFont="1" applyBorder="1" applyAlignment="1" applyProtection="1">
      <alignment vertical="center" wrapText="1"/>
      <protection hidden="1"/>
    </xf>
    <xf numFmtId="0" fontId="0" fillId="0" borderId="0" xfId="0" applyBorder="1" applyAlignment="1" applyProtection="1">
      <alignment wrapText="1"/>
      <protection hidden="1"/>
    </xf>
    <xf numFmtId="49" fontId="4" fillId="0" borderId="4" xfId="9" applyFont="1" applyProtection="1">
      <alignment horizontal="left" indent="1"/>
      <protection hidden="1"/>
    </xf>
    <xf numFmtId="0" fontId="15" fillId="3" borderId="23" xfId="0" applyFont="1" applyFill="1" applyBorder="1" applyAlignment="1" applyProtection="1">
      <alignment horizontal="center" vertical="center"/>
      <protection hidden="1"/>
    </xf>
    <xf numFmtId="0" fontId="15" fillId="3" borderId="22" xfId="0" applyFont="1" applyFill="1" applyBorder="1" applyAlignment="1" applyProtection="1">
      <alignment horizontal="center" vertical="center"/>
      <protection hidden="1"/>
    </xf>
    <xf numFmtId="0" fontId="0" fillId="4" borderId="93" xfId="0" applyFont="1" applyFill="1" applyBorder="1" applyAlignment="1" applyProtection="1">
      <alignment vertical="center" wrapText="1"/>
      <protection hidden="1"/>
    </xf>
    <xf numFmtId="0" fontId="0" fillId="4" borderId="94" xfId="0" applyFont="1" applyFill="1" applyBorder="1" applyAlignment="1" applyProtection="1">
      <alignment vertical="center" wrapText="1"/>
      <protection hidden="1"/>
    </xf>
    <xf numFmtId="0" fontId="0" fillId="4" borderId="95" xfId="0" applyFont="1" applyFill="1" applyBorder="1" applyAlignment="1" applyProtection="1">
      <alignment vertical="center" wrapText="1"/>
      <protection hidden="1"/>
    </xf>
    <xf numFmtId="0" fontId="4" fillId="0" borderId="101" xfId="0" applyFont="1" applyBorder="1" applyAlignment="1" applyProtection="1">
      <alignment vertical="center" wrapText="1"/>
      <protection hidden="1"/>
    </xf>
    <xf numFmtId="0" fontId="4" fillId="0" borderId="102" xfId="0" applyFont="1" applyBorder="1" applyAlignment="1" applyProtection="1">
      <alignment vertical="center" wrapText="1"/>
      <protection hidden="1"/>
    </xf>
    <xf numFmtId="0" fontId="4" fillId="0" borderId="103" xfId="0" applyFont="1" applyBorder="1" applyAlignment="1" applyProtection="1">
      <alignment vertical="center" wrapText="1"/>
      <protection hidden="1"/>
    </xf>
    <xf numFmtId="0" fontId="4" fillId="4" borderId="93" xfId="0" applyFont="1" applyFill="1" applyBorder="1" applyAlignment="1" applyProtection="1">
      <alignment vertical="center" wrapText="1"/>
      <protection hidden="1"/>
    </xf>
    <xf numFmtId="0" fontId="4" fillId="4" borderId="94" xfId="0" applyFont="1" applyFill="1" applyBorder="1" applyAlignment="1" applyProtection="1">
      <alignment vertical="center" wrapText="1"/>
      <protection hidden="1"/>
    </xf>
    <xf numFmtId="0" fontId="4" fillId="4" borderId="95" xfId="0" applyFont="1" applyFill="1" applyBorder="1" applyAlignment="1" applyProtection="1">
      <alignment vertical="center" wrapText="1"/>
      <protection hidden="1"/>
    </xf>
    <xf numFmtId="0" fontId="4" fillId="0" borderId="93" xfId="0" applyFont="1" applyBorder="1" applyAlignment="1" applyProtection="1">
      <alignment vertical="center" wrapText="1"/>
      <protection hidden="1"/>
    </xf>
    <xf numFmtId="0" fontId="4" fillId="0" borderId="94" xfId="0" applyFont="1" applyBorder="1" applyAlignment="1" applyProtection="1">
      <alignment vertical="center" wrapText="1"/>
      <protection hidden="1"/>
    </xf>
    <xf numFmtId="0" fontId="4" fillId="0" borderId="95" xfId="0" applyFont="1" applyBorder="1" applyAlignment="1" applyProtection="1">
      <alignment vertical="center" wrapText="1"/>
      <protection hidden="1"/>
    </xf>
    <xf numFmtId="49" fontId="5" fillId="0" borderId="4" xfId="9" applyProtection="1">
      <alignment horizontal="left" indent="1"/>
      <protection hidden="1"/>
    </xf>
    <xf numFmtId="49" fontId="5" fillId="0" borderId="33" xfId="9" applyBorder="1" applyProtection="1">
      <alignment horizontal="left" indent="1"/>
      <protection hidden="1"/>
    </xf>
    <xf numFmtId="0" fontId="15" fillId="3" borderId="30" xfId="0" applyFont="1" applyFill="1" applyBorder="1" applyAlignment="1" applyProtection="1">
      <alignment horizontal="center" wrapText="1"/>
      <protection hidden="1"/>
    </xf>
    <xf numFmtId="0" fontId="15" fillId="3" borderId="56" xfId="0" applyFont="1" applyFill="1" applyBorder="1" applyAlignment="1" applyProtection="1">
      <alignment horizontal="center" wrapText="1"/>
      <protection hidden="1"/>
    </xf>
    <xf numFmtId="0" fontId="15" fillId="3" borderId="36" xfId="0" applyFont="1" applyFill="1" applyBorder="1" applyAlignment="1" applyProtection="1">
      <alignment horizontal="center" wrapText="1"/>
      <protection hidden="1"/>
    </xf>
    <xf numFmtId="0" fontId="4" fillId="0" borderId="98" xfId="0" applyFont="1" applyBorder="1" applyAlignment="1" applyProtection="1">
      <alignment vertical="center" wrapText="1"/>
      <protection hidden="1"/>
    </xf>
    <xf numFmtId="0" fontId="4" fillId="0" borderId="99" xfId="0" applyFont="1" applyBorder="1" applyAlignment="1" applyProtection="1">
      <alignment vertical="center" wrapText="1"/>
      <protection hidden="1"/>
    </xf>
    <xf numFmtId="0" fontId="4" fillId="0" borderId="100" xfId="0" applyFont="1" applyBorder="1" applyAlignment="1" applyProtection="1">
      <alignment vertical="center" wrapText="1"/>
      <protection hidden="1"/>
    </xf>
  </cellXfs>
  <cellStyles count="14">
    <cellStyle name="Aop" xfId="1"/>
    <cellStyle name="Bad" xfId="12" builtinId="27"/>
    <cellStyle name="Calculation" xfId="2" builtinId="22" customBuiltin="1"/>
    <cellStyle name="Good" xfId="3" builtinId="26"/>
    <cellStyle name="Grupa" xfId="4"/>
    <cellStyle name="Hyperlink" xfId="5" builtinId="8"/>
    <cellStyle name="Input" xfId="13" builtinId="20"/>
    <cellStyle name="Normal" xfId="0" builtinId="0" customBuiltin="1"/>
    <cellStyle name="UnosBroj" xfId="6"/>
    <cellStyle name="UnosPodataka" xfId="7"/>
    <cellStyle name="UnosTekst" xfId="8"/>
    <cellStyle name="Zaglavlje" xfId="9"/>
    <cellStyle name="ZiroRacun" xfId="10"/>
    <cellStyle name="ZiroRacunUnos" xfId="11"/>
  </cellStyles>
  <dxfs count="96">
    <dxf>
      <numFmt numFmtId="0" formatCode="General"/>
      <alignment horizontal="right" vertical="bottom" textRotation="0" wrapText="0" indent="0" justifyLastLine="0" shrinkToFit="0" readingOrder="0"/>
      <protection locked="1" hidden="1"/>
    </dxf>
    <dxf>
      <numFmt numFmtId="0" formatCode="General"/>
      <alignment horizontal="right" vertical="bottom" textRotation="0" wrapText="0" indent="0" justifyLastLine="0" shrinkToFit="0" readingOrder="0"/>
      <protection locked="1" hidden="1"/>
    </dxf>
    <dxf>
      <numFmt numFmtId="0" formatCode="General"/>
      <alignment horizontal="right" vertical="bottom" textRotation="0" wrapText="0" indent="0" justifyLastLine="0" shrinkToFit="0" readingOrder="0"/>
      <protection locked="1" hidden="1"/>
    </dxf>
    <dxf>
      <numFmt numFmtId="0" formatCode="General"/>
      <alignment horizontal="right" vertical="bottom" textRotation="0" wrapText="0" indent="0" justifyLastLine="0" shrinkToFit="0" readingOrder="0"/>
      <protection locked="1" hidden="1"/>
    </dxf>
    <dxf>
      <numFmt numFmtId="0" formatCode="General"/>
      <alignment horizontal="right" vertical="bottom" textRotation="0" wrapText="0" indent="0" justifyLastLine="0" shrinkToFit="0" readingOrder="0"/>
      <protection locked="1" hidden="1"/>
    </dxf>
    <dxf>
      <numFmt numFmtId="0" formatCode="General"/>
      <alignment horizontal="right" vertical="bottom" textRotation="0" wrapText="0" indent="0" justifyLastLine="0" shrinkToFit="0" readingOrder="0"/>
      <protection locked="1" hidden="1"/>
    </dxf>
    <dxf>
      <numFmt numFmtId="0" formatCode="General"/>
      <alignment horizontal="right" vertical="bottom" textRotation="0" wrapText="0" indent="0" justifyLastLine="0" shrinkToFit="0" readingOrder="0"/>
      <protection locked="1" hidden="1"/>
    </dxf>
    <dxf>
      <numFmt numFmtId="0" formatCode="General"/>
      <alignment horizontal="right" vertical="bottom" textRotation="0" wrapText="0" indent="0" justifyLastLine="0" shrinkToFit="0" readingOrder="0"/>
      <protection locked="1" hidden="1"/>
    </dxf>
    <dxf>
      <numFmt numFmtId="0" formatCode="General"/>
      <alignment horizontal="right" vertical="bottom" textRotation="0" wrapText="0" indent="0" justifyLastLine="0" shrinkToFit="0" readingOrder="0"/>
      <protection locked="1" hidden="1"/>
    </dxf>
    <dxf>
      <numFmt numFmtId="0" formatCode="General"/>
      <alignment horizontal="right" vertical="bottom" textRotation="0" wrapText="0" indent="0" justifyLastLine="0" shrinkToFit="0" readingOrder="0"/>
      <protection locked="1" hidden="1"/>
    </dxf>
    <dxf>
      <numFmt numFmtId="164" formatCode="000"/>
      <protection locked="1" hidden="1"/>
    </dxf>
    <dxf>
      <numFmt numFmtId="0" formatCode="General"/>
      <protection locked="1" hidden="1"/>
    </dxf>
    <dxf>
      <protection locked="1" hidden="1"/>
    </dxf>
    <dxf>
      <alignment horizontal="center" vertical="center" textRotation="0" wrapText="1" indent="0" justifyLastLine="0" shrinkToFit="0" readingOrder="0"/>
      <protection locked="1" hidden="1"/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171" formatCode="dd/mm/yyyy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top style="thin">
          <color theme="0"/>
        </top>
      </border>
    </dxf>
    <dxf>
      <border outline="0">
        <right style="thin">
          <color theme="0"/>
        </right>
      </border>
    </dxf>
    <dxf>
      <fill>
        <patternFill patternType="none">
          <fgColor indexed="64"/>
          <bgColor indexed="65"/>
        </patternFill>
      </fill>
    </dxf>
    <dxf>
      <border outline="0">
        <bottom style="thick">
          <color theme="0"/>
        </bottom>
      </border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171" formatCode="dd/mm/yyyy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 outline="0">
        <top style="thin">
          <color theme="0"/>
        </top>
      </border>
    </dxf>
    <dxf>
      <border outline="0">
        <right style="thin">
          <color theme="0"/>
        </right>
      </border>
    </dxf>
    <dxf>
      <fill>
        <patternFill patternType="none">
          <fgColor indexed="64"/>
          <bgColor indexed="65"/>
        </patternFill>
      </fill>
    </dxf>
    <dxf>
      <border outline="0">
        <bottom style="thick">
          <color theme="0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numFmt numFmtId="171" formatCode="dd/mm/yyyy"/>
    </dxf>
    <dxf>
      <alignment horizontal="left" vertical="bottom" textRotation="0" wrapText="0" indent="0" justifyLastLine="0" shrinkToFit="0" readingOrder="0"/>
      <protection locked="1" hidden="1"/>
    </dxf>
    <dxf>
      <protection locked="1" hidden="1"/>
    </dxf>
    <dxf>
      <numFmt numFmtId="0" formatCode="General"/>
    </dxf>
    <dxf>
      <numFmt numFmtId="0" formatCode="General"/>
    </dxf>
    <dxf>
      <numFmt numFmtId="171" formatCode="dd/mm/yyyy"/>
    </dxf>
    <dxf>
      <numFmt numFmtId="171" formatCode="dd/mm/yyyy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30" formatCode="@"/>
      <alignment horizontal="left" vertical="bottom" textRotation="0" wrapText="1" indent="0" justifyLastLine="0" shrinkToFit="0" readingOrder="0"/>
    </dxf>
    <dxf>
      <numFmt numFmtId="30" formatCode="@"/>
      <alignment horizontal="left" vertical="bottom" textRotation="0" wrapText="1" indent="0" justifyLastLine="0" shrinkToFit="0" readingOrder="0"/>
    </dxf>
    <dxf>
      <numFmt numFmtId="30" formatCode="@"/>
      <alignment horizontal="left" vertical="bottom" textRotation="0" wrapText="1" indent="0" justifyLastLine="0" shrinkToFit="0" readingOrder="0"/>
    </dxf>
    <dxf>
      <numFmt numFmtId="0" formatCode="General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fill>
        <patternFill>
          <bgColor theme="5" tint="0.79998168889431442"/>
        </patternFill>
      </fill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F3FCFF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454F67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GBox"/>
</file>

<file path=xl/ctrlProps/ctrlProp10.xml><?xml version="1.0" encoding="utf-8"?>
<formControlPr xmlns="http://schemas.microsoft.com/office/spreadsheetml/2009/9/main" objectType="GBox"/>
</file>

<file path=xl/ctrlProps/ctrlProp11.xml><?xml version="1.0" encoding="utf-8"?>
<formControlPr xmlns="http://schemas.microsoft.com/office/spreadsheetml/2009/9/main" objectType="GBox"/>
</file>

<file path=xl/ctrlProps/ctrlProp12.xml><?xml version="1.0" encoding="utf-8"?>
<formControlPr xmlns="http://schemas.microsoft.com/office/spreadsheetml/2009/9/main" objectType="GBox"/>
</file>

<file path=xl/ctrlProps/ctrlProp2.xml><?xml version="1.0" encoding="utf-8"?>
<formControlPr xmlns="http://schemas.microsoft.com/office/spreadsheetml/2009/9/main" objectType="Drop" dropLines="3" dropStyle="combo" dx="16" fmlaLink="Podesavanja!$B$1" fmlaRange="Podesavanja!$C$3:$C$5" sel="1" val="0"/>
</file>

<file path=xl/ctrlProps/ctrlProp3.xml><?xml version="1.0" encoding="utf-8"?>
<formControlPr xmlns="http://schemas.microsoft.com/office/spreadsheetml/2009/9/main" objectType="CheckBox" fmlaLink="$Y$76" lockText="1"/>
</file>

<file path=xl/ctrlProps/ctrlProp4.xml><?xml version="1.0" encoding="utf-8"?>
<formControlPr xmlns="http://schemas.microsoft.com/office/spreadsheetml/2009/9/main" objectType="CheckBox" fmlaLink="$Y$62" lockText="1"/>
</file>

<file path=xl/ctrlProps/ctrlProp5.xml><?xml version="1.0" encoding="utf-8"?>
<formControlPr xmlns="http://schemas.microsoft.com/office/spreadsheetml/2009/9/main" objectType="Drop" dropLines="4" dropStyle="combo" dx="16" fmlaLink="Podesavanja!$E$1" fmlaRange="Podesavanja!$F$3:$F$6" sel="1" val="0"/>
</file>

<file path=xl/ctrlProps/ctrlProp6.xml><?xml version="1.0" encoding="utf-8"?>
<formControlPr xmlns="http://schemas.microsoft.com/office/spreadsheetml/2009/9/main" objectType="GBox"/>
</file>

<file path=xl/ctrlProps/ctrlProp7.xml><?xml version="1.0" encoding="utf-8"?>
<formControlPr xmlns="http://schemas.microsoft.com/office/spreadsheetml/2009/9/main" objectType="GBox"/>
</file>

<file path=xl/ctrlProps/ctrlProp8.xml><?xml version="1.0" encoding="utf-8"?>
<formControlPr xmlns="http://schemas.microsoft.com/office/spreadsheetml/2009/9/main" objectType="GBox"/>
</file>

<file path=xl/ctrlProps/ctrlProp9.xml><?xml version="1.0" encoding="utf-8"?>
<formControlPr xmlns="http://schemas.microsoft.com/office/spreadsheetml/2009/9/main" objectType="GBox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Uputstvo!B5"/><Relationship Id="rId3" Type="http://schemas.openxmlformats.org/officeDocument/2006/relationships/hyperlink" Target="#'02b'!C12"/><Relationship Id="rId7" Type="http://schemas.openxmlformats.org/officeDocument/2006/relationships/hyperlink" Target="#Osnovni_Podaci!B5"/><Relationship Id="rId2" Type="http://schemas.openxmlformats.org/officeDocument/2006/relationships/hyperlink" Target="#'02a'!C12"/><Relationship Id="rId1" Type="http://schemas.openxmlformats.org/officeDocument/2006/relationships/hyperlink" Target="#'01'!C12"/><Relationship Id="rId6" Type="http://schemas.openxmlformats.org/officeDocument/2006/relationships/hyperlink" Target="#'05'!C12"/><Relationship Id="rId5" Type="http://schemas.openxmlformats.org/officeDocument/2006/relationships/hyperlink" Target="#'04'!C12"/><Relationship Id="rId4" Type="http://schemas.openxmlformats.org/officeDocument/2006/relationships/hyperlink" Target="#'03'!C12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Uputstvo!B5"/><Relationship Id="rId3" Type="http://schemas.openxmlformats.org/officeDocument/2006/relationships/hyperlink" Target="#'02b'!C12"/><Relationship Id="rId7" Type="http://schemas.openxmlformats.org/officeDocument/2006/relationships/hyperlink" Target="#Osnovni_Podaci!B5"/><Relationship Id="rId2" Type="http://schemas.openxmlformats.org/officeDocument/2006/relationships/hyperlink" Target="#'02a'!C12"/><Relationship Id="rId1" Type="http://schemas.openxmlformats.org/officeDocument/2006/relationships/hyperlink" Target="#'01'!C12"/><Relationship Id="rId6" Type="http://schemas.openxmlformats.org/officeDocument/2006/relationships/hyperlink" Target="#'05'!C12"/><Relationship Id="rId5" Type="http://schemas.openxmlformats.org/officeDocument/2006/relationships/hyperlink" Target="#'04'!C12"/><Relationship Id="rId4" Type="http://schemas.openxmlformats.org/officeDocument/2006/relationships/hyperlink" Target="#'03'!C12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Uputstvo!B5"/><Relationship Id="rId3" Type="http://schemas.openxmlformats.org/officeDocument/2006/relationships/hyperlink" Target="#'02b'!C12"/><Relationship Id="rId7" Type="http://schemas.openxmlformats.org/officeDocument/2006/relationships/hyperlink" Target="#Osnovni_Podaci!B5"/><Relationship Id="rId2" Type="http://schemas.openxmlformats.org/officeDocument/2006/relationships/hyperlink" Target="#'02a'!C12"/><Relationship Id="rId1" Type="http://schemas.openxmlformats.org/officeDocument/2006/relationships/hyperlink" Target="#'01'!C12"/><Relationship Id="rId6" Type="http://schemas.openxmlformats.org/officeDocument/2006/relationships/hyperlink" Target="#'05'!C12"/><Relationship Id="rId5" Type="http://schemas.openxmlformats.org/officeDocument/2006/relationships/hyperlink" Target="#'04'!C12"/><Relationship Id="rId4" Type="http://schemas.openxmlformats.org/officeDocument/2006/relationships/hyperlink" Target="#'03'!C12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Uputstvo!B5"/><Relationship Id="rId3" Type="http://schemas.openxmlformats.org/officeDocument/2006/relationships/hyperlink" Target="#'02b'!C12"/><Relationship Id="rId7" Type="http://schemas.openxmlformats.org/officeDocument/2006/relationships/hyperlink" Target="#Osnovni_Podaci!B5"/><Relationship Id="rId2" Type="http://schemas.openxmlformats.org/officeDocument/2006/relationships/hyperlink" Target="#'02a'!C12"/><Relationship Id="rId1" Type="http://schemas.openxmlformats.org/officeDocument/2006/relationships/hyperlink" Target="#'01'!C12"/><Relationship Id="rId6" Type="http://schemas.openxmlformats.org/officeDocument/2006/relationships/hyperlink" Target="#'05'!C12"/><Relationship Id="rId5" Type="http://schemas.openxmlformats.org/officeDocument/2006/relationships/hyperlink" Target="#'04'!C12"/><Relationship Id="rId4" Type="http://schemas.openxmlformats.org/officeDocument/2006/relationships/hyperlink" Target="#'03'!C12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Uputstvo!B5"/><Relationship Id="rId3" Type="http://schemas.openxmlformats.org/officeDocument/2006/relationships/hyperlink" Target="#'02b'!C12"/><Relationship Id="rId7" Type="http://schemas.openxmlformats.org/officeDocument/2006/relationships/hyperlink" Target="#Osnovni_Podaci!B5"/><Relationship Id="rId2" Type="http://schemas.openxmlformats.org/officeDocument/2006/relationships/hyperlink" Target="#'02a'!C12"/><Relationship Id="rId1" Type="http://schemas.openxmlformats.org/officeDocument/2006/relationships/hyperlink" Target="#'01'!C12"/><Relationship Id="rId6" Type="http://schemas.openxmlformats.org/officeDocument/2006/relationships/hyperlink" Target="#'05'!C12"/><Relationship Id="rId5" Type="http://schemas.openxmlformats.org/officeDocument/2006/relationships/hyperlink" Target="#'04'!C12"/><Relationship Id="rId4" Type="http://schemas.openxmlformats.org/officeDocument/2006/relationships/hyperlink" Target="#'03'!C12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Uputstvo!B5"/><Relationship Id="rId3" Type="http://schemas.openxmlformats.org/officeDocument/2006/relationships/hyperlink" Target="#'02b'!C12"/><Relationship Id="rId7" Type="http://schemas.openxmlformats.org/officeDocument/2006/relationships/hyperlink" Target="#Osnovni_Podaci!B5"/><Relationship Id="rId2" Type="http://schemas.openxmlformats.org/officeDocument/2006/relationships/hyperlink" Target="#'02a'!C12"/><Relationship Id="rId1" Type="http://schemas.openxmlformats.org/officeDocument/2006/relationships/hyperlink" Target="#'01'!C12"/><Relationship Id="rId6" Type="http://schemas.openxmlformats.org/officeDocument/2006/relationships/hyperlink" Target="#'05'!C12"/><Relationship Id="rId5" Type="http://schemas.openxmlformats.org/officeDocument/2006/relationships/hyperlink" Target="#'04'!C12"/><Relationship Id="rId4" Type="http://schemas.openxmlformats.org/officeDocument/2006/relationships/hyperlink" Target="#'03'!C12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Uputstvo!B5"/><Relationship Id="rId3" Type="http://schemas.openxmlformats.org/officeDocument/2006/relationships/hyperlink" Target="#'02b'!C12"/><Relationship Id="rId7" Type="http://schemas.openxmlformats.org/officeDocument/2006/relationships/hyperlink" Target="#Osnovni_Podaci!B5"/><Relationship Id="rId2" Type="http://schemas.openxmlformats.org/officeDocument/2006/relationships/hyperlink" Target="#'02a'!C12"/><Relationship Id="rId1" Type="http://schemas.openxmlformats.org/officeDocument/2006/relationships/hyperlink" Target="#'01'!C12"/><Relationship Id="rId6" Type="http://schemas.openxmlformats.org/officeDocument/2006/relationships/hyperlink" Target="#'05'!C12"/><Relationship Id="rId5" Type="http://schemas.openxmlformats.org/officeDocument/2006/relationships/hyperlink" Target="#'04'!C12"/><Relationship Id="rId4" Type="http://schemas.openxmlformats.org/officeDocument/2006/relationships/hyperlink" Target="#'03'!C12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Uputstvo!B5"/><Relationship Id="rId3" Type="http://schemas.openxmlformats.org/officeDocument/2006/relationships/hyperlink" Target="#'02b'!C12"/><Relationship Id="rId7" Type="http://schemas.openxmlformats.org/officeDocument/2006/relationships/hyperlink" Target="#Osnovni_Podaci!B5"/><Relationship Id="rId2" Type="http://schemas.openxmlformats.org/officeDocument/2006/relationships/hyperlink" Target="#'02a'!C12"/><Relationship Id="rId1" Type="http://schemas.openxmlformats.org/officeDocument/2006/relationships/hyperlink" Target="#'01'!C12"/><Relationship Id="rId6" Type="http://schemas.openxmlformats.org/officeDocument/2006/relationships/hyperlink" Target="#'05'!C12"/><Relationship Id="rId5" Type="http://schemas.openxmlformats.org/officeDocument/2006/relationships/hyperlink" Target="#'04'!C12"/><Relationship Id="rId4" Type="http://schemas.openxmlformats.org/officeDocument/2006/relationships/hyperlink" Target="#'03'!C12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47625</xdr:rowOff>
    </xdr:from>
    <xdr:to>
      <xdr:col>12</xdr:col>
      <xdr:colOff>238125</xdr:colOff>
      <xdr:row>3</xdr:row>
      <xdr:rowOff>152400</xdr:rowOff>
    </xdr:to>
    <xdr:grpSp>
      <xdr:nvGrpSpPr>
        <xdr:cNvPr id="123900" name="Okvir Navigacija">
          <a:extLst>
            <a:ext uri="{FF2B5EF4-FFF2-40B4-BE49-F238E27FC236}">
              <a16:creationId xmlns:a16="http://schemas.microsoft.com/office/drawing/2014/main" id="{00000000-0008-0000-0000-0000FCE30100}"/>
            </a:ext>
          </a:extLst>
        </xdr:cNvPr>
        <xdr:cNvGrpSpPr>
          <a:grpSpLocks/>
        </xdr:cNvGrpSpPr>
      </xdr:nvGrpSpPr>
      <xdr:grpSpPr bwMode="auto">
        <a:xfrm>
          <a:off x="381000" y="47625"/>
          <a:ext cx="7353300" cy="590550"/>
          <a:chOff x="7343770" y="3810001"/>
          <a:chExt cx="7258050" cy="59055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1987" name="Navigacija" hidden="1">
                <a:extLst>
                  <a:ext uri="{63B3BB69-23CF-44E3-9099-C40C66FF867C}">
                    <a14:compatExt spid="_x0000_s31987"/>
                  </a:ext>
                  <a:ext uri="{FF2B5EF4-FFF2-40B4-BE49-F238E27FC236}">
                    <a16:creationId xmlns:a16="http://schemas.microsoft.com/office/drawing/2014/main" id="{00000000-0008-0000-0000-0000F37C0000}"/>
                  </a:ext>
                </a:extLst>
              </xdr:cNvPr>
              <xdr:cNvSpPr/>
            </xdr:nvSpPr>
            <xdr:spPr bwMode="auto">
              <a:xfrm>
                <a:off x="7343770" y="3810001"/>
                <a:ext cx="7258050" cy="59055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Navigacija</a:t>
                </a:r>
              </a:p>
            </xdr:txBody>
          </xdr:sp>
        </mc:Choice>
        <mc:Fallback/>
      </mc:AlternateContent>
      <xdr:sp macro="" textlink="Linkovi_Link_BS">
        <xdr:nvSpPr>
          <xdr:cNvPr id="14" name="Link BS">
            <a:hlinkClick xmlns:r="http://schemas.openxmlformats.org/officeDocument/2006/relationships" r:id="rId1" tooltip="01"/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/>
        </xdr:nvSpPr>
        <xdr:spPr bwMode="auto">
          <a:xfrm>
            <a:off x="10230072" y="3914776"/>
            <a:ext cx="1043580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41B9C12B-E4B6-4049-B005-B9091B59AC14}" type="TxLink">
              <a:rPr lang="en-US" sz="1050"/>
              <a:pPr algn="l"/>
              <a:t>01) Bilans stanja</a:t>
            </a:fld>
            <a:endParaRPr lang="en-US" sz="1050"/>
          </a:p>
        </xdr:txBody>
      </xdr:sp>
      <xdr:sp macro="" textlink="Linkovi_Link_BU">
        <xdr:nvSpPr>
          <xdr:cNvPr id="15" name="Link BU">
            <a:hlinkClick xmlns:r="http://schemas.openxmlformats.org/officeDocument/2006/relationships" r:id="rId2" tooltip="02a"/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 txBox="1"/>
        </xdr:nvSpPr>
        <xdr:spPr bwMode="auto">
          <a:xfrm>
            <a:off x="11339463" y="3914776"/>
            <a:ext cx="1316227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501E4AA5-37C5-4070-83BB-80091353CCF3}" type="TxLink">
              <a:rPr lang="en-US" sz="1050"/>
              <a:pPr algn="l"/>
              <a:t>02a) Bilans uspjeha</a:t>
            </a:fld>
            <a:endParaRPr lang="en-US" sz="1050"/>
          </a:p>
        </xdr:txBody>
      </xdr:sp>
      <xdr:sp macro="" textlink="Linkovi_Link_ODGP">
        <xdr:nvSpPr>
          <xdr:cNvPr id="16" name="Link ODGP">
            <a:hlinkClick xmlns:r="http://schemas.openxmlformats.org/officeDocument/2006/relationships" r:id="rId3" tooltip="02b"/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/>
        </xdr:nvSpPr>
        <xdr:spPr bwMode="auto">
          <a:xfrm>
            <a:off x="10436908" y="4143376"/>
            <a:ext cx="3384583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D6B522FE-860F-42FF-96AF-DCA1DD6EABCB}" type="TxLink">
              <a:rPr lang="en-US" sz="1050"/>
              <a:pPr algn="l"/>
              <a:t>02b) Izvještaj o ostalim dobicima i gubicima u periodu</a:t>
            </a:fld>
            <a:endParaRPr lang="en-US" sz="1050"/>
          </a:p>
        </xdr:txBody>
      </xdr:sp>
      <xdr:sp macro="" textlink="Linkovi_Link_BTG">
        <xdr:nvSpPr>
          <xdr:cNvPr id="17" name="Link BTG">
            <a:hlinkClick xmlns:r="http://schemas.openxmlformats.org/officeDocument/2006/relationships" r:id="rId4" tooltip="03"/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/>
        </xdr:nvSpPr>
        <xdr:spPr bwMode="auto">
          <a:xfrm>
            <a:off x="12721501" y="3914776"/>
            <a:ext cx="1617078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4C8CDE52-51DE-484D-8AF0-B912E8207E5C}" type="TxLink">
              <a:rPr lang="en-US" sz="1050"/>
              <a:pPr algn="l"/>
              <a:t>03) Bilans tokova gotovine</a:t>
            </a:fld>
            <a:endParaRPr lang="en-US" sz="1050"/>
          </a:p>
        </xdr:txBody>
      </xdr:sp>
      <xdr:sp macro="" textlink="Linkovi_Link_Aneks">
        <xdr:nvSpPr>
          <xdr:cNvPr id="18" name="Link Aneks">
            <a:hlinkClick xmlns:r="http://schemas.openxmlformats.org/officeDocument/2006/relationships" r:id="rId5" tooltip="04"/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 txBox="1"/>
        </xdr:nvSpPr>
        <xdr:spPr bwMode="auto">
          <a:xfrm>
            <a:off x="7428390" y="4143376"/>
            <a:ext cx="629908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1AE79C66-FCE6-4951-9DF3-F98D302ABC93}" type="TxLink">
              <a:rPr lang="en-US" sz="1050"/>
              <a:pPr algn="l"/>
              <a:t>04) Aneks</a:t>
            </a:fld>
            <a:endParaRPr lang="en-US" sz="1050"/>
          </a:p>
        </xdr:txBody>
      </xdr:sp>
      <xdr:sp macro="" textlink="Linkovi_Link_BPK">
        <xdr:nvSpPr>
          <xdr:cNvPr id="19" name="Link BPK">
            <a:hlinkClick xmlns:r="http://schemas.openxmlformats.org/officeDocument/2006/relationships" r:id="rId6" tooltip="05"/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 bwMode="auto">
          <a:xfrm>
            <a:off x="8142913" y="4143376"/>
            <a:ext cx="2209381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DAD2D9C9-1AD0-4067-BD35-164F5F613F5B}" type="TxLink">
              <a:rPr lang="en-US" sz="1050"/>
              <a:pPr algn="l"/>
              <a:t>05) Izvještaj o promjenama u kapitalu</a:t>
            </a:fld>
            <a:endParaRPr lang="en-US" sz="1050"/>
          </a:p>
        </xdr:txBody>
      </xdr:sp>
      <xdr:sp macro="" textlink="Linkovi_Link_Osnovni_podaci">
        <xdr:nvSpPr>
          <xdr:cNvPr id="20" name="Link Osnovni podaci">
            <a:hlinkClick xmlns:r="http://schemas.openxmlformats.org/officeDocument/2006/relationships" r:id="rId7" tooltip="Osnovni podaci"/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 txBox="1"/>
        </xdr:nvSpPr>
        <xdr:spPr bwMode="auto">
          <a:xfrm>
            <a:off x="9045468" y="3914776"/>
            <a:ext cx="1118793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F3CFBC4A-DEE3-4F04-BB86-FD03EB2105B8}" type="TxLink">
              <a:rPr lang="en-US" sz="1050"/>
              <a:pPr algn="l"/>
              <a:t>Osnovni podaci</a:t>
            </a:fld>
            <a:endParaRPr lang="en-US" sz="1050"/>
          </a:p>
        </xdr:txBody>
      </xdr:sp>
      <xdr:sp macro="" textlink="Linkovi_Link_Uputstvo">
        <xdr:nvSpPr>
          <xdr:cNvPr id="21" name="Link Uputstvo">
            <a:hlinkClick xmlns:r="http://schemas.openxmlformats.org/officeDocument/2006/relationships" r:id="rId8" tooltip="Uputstvo za popunjavanje"/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 txBox="1"/>
        </xdr:nvSpPr>
        <xdr:spPr bwMode="auto">
          <a:xfrm>
            <a:off x="7428390" y="3914776"/>
            <a:ext cx="1551267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FC56B1BD-DFF1-4E03-A168-65F1B3862D47}" type="TxLink">
              <a:rPr lang="en-US" sz="1050"/>
              <a:pPr algn="l"/>
              <a:t>Uputstvo za popunjavanje</a:t>
            </a:fld>
            <a:endParaRPr lang="en-US" sz="1050"/>
          </a:p>
        </xdr:txBody>
      </xdr:sp>
    </xdr:grp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3</xdr:row>
          <xdr:rowOff>152400</xdr:rowOff>
        </xdr:from>
        <xdr:to>
          <xdr:col>9</xdr:col>
          <xdr:colOff>133350</xdr:colOff>
          <xdr:row>4</xdr:row>
          <xdr:rowOff>228600</xdr:rowOff>
        </xdr:to>
        <xdr:sp macro="" textlink="">
          <xdr:nvSpPr>
            <xdr:cNvPr id="14497" name="Jezik" hidden="1">
              <a:extLst>
                <a:ext uri="{63B3BB69-23CF-44E3-9099-C40C66FF867C}">
                  <a14:compatExt spid="_x0000_s14497"/>
                </a:ext>
                <a:ext uri="{FF2B5EF4-FFF2-40B4-BE49-F238E27FC236}">
                  <a16:creationId xmlns:a16="http://schemas.microsoft.com/office/drawing/2014/main" id="{00000000-0008-0000-0100-0000A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absolute">
    <xdr:from>
      <xdr:col>1</xdr:col>
      <xdr:colOff>0</xdr:colOff>
      <xdr:row>0</xdr:row>
      <xdr:rowOff>47625</xdr:rowOff>
    </xdr:from>
    <xdr:to>
      <xdr:col>23</xdr:col>
      <xdr:colOff>209550</xdr:colOff>
      <xdr:row>3</xdr:row>
      <xdr:rowOff>152400</xdr:rowOff>
    </xdr:to>
    <xdr:grpSp>
      <xdr:nvGrpSpPr>
        <xdr:cNvPr id="132097" name="Okvir Navigacija">
          <a:extLst>
            <a:ext uri="{FF2B5EF4-FFF2-40B4-BE49-F238E27FC236}">
              <a16:creationId xmlns:a16="http://schemas.microsoft.com/office/drawing/2014/main" id="{00000000-0008-0000-0100-000001040200}"/>
            </a:ext>
          </a:extLst>
        </xdr:cNvPr>
        <xdr:cNvGrpSpPr>
          <a:grpSpLocks/>
        </xdr:cNvGrpSpPr>
      </xdr:nvGrpSpPr>
      <xdr:grpSpPr bwMode="auto">
        <a:xfrm>
          <a:off x="381000" y="47625"/>
          <a:ext cx="7353300" cy="590550"/>
          <a:chOff x="7343770" y="3810001"/>
          <a:chExt cx="7258050" cy="59055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4786" name="Navigacija" hidden="1">
                <a:extLst>
                  <a:ext uri="{63B3BB69-23CF-44E3-9099-C40C66FF867C}">
                    <a14:compatExt spid="_x0000_s24786"/>
                  </a:ext>
                  <a:ext uri="{FF2B5EF4-FFF2-40B4-BE49-F238E27FC236}">
                    <a16:creationId xmlns:a16="http://schemas.microsoft.com/office/drawing/2014/main" id="{00000000-0008-0000-0100-0000D2600000}"/>
                  </a:ext>
                </a:extLst>
              </xdr:cNvPr>
              <xdr:cNvSpPr/>
            </xdr:nvSpPr>
            <xdr:spPr bwMode="auto">
              <a:xfrm>
                <a:off x="7343770" y="3810001"/>
                <a:ext cx="7258050" cy="59055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Navigacija</a:t>
                </a:r>
              </a:p>
            </xdr:txBody>
          </xdr:sp>
        </mc:Choice>
        <mc:Fallback/>
      </mc:AlternateContent>
      <xdr:sp macro="" textlink="Linkovi_Link_BS">
        <xdr:nvSpPr>
          <xdr:cNvPr id="88" name="Link BS">
            <a:hlinkClick xmlns:r="http://schemas.openxmlformats.org/officeDocument/2006/relationships" r:id="rId1" tooltip="01"/>
            <a:extLst>
              <a:ext uri="{FF2B5EF4-FFF2-40B4-BE49-F238E27FC236}">
                <a16:creationId xmlns:a16="http://schemas.microsoft.com/office/drawing/2014/main" id="{00000000-0008-0000-0100-000058000000}"/>
              </a:ext>
            </a:extLst>
          </xdr:cNvPr>
          <xdr:cNvSpPr txBox="1"/>
        </xdr:nvSpPr>
        <xdr:spPr bwMode="auto">
          <a:xfrm>
            <a:off x="10230072" y="3914776"/>
            <a:ext cx="1043580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68849A43-8610-4671-827E-CC9BC53D1E38}" type="TxLink">
              <a:rPr lang="en-US" sz="1050"/>
              <a:pPr algn="l"/>
              <a:t>01) Bilans stanja</a:t>
            </a:fld>
            <a:endParaRPr lang="en-US" sz="1050"/>
          </a:p>
        </xdr:txBody>
      </xdr:sp>
      <xdr:sp macro="" textlink="Linkovi_Link_BU">
        <xdr:nvSpPr>
          <xdr:cNvPr id="89" name="Link BU">
            <a:hlinkClick xmlns:r="http://schemas.openxmlformats.org/officeDocument/2006/relationships" r:id="rId2" tooltip="02a"/>
            <a:extLst>
              <a:ext uri="{FF2B5EF4-FFF2-40B4-BE49-F238E27FC236}">
                <a16:creationId xmlns:a16="http://schemas.microsoft.com/office/drawing/2014/main" id="{00000000-0008-0000-0100-000059000000}"/>
              </a:ext>
            </a:extLst>
          </xdr:cNvPr>
          <xdr:cNvSpPr txBox="1"/>
        </xdr:nvSpPr>
        <xdr:spPr bwMode="auto">
          <a:xfrm>
            <a:off x="11339463" y="3914776"/>
            <a:ext cx="1316227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62BF5BE6-695B-487E-ACF0-2A754A56E9CD}" type="TxLink">
              <a:rPr lang="en-US" sz="1050"/>
              <a:pPr algn="l"/>
              <a:t>02a) Bilans uspjeha</a:t>
            </a:fld>
            <a:endParaRPr lang="en-US" sz="1050"/>
          </a:p>
        </xdr:txBody>
      </xdr:sp>
      <xdr:sp macro="" textlink="Linkovi_Link_ODGP">
        <xdr:nvSpPr>
          <xdr:cNvPr id="90" name="Link ODGP">
            <a:hlinkClick xmlns:r="http://schemas.openxmlformats.org/officeDocument/2006/relationships" r:id="rId3" tooltip="02b"/>
            <a:extLst>
              <a:ext uri="{FF2B5EF4-FFF2-40B4-BE49-F238E27FC236}">
                <a16:creationId xmlns:a16="http://schemas.microsoft.com/office/drawing/2014/main" id="{00000000-0008-0000-0100-00005A000000}"/>
              </a:ext>
            </a:extLst>
          </xdr:cNvPr>
          <xdr:cNvSpPr txBox="1"/>
        </xdr:nvSpPr>
        <xdr:spPr bwMode="auto">
          <a:xfrm>
            <a:off x="10436908" y="4143376"/>
            <a:ext cx="3384583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8BFE3C0E-8725-4CF4-8BC6-D522D8CE98BA}" type="TxLink">
              <a:rPr lang="en-US" sz="1050"/>
              <a:pPr algn="l"/>
              <a:t>02b) Izvještaj o ostalim dobicima i gubicima u periodu</a:t>
            </a:fld>
            <a:endParaRPr lang="en-US" sz="1050"/>
          </a:p>
        </xdr:txBody>
      </xdr:sp>
      <xdr:sp macro="" textlink="Linkovi_Link_BTG">
        <xdr:nvSpPr>
          <xdr:cNvPr id="91" name="Link BTG">
            <a:hlinkClick xmlns:r="http://schemas.openxmlformats.org/officeDocument/2006/relationships" r:id="rId4" tooltip="03"/>
            <a:extLst>
              <a:ext uri="{FF2B5EF4-FFF2-40B4-BE49-F238E27FC236}">
                <a16:creationId xmlns:a16="http://schemas.microsoft.com/office/drawing/2014/main" id="{00000000-0008-0000-0100-00005B000000}"/>
              </a:ext>
            </a:extLst>
          </xdr:cNvPr>
          <xdr:cNvSpPr txBox="1"/>
        </xdr:nvSpPr>
        <xdr:spPr bwMode="auto">
          <a:xfrm>
            <a:off x="12721501" y="3914776"/>
            <a:ext cx="1617078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D72CEA70-1EE3-4C86-B787-B9C9A17D4E44}" type="TxLink">
              <a:rPr lang="en-US" sz="1050"/>
              <a:pPr algn="l"/>
              <a:t>03) Bilans tokova gotovine</a:t>
            </a:fld>
            <a:endParaRPr lang="en-US" sz="1050"/>
          </a:p>
        </xdr:txBody>
      </xdr:sp>
      <xdr:sp macro="" textlink="Linkovi_Link_Aneks">
        <xdr:nvSpPr>
          <xdr:cNvPr id="92" name="Link Aneks">
            <a:hlinkClick xmlns:r="http://schemas.openxmlformats.org/officeDocument/2006/relationships" r:id="rId5" tooltip="04"/>
            <a:extLst>
              <a:ext uri="{FF2B5EF4-FFF2-40B4-BE49-F238E27FC236}">
                <a16:creationId xmlns:a16="http://schemas.microsoft.com/office/drawing/2014/main" id="{00000000-0008-0000-0100-00005C000000}"/>
              </a:ext>
            </a:extLst>
          </xdr:cNvPr>
          <xdr:cNvSpPr txBox="1"/>
        </xdr:nvSpPr>
        <xdr:spPr bwMode="auto">
          <a:xfrm>
            <a:off x="7428390" y="4143376"/>
            <a:ext cx="629908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392D7FA8-9975-45C1-AAC8-B3998350E841}" type="TxLink">
              <a:rPr lang="en-US" sz="1050"/>
              <a:pPr algn="l"/>
              <a:t>04) Aneks</a:t>
            </a:fld>
            <a:endParaRPr lang="en-US" sz="1050"/>
          </a:p>
        </xdr:txBody>
      </xdr:sp>
      <xdr:sp macro="" textlink="Linkovi_Link_BPK">
        <xdr:nvSpPr>
          <xdr:cNvPr id="93" name="Link BPK">
            <a:hlinkClick xmlns:r="http://schemas.openxmlformats.org/officeDocument/2006/relationships" r:id="rId6" tooltip="05"/>
            <a:extLst>
              <a:ext uri="{FF2B5EF4-FFF2-40B4-BE49-F238E27FC236}">
                <a16:creationId xmlns:a16="http://schemas.microsoft.com/office/drawing/2014/main" id="{00000000-0008-0000-0100-00005D000000}"/>
              </a:ext>
            </a:extLst>
          </xdr:cNvPr>
          <xdr:cNvSpPr txBox="1"/>
        </xdr:nvSpPr>
        <xdr:spPr bwMode="auto">
          <a:xfrm>
            <a:off x="8142913" y="4143376"/>
            <a:ext cx="2209381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EDEFFE08-6F30-4F16-9B35-9EF78942F8C2}" type="TxLink">
              <a:rPr lang="en-US" sz="1050"/>
              <a:pPr algn="l"/>
              <a:t>05) Izvještaj o promjenama u kapitalu</a:t>
            </a:fld>
            <a:endParaRPr lang="en-US" sz="1050"/>
          </a:p>
        </xdr:txBody>
      </xdr:sp>
      <xdr:sp macro="" textlink="Linkovi_Link_Osnovni_podaci">
        <xdr:nvSpPr>
          <xdr:cNvPr id="94" name="Link Osnovni podaci">
            <a:hlinkClick xmlns:r="http://schemas.openxmlformats.org/officeDocument/2006/relationships" r:id="rId7" tooltip="Osnovni podaci"/>
            <a:extLst>
              <a:ext uri="{FF2B5EF4-FFF2-40B4-BE49-F238E27FC236}">
                <a16:creationId xmlns:a16="http://schemas.microsoft.com/office/drawing/2014/main" id="{00000000-0008-0000-0100-00005E000000}"/>
              </a:ext>
            </a:extLst>
          </xdr:cNvPr>
          <xdr:cNvSpPr txBox="1"/>
        </xdr:nvSpPr>
        <xdr:spPr bwMode="auto">
          <a:xfrm>
            <a:off x="9045468" y="3914776"/>
            <a:ext cx="1118793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EDBF013A-84C7-4090-A946-4BB6BE7F8754}" type="TxLink">
              <a:rPr lang="en-US" sz="1050"/>
              <a:pPr algn="l"/>
              <a:t>Osnovni podaci</a:t>
            </a:fld>
            <a:endParaRPr lang="en-US" sz="1050"/>
          </a:p>
        </xdr:txBody>
      </xdr:sp>
      <xdr:sp macro="" textlink="Linkovi_Link_Uputstvo">
        <xdr:nvSpPr>
          <xdr:cNvPr id="95" name="Link Uputstvo">
            <a:hlinkClick xmlns:r="http://schemas.openxmlformats.org/officeDocument/2006/relationships" r:id="rId8" tooltip="Uputstvo za popunjavanje"/>
            <a:extLst>
              <a:ext uri="{FF2B5EF4-FFF2-40B4-BE49-F238E27FC236}">
                <a16:creationId xmlns:a16="http://schemas.microsoft.com/office/drawing/2014/main" id="{00000000-0008-0000-0100-00005F000000}"/>
              </a:ext>
            </a:extLst>
          </xdr:cNvPr>
          <xdr:cNvSpPr txBox="1"/>
        </xdr:nvSpPr>
        <xdr:spPr bwMode="auto">
          <a:xfrm>
            <a:off x="7428390" y="3914776"/>
            <a:ext cx="1551267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418E1E52-8EC9-4356-9832-B7D7623A8EB2}" type="TxLink">
              <a:rPr lang="en-US" sz="1050"/>
              <a:pPr algn="l"/>
              <a:t>Uputstvo za popunjavanje</a:t>
            </a:fld>
            <a:endParaRPr lang="en-US" sz="1050"/>
          </a:p>
        </xdr:txBody>
      </xdr:sp>
    </xdr:grp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75</xdr:row>
          <xdr:rowOff>0</xdr:rowOff>
        </xdr:from>
        <xdr:to>
          <xdr:col>4</xdr:col>
          <xdr:colOff>171450</xdr:colOff>
          <xdr:row>76</xdr:row>
          <xdr:rowOff>47625</xdr:rowOff>
        </xdr:to>
        <xdr:sp macro="" textlink="">
          <xdr:nvSpPr>
            <xdr:cNvPr id="53459" name="Check Box 9427" hidden="1">
              <a:extLst>
                <a:ext uri="{63B3BB69-23CF-44E3-9099-C40C66FF867C}">
                  <a14:compatExt spid="_x0000_s53459"/>
                </a:ext>
                <a:ext uri="{FF2B5EF4-FFF2-40B4-BE49-F238E27FC236}">
                  <a16:creationId xmlns:a16="http://schemas.microsoft.com/office/drawing/2014/main" id="{00000000-0008-0000-0100-0000D3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61</xdr:row>
          <xdr:rowOff>0</xdr:rowOff>
        </xdr:from>
        <xdr:to>
          <xdr:col>4</xdr:col>
          <xdr:colOff>171450</xdr:colOff>
          <xdr:row>62</xdr:row>
          <xdr:rowOff>47625</xdr:rowOff>
        </xdr:to>
        <xdr:sp macro="" textlink="">
          <xdr:nvSpPr>
            <xdr:cNvPr id="61709" name="Check Box 10509" hidden="1">
              <a:extLst>
                <a:ext uri="{63B3BB69-23CF-44E3-9099-C40C66FF867C}">
                  <a14:compatExt spid="_x0000_s61709"/>
                </a:ext>
                <a:ext uri="{FF2B5EF4-FFF2-40B4-BE49-F238E27FC236}">
                  <a16:creationId xmlns:a16="http://schemas.microsoft.com/office/drawing/2014/main" id="{00000000-0008-0000-0100-00000DF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62</xdr:row>
          <xdr:rowOff>47625</xdr:rowOff>
        </xdr:from>
        <xdr:to>
          <xdr:col>11</xdr:col>
          <xdr:colOff>104775</xdr:colOff>
          <xdr:row>64</xdr:row>
          <xdr:rowOff>19050</xdr:rowOff>
        </xdr:to>
        <xdr:sp macro="" textlink="">
          <xdr:nvSpPr>
            <xdr:cNvPr id="72960" name="Drop Down 11520" hidden="1">
              <a:extLst>
                <a:ext uri="{63B3BB69-23CF-44E3-9099-C40C66FF867C}">
                  <a14:compatExt spid="_x0000_s72960"/>
                </a:ext>
                <a:ext uri="{FF2B5EF4-FFF2-40B4-BE49-F238E27FC236}">
                  <a16:creationId xmlns:a16="http://schemas.microsoft.com/office/drawing/2014/main" id="{00000000-0008-0000-0100-0000001D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47625</xdr:rowOff>
    </xdr:from>
    <xdr:to>
      <xdr:col>7</xdr:col>
      <xdr:colOff>1095375</xdr:colOff>
      <xdr:row>3</xdr:row>
      <xdr:rowOff>152400</xdr:rowOff>
    </xdr:to>
    <xdr:grpSp>
      <xdr:nvGrpSpPr>
        <xdr:cNvPr id="130060" name="Okvir Navigacija">
          <a:extLst>
            <a:ext uri="{FF2B5EF4-FFF2-40B4-BE49-F238E27FC236}">
              <a16:creationId xmlns:a16="http://schemas.microsoft.com/office/drawing/2014/main" id="{00000000-0008-0000-0200-00000CFC0100}"/>
            </a:ext>
          </a:extLst>
        </xdr:cNvPr>
        <xdr:cNvGrpSpPr>
          <a:grpSpLocks/>
        </xdr:cNvGrpSpPr>
      </xdr:nvGrpSpPr>
      <xdr:grpSpPr bwMode="auto">
        <a:xfrm>
          <a:off x="381000" y="47625"/>
          <a:ext cx="7353300" cy="590550"/>
          <a:chOff x="7343770" y="3810005"/>
          <a:chExt cx="7258050" cy="59055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7308" name="Navigacija" hidden="1">
                <a:extLst>
                  <a:ext uri="{63B3BB69-23CF-44E3-9099-C40C66FF867C}">
                    <a14:compatExt spid="_x0000_s27308"/>
                  </a:ext>
                  <a:ext uri="{FF2B5EF4-FFF2-40B4-BE49-F238E27FC236}">
                    <a16:creationId xmlns:a16="http://schemas.microsoft.com/office/drawing/2014/main" id="{00000000-0008-0000-0200-0000AC6A0000}"/>
                  </a:ext>
                </a:extLst>
              </xdr:cNvPr>
              <xdr:cNvSpPr/>
            </xdr:nvSpPr>
            <xdr:spPr bwMode="auto">
              <a:xfrm>
                <a:off x="7343770" y="3810005"/>
                <a:ext cx="7258050" cy="59055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Navigacija</a:t>
                </a:r>
              </a:p>
            </xdr:txBody>
          </xdr:sp>
        </mc:Choice>
        <mc:Fallback/>
      </mc:AlternateContent>
      <xdr:sp macro="" textlink="Linkovi_Link_BS">
        <xdr:nvSpPr>
          <xdr:cNvPr id="14" name="Link BS">
            <a:hlinkClick xmlns:r="http://schemas.openxmlformats.org/officeDocument/2006/relationships" r:id="rId1" tooltip="01"/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SpPr txBox="1"/>
        </xdr:nvSpPr>
        <xdr:spPr bwMode="auto">
          <a:xfrm>
            <a:off x="10230072" y="3914776"/>
            <a:ext cx="1043580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92FB3455-F798-437E-97D5-0BFF2EDE2A07}" type="TxLink">
              <a:rPr lang="en-US" sz="1050"/>
              <a:pPr algn="l"/>
              <a:t>01) Bilans stanja</a:t>
            </a:fld>
            <a:endParaRPr lang="en-US" sz="1050"/>
          </a:p>
        </xdr:txBody>
      </xdr:sp>
      <xdr:sp macro="" textlink="Linkovi_Link_BU">
        <xdr:nvSpPr>
          <xdr:cNvPr id="15" name="Link BU">
            <a:hlinkClick xmlns:r="http://schemas.openxmlformats.org/officeDocument/2006/relationships" r:id="rId2" tooltip="02a"/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 txBox="1"/>
        </xdr:nvSpPr>
        <xdr:spPr bwMode="auto">
          <a:xfrm>
            <a:off x="11339463" y="3914776"/>
            <a:ext cx="1316227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FA87C41F-45E7-4745-B445-47FBF06FB7DC}" type="TxLink">
              <a:rPr lang="en-US" sz="1050"/>
              <a:pPr algn="l"/>
              <a:t>02a) Bilans uspjeha</a:t>
            </a:fld>
            <a:endParaRPr lang="en-US" sz="1050"/>
          </a:p>
        </xdr:txBody>
      </xdr:sp>
      <xdr:sp macro="" textlink="Linkovi_Link_ODGP">
        <xdr:nvSpPr>
          <xdr:cNvPr id="16" name="Link ODGP">
            <a:hlinkClick xmlns:r="http://schemas.openxmlformats.org/officeDocument/2006/relationships" r:id="rId3" tooltip="02b"/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 txBox="1"/>
        </xdr:nvSpPr>
        <xdr:spPr bwMode="auto">
          <a:xfrm>
            <a:off x="10436908" y="4143376"/>
            <a:ext cx="3384583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59E49E98-C350-4FBD-9D6B-8EFBD8B18190}" type="TxLink">
              <a:rPr lang="en-US" sz="1050"/>
              <a:pPr algn="l"/>
              <a:t>02b) Izvještaj o ostalim dobicima i gubicima u periodu</a:t>
            </a:fld>
            <a:endParaRPr lang="en-US" sz="1050"/>
          </a:p>
        </xdr:txBody>
      </xdr:sp>
      <xdr:sp macro="" textlink="Linkovi_Link_BTG">
        <xdr:nvSpPr>
          <xdr:cNvPr id="17" name="Link BTG">
            <a:hlinkClick xmlns:r="http://schemas.openxmlformats.org/officeDocument/2006/relationships" r:id="rId4" tooltip="03"/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SpPr txBox="1"/>
        </xdr:nvSpPr>
        <xdr:spPr bwMode="auto">
          <a:xfrm>
            <a:off x="12721501" y="3914776"/>
            <a:ext cx="1617078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FB72085D-BDE9-468A-8B87-DA950087BCBE}" type="TxLink">
              <a:rPr lang="en-US" sz="1050"/>
              <a:pPr algn="l"/>
              <a:t>03) Bilans tokova gotovine</a:t>
            </a:fld>
            <a:endParaRPr lang="en-US" sz="1050"/>
          </a:p>
        </xdr:txBody>
      </xdr:sp>
      <xdr:sp macro="" textlink="Linkovi_Link_Aneks">
        <xdr:nvSpPr>
          <xdr:cNvPr id="18" name="Link Aneks">
            <a:hlinkClick xmlns:r="http://schemas.openxmlformats.org/officeDocument/2006/relationships" r:id="rId5" tooltip="04"/>
            <a:extLst>
              <a:ext uri="{FF2B5EF4-FFF2-40B4-BE49-F238E27FC236}">
                <a16:creationId xmlns:a16="http://schemas.microsoft.com/office/drawing/2014/main" id="{00000000-0008-0000-0200-000012000000}"/>
              </a:ext>
            </a:extLst>
          </xdr:cNvPr>
          <xdr:cNvSpPr txBox="1"/>
        </xdr:nvSpPr>
        <xdr:spPr bwMode="auto">
          <a:xfrm>
            <a:off x="7428390" y="4143376"/>
            <a:ext cx="629908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819C7CE8-97E0-4FBA-98E5-87286F037C1E}" type="TxLink">
              <a:rPr lang="en-US" sz="1050"/>
              <a:pPr algn="l"/>
              <a:t>04) Aneks</a:t>
            </a:fld>
            <a:endParaRPr lang="en-US" sz="1050"/>
          </a:p>
        </xdr:txBody>
      </xdr:sp>
      <xdr:sp macro="" textlink="Linkovi_Link_BPK">
        <xdr:nvSpPr>
          <xdr:cNvPr id="19" name="Link BPK">
            <a:hlinkClick xmlns:r="http://schemas.openxmlformats.org/officeDocument/2006/relationships" r:id="rId6" tooltip="05"/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SpPr txBox="1"/>
        </xdr:nvSpPr>
        <xdr:spPr bwMode="auto">
          <a:xfrm>
            <a:off x="8142913" y="4143376"/>
            <a:ext cx="2209381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4E24EEAC-FA60-4C6D-80FF-ED2EFC51EA4C}" type="TxLink">
              <a:rPr lang="en-US" sz="1050"/>
              <a:pPr algn="l"/>
              <a:t>05) Izvještaj o promjenama u kapitalu</a:t>
            </a:fld>
            <a:endParaRPr lang="en-US" sz="1050"/>
          </a:p>
        </xdr:txBody>
      </xdr:sp>
      <xdr:sp macro="" textlink="Linkovi_Link_Osnovni_podaci">
        <xdr:nvSpPr>
          <xdr:cNvPr id="20" name="Link Osnovni podaci">
            <a:hlinkClick xmlns:r="http://schemas.openxmlformats.org/officeDocument/2006/relationships" r:id="rId7" tooltip="Osnovni podaci"/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SpPr txBox="1"/>
        </xdr:nvSpPr>
        <xdr:spPr bwMode="auto">
          <a:xfrm>
            <a:off x="9045468" y="3914776"/>
            <a:ext cx="1118793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0AC34A22-7D91-4067-9BEB-213349254700}" type="TxLink">
              <a:rPr lang="en-US" sz="1050"/>
              <a:pPr algn="l"/>
              <a:t>Osnovni podaci</a:t>
            </a:fld>
            <a:endParaRPr lang="en-US" sz="1050"/>
          </a:p>
        </xdr:txBody>
      </xdr:sp>
      <xdr:sp macro="" textlink="Linkovi_Link_Uputstvo">
        <xdr:nvSpPr>
          <xdr:cNvPr id="21" name="Link Uputstvo">
            <a:hlinkClick xmlns:r="http://schemas.openxmlformats.org/officeDocument/2006/relationships" r:id="rId8" tooltip="Uputstvo za popunjavanje"/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SpPr txBox="1"/>
        </xdr:nvSpPr>
        <xdr:spPr bwMode="auto">
          <a:xfrm>
            <a:off x="7428390" y="3914776"/>
            <a:ext cx="1551267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8C496F20-AF85-47B8-9B1C-9F9839828A2E}" type="TxLink">
              <a:rPr lang="en-US" sz="1050"/>
              <a:pPr algn="l"/>
              <a:t>Uputstvo za popunjavanje</a:t>
            </a:fld>
            <a:endParaRPr lang="en-US" sz="1050"/>
          </a:p>
        </xdr:txBody>
      </xdr:sp>
    </xdr:grp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47625</xdr:rowOff>
    </xdr:from>
    <xdr:to>
      <xdr:col>7</xdr:col>
      <xdr:colOff>1095375</xdr:colOff>
      <xdr:row>3</xdr:row>
      <xdr:rowOff>152400</xdr:rowOff>
    </xdr:to>
    <xdr:grpSp>
      <xdr:nvGrpSpPr>
        <xdr:cNvPr id="131083" name="Okvir Navigacija">
          <a:extLst>
            <a:ext uri="{FF2B5EF4-FFF2-40B4-BE49-F238E27FC236}">
              <a16:creationId xmlns:a16="http://schemas.microsoft.com/office/drawing/2014/main" id="{00000000-0008-0000-0300-00000B000200}"/>
            </a:ext>
          </a:extLst>
        </xdr:cNvPr>
        <xdr:cNvGrpSpPr>
          <a:grpSpLocks/>
        </xdr:cNvGrpSpPr>
      </xdr:nvGrpSpPr>
      <xdr:grpSpPr bwMode="auto">
        <a:xfrm>
          <a:off x="381000" y="47625"/>
          <a:ext cx="7353300" cy="590550"/>
          <a:chOff x="7343770" y="3809940"/>
          <a:chExt cx="7258050" cy="590549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9043" name="Navigacija" hidden="1">
                <a:extLst>
                  <a:ext uri="{63B3BB69-23CF-44E3-9099-C40C66FF867C}">
                    <a14:compatExt spid="_x0000_s29043"/>
                  </a:ext>
                  <a:ext uri="{FF2B5EF4-FFF2-40B4-BE49-F238E27FC236}">
                    <a16:creationId xmlns:a16="http://schemas.microsoft.com/office/drawing/2014/main" id="{00000000-0008-0000-0300-000073710000}"/>
                  </a:ext>
                </a:extLst>
              </xdr:cNvPr>
              <xdr:cNvSpPr/>
            </xdr:nvSpPr>
            <xdr:spPr bwMode="auto">
              <a:xfrm>
                <a:off x="7343770" y="3809940"/>
                <a:ext cx="7258050" cy="590549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Navigacija</a:t>
                </a:r>
              </a:p>
            </xdr:txBody>
          </xdr:sp>
        </mc:Choice>
        <mc:Fallback/>
      </mc:AlternateContent>
      <xdr:sp macro="" textlink="Linkovi_Link_BS">
        <xdr:nvSpPr>
          <xdr:cNvPr id="14" name="Link BS">
            <a:hlinkClick xmlns:r="http://schemas.openxmlformats.org/officeDocument/2006/relationships" r:id="rId1" tooltip="01"/>
            <a:extLst>
              <a:ext uri="{FF2B5EF4-FFF2-40B4-BE49-F238E27FC236}">
                <a16:creationId xmlns:a16="http://schemas.microsoft.com/office/drawing/2014/main" id="{00000000-0008-0000-0300-00000E000000}"/>
              </a:ext>
            </a:extLst>
          </xdr:cNvPr>
          <xdr:cNvSpPr txBox="1"/>
        </xdr:nvSpPr>
        <xdr:spPr bwMode="auto">
          <a:xfrm>
            <a:off x="10230072" y="3914776"/>
            <a:ext cx="1043580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7CEDE7C0-F8D7-4855-A9D9-4EB10B8D0C23}" type="TxLink">
              <a:rPr lang="en-US" sz="1050"/>
              <a:pPr algn="l"/>
              <a:t>01) Bilans stanja</a:t>
            </a:fld>
            <a:endParaRPr lang="en-US" sz="1050"/>
          </a:p>
        </xdr:txBody>
      </xdr:sp>
      <xdr:sp macro="" textlink="Linkovi_Link_BU">
        <xdr:nvSpPr>
          <xdr:cNvPr id="15" name="Link BU">
            <a:hlinkClick xmlns:r="http://schemas.openxmlformats.org/officeDocument/2006/relationships" r:id="rId2" tooltip="02a"/>
            <a:extLst>
              <a:ext uri="{FF2B5EF4-FFF2-40B4-BE49-F238E27FC236}">
                <a16:creationId xmlns:a16="http://schemas.microsoft.com/office/drawing/2014/main" id="{00000000-0008-0000-0300-00000F000000}"/>
              </a:ext>
            </a:extLst>
          </xdr:cNvPr>
          <xdr:cNvSpPr txBox="1"/>
        </xdr:nvSpPr>
        <xdr:spPr bwMode="auto">
          <a:xfrm>
            <a:off x="11339463" y="3914776"/>
            <a:ext cx="1316227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1CC293CB-6E54-490F-B541-8AF067849B92}" type="TxLink">
              <a:rPr lang="en-US" sz="1050"/>
              <a:pPr algn="l"/>
              <a:t>02a) Bilans uspjeha</a:t>
            </a:fld>
            <a:endParaRPr lang="en-US" sz="1050"/>
          </a:p>
        </xdr:txBody>
      </xdr:sp>
      <xdr:sp macro="" textlink="Linkovi_Link_ODGP">
        <xdr:nvSpPr>
          <xdr:cNvPr id="16" name="Link ODGP">
            <a:hlinkClick xmlns:r="http://schemas.openxmlformats.org/officeDocument/2006/relationships" r:id="rId3" tooltip="02b"/>
            <a:extLst>
              <a:ext uri="{FF2B5EF4-FFF2-40B4-BE49-F238E27FC236}">
                <a16:creationId xmlns:a16="http://schemas.microsoft.com/office/drawing/2014/main" id="{00000000-0008-0000-0300-000010000000}"/>
              </a:ext>
            </a:extLst>
          </xdr:cNvPr>
          <xdr:cNvSpPr txBox="1"/>
        </xdr:nvSpPr>
        <xdr:spPr bwMode="auto">
          <a:xfrm>
            <a:off x="10436908" y="4143376"/>
            <a:ext cx="3384583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785A32FD-E0F1-4EC0-B397-0CAA091CDE89}" type="TxLink">
              <a:rPr lang="en-US" sz="1050"/>
              <a:pPr algn="l"/>
              <a:t>02b) Izvještaj o ostalim dobicima i gubicima u periodu</a:t>
            </a:fld>
            <a:endParaRPr lang="en-US" sz="1050"/>
          </a:p>
        </xdr:txBody>
      </xdr:sp>
      <xdr:sp macro="" textlink="Linkovi_Link_BTG">
        <xdr:nvSpPr>
          <xdr:cNvPr id="17" name="Link BTG">
            <a:hlinkClick xmlns:r="http://schemas.openxmlformats.org/officeDocument/2006/relationships" r:id="rId4" tooltip="03"/>
            <a:extLst>
              <a:ext uri="{FF2B5EF4-FFF2-40B4-BE49-F238E27FC236}">
                <a16:creationId xmlns:a16="http://schemas.microsoft.com/office/drawing/2014/main" id="{00000000-0008-0000-0300-000011000000}"/>
              </a:ext>
            </a:extLst>
          </xdr:cNvPr>
          <xdr:cNvSpPr txBox="1"/>
        </xdr:nvSpPr>
        <xdr:spPr bwMode="auto">
          <a:xfrm>
            <a:off x="12721501" y="3914776"/>
            <a:ext cx="1617078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44068905-1BE0-4DEA-8A7C-B857F2613373}" type="TxLink">
              <a:rPr lang="en-US" sz="1050"/>
              <a:pPr algn="l"/>
              <a:t>03) Bilans tokova gotovine</a:t>
            </a:fld>
            <a:endParaRPr lang="en-US" sz="1050"/>
          </a:p>
        </xdr:txBody>
      </xdr:sp>
      <xdr:sp macro="" textlink="Linkovi_Link_Aneks">
        <xdr:nvSpPr>
          <xdr:cNvPr id="18" name="Link Aneks">
            <a:hlinkClick xmlns:r="http://schemas.openxmlformats.org/officeDocument/2006/relationships" r:id="rId5" tooltip="04"/>
            <a:extLst>
              <a:ext uri="{FF2B5EF4-FFF2-40B4-BE49-F238E27FC236}">
                <a16:creationId xmlns:a16="http://schemas.microsoft.com/office/drawing/2014/main" id="{00000000-0008-0000-0300-000012000000}"/>
              </a:ext>
            </a:extLst>
          </xdr:cNvPr>
          <xdr:cNvSpPr txBox="1"/>
        </xdr:nvSpPr>
        <xdr:spPr bwMode="auto">
          <a:xfrm>
            <a:off x="7428390" y="4143376"/>
            <a:ext cx="629908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4BFAAF6D-8F4A-4784-9327-C667EF41B421}" type="TxLink">
              <a:rPr lang="en-US" sz="1050"/>
              <a:pPr algn="l"/>
              <a:t>04) Aneks</a:t>
            </a:fld>
            <a:endParaRPr lang="en-US" sz="1050"/>
          </a:p>
        </xdr:txBody>
      </xdr:sp>
      <xdr:sp macro="" textlink="Linkovi_Link_BPK">
        <xdr:nvSpPr>
          <xdr:cNvPr id="19" name="Link BPK">
            <a:hlinkClick xmlns:r="http://schemas.openxmlformats.org/officeDocument/2006/relationships" r:id="rId6" tooltip="05"/>
            <a:extLst>
              <a:ext uri="{FF2B5EF4-FFF2-40B4-BE49-F238E27FC236}">
                <a16:creationId xmlns:a16="http://schemas.microsoft.com/office/drawing/2014/main" id="{00000000-0008-0000-0300-000013000000}"/>
              </a:ext>
            </a:extLst>
          </xdr:cNvPr>
          <xdr:cNvSpPr txBox="1"/>
        </xdr:nvSpPr>
        <xdr:spPr bwMode="auto">
          <a:xfrm>
            <a:off x="8142913" y="4143376"/>
            <a:ext cx="2209381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B3814CDB-6AAB-433C-B7F3-E85AD7CB199C}" type="TxLink">
              <a:rPr lang="en-US" sz="1050"/>
              <a:pPr algn="l"/>
              <a:t>05) Izvještaj o promjenama u kapitalu</a:t>
            </a:fld>
            <a:endParaRPr lang="en-US" sz="1050"/>
          </a:p>
        </xdr:txBody>
      </xdr:sp>
      <xdr:sp macro="" textlink="Linkovi_Link_Osnovni_podaci">
        <xdr:nvSpPr>
          <xdr:cNvPr id="20" name="Link Osnovni podaci">
            <a:hlinkClick xmlns:r="http://schemas.openxmlformats.org/officeDocument/2006/relationships" r:id="rId7" tooltip="Osnovni podaci"/>
            <a:extLst>
              <a:ext uri="{FF2B5EF4-FFF2-40B4-BE49-F238E27FC236}">
                <a16:creationId xmlns:a16="http://schemas.microsoft.com/office/drawing/2014/main" id="{00000000-0008-0000-0300-000014000000}"/>
              </a:ext>
            </a:extLst>
          </xdr:cNvPr>
          <xdr:cNvSpPr txBox="1"/>
        </xdr:nvSpPr>
        <xdr:spPr bwMode="auto">
          <a:xfrm>
            <a:off x="9045468" y="3914776"/>
            <a:ext cx="1118793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FBACC22A-83F6-46D8-A644-F7CBDAE25334}" type="TxLink">
              <a:rPr lang="en-US" sz="1050"/>
              <a:pPr algn="l"/>
              <a:t>Osnovni podaci</a:t>
            </a:fld>
            <a:endParaRPr lang="en-US" sz="1050"/>
          </a:p>
        </xdr:txBody>
      </xdr:sp>
      <xdr:sp macro="" textlink="Linkovi_Link_Uputstvo">
        <xdr:nvSpPr>
          <xdr:cNvPr id="21" name="Link Uputstvo">
            <a:hlinkClick xmlns:r="http://schemas.openxmlformats.org/officeDocument/2006/relationships" r:id="rId8" tooltip="Uputstvo za popunjavanje"/>
            <a:extLst>
              <a:ext uri="{FF2B5EF4-FFF2-40B4-BE49-F238E27FC236}">
                <a16:creationId xmlns:a16="http://schemas.microsoft.com/office/drawing/2014/main" id="{00000000-0008-0000-0300-000015000000}"/>
              </a:ext>
            </a:extLst>
          </xdr:cNvPr>
          <xdr:cNvSpPr txBox="1"/>
        </xdr:nvSpPr>
        <xdr:spPr bwMode="auto">
          <a:xfrm>
            <a:off x="7428390" y="3914776"/>
            <a:ext cx="1551267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003681A3-CA01-41FE-B2C6-5CD7D73C8CE5}" type="TxLink">
              <a:rPr lang="en-US" sz="1050"/>
              <a:pPr algn="l"/>
              <a:t>Uputstvo za popunjavanje</a:t>
            </a:fld>
            <a:endParaRPr lang="en-US" sz="1050"/>
          </a:p>
        </xdr:txBody>
      </xdr:sp>
    </xdr:grp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47625</xdr:rowOff>
    </xdr:from>
    <xdr:to>
      <xdr:col>7</xdr:col>
      <xdr:colOff>1095375</xdr:colOff>
      <xdr:row>3</xdr:row>
      <xdr:rowOff>152400</xdr:rowOff>
    </xdr:to>
    <xdr:grpSp>
      <xdr:nvGrpSpPr>
        <xdr:cNvPr id="125950" name="Okvir Navigacija">
          <a:extLst>
            <a:ext uri="{FF2B5EF4-FFF2-40B4-BE49-F238E27FC236}">
              <a16:creationId xmlns:a16="http://schemas.microsoft.com/office/drawing/2014/main" id="{00000000-0008-0000-0400-0000FEEB0100}"/>
            </a:ext>
          </a:extLst>
        </xdr:cNvPr>
        <xdr:cNvGrpSpPr>
          <a:grpSpLocks/>
        </xdr:cNvGrpSpPr>
      </xdr:nvGrpSpPr>
      <xdr:grpSpPr bwMode="auto">
        <a:xfrm>
          <a:off x="381000" y="47625"/>
          <a:ext cx="7353300" cy="590550"/>
          <a:chOff x="7343770" y="3809945"/>
          <a:chExt cx="7258050" cy="590549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2773" name="Navigacija" hidden="1">
                <a:extLst>
                  <a:ext uri="{63B3BB69-23CF-44E3-9099-C40C66FF867C}">
                    <a14:compatExt spid="_x0000_s32773"/>
                  </a:ext>
                  <a:ext uri="{FF2B5EF4-FFF2-40B4-BE49-F238E27FC236}">
                    <a16:creationId xmlns:a16="http://schemas.microsoft.com/office/drawing/2014/main" id="{00000000-0008-0000-0400-000005800000}"/>
                  </a:ext>
                </a:extLst>
              </xdr:cNvPr>
              <xdr:cNvSpPr/>
            </xdr:nvSpPr>
            <xdr:spPr bwMode="auto">
              <a:xfrm>
                <a:off x="7343770" y="3809945"/>
                <a:ext cx="7258050" cy="590549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Navigacija</a:t>
                </a:r>
              </a:p>
            </xdr:txBody>
          </xdr:sp>
        </mc:Choice>
        <mc:Fallback/>
      </mc:AlternateContent>
      <xdr:sp macro="" textlink="Linkovi_Link_BS">
        <xdr:nvSpPr>
          <xdr:cNvPr id="22" name="Link BS">
            <a:hlinkClick xmlns:r="http://schemas.openxmlformats.org/officeDocument/2006/relationships" r:id="rId1" tooltip="01"/>
            <a:extLst>
              <a:ext uri="{FF2B5EF4-FFF2-40B4-BE49-F238E27FC236}">
                <a16:creationId xmlns:a16="http://schemas.microsoft.com/office/drawing/2014/main" id="{00000000-0008-0000-0400-000016000000}"/>
              </a:ext>
            </a:extLst>
          </xdr:cNvPr>
          <xdr:cNvSpPr txBox="1"/>
        </xdr:nvSpPr>
        <xdr:spPr bwMode="auto">
          <a:xfrm>
            <a:off x="10230072" y="3914776"/>
            <a:ext cx="1043580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4CBE751D-A0DE-48AA-9A68-A31B9272B65D}" type="TxLink">
              <a:rPr lang="en-US" sz="1050"/>
              <a:pPr algn="l"/>
              <a:t>01) Bilans stanja</a:t>
            </a:fld>
            <a:endParaRPr lang="en-US" sz="1050"/>
          </a:p>
        </xdr:txBody>
      </xdr:sp>
      <xdr:sp macro="" textlink="Linkovi_Link_BU">
        <xdr:nvSpPr>
          <xdr:cNvPr id="23" name="Link BU">
            <a:hlinkClick xmlns:r="http://schemas.openxmlformats.org/officeDocument/2006/relationships" r:id="rId2" tooltip="02a"/>
            <a:extLst>
              <a:ext uri="{FF2B5EF4-FFF2-40B4-BE49-F238E27FC236}">
                <a16:creationId xmlns:a16="http://schemas.microsoft.com/office/drawing/2014/main" id="{00000000-0008-0000-0400-000017000000}"/>
              </a:ext>
            </a:extLst>
          </xdr:cNvPr>
          <xdr:cNvSpPr txBox="1"/>
        </xdr:nvSpPr>
        <xdr:spPr bwMode="auto">
          <a:xfrm>
            <a:off x="11339463" y="3914776"/>
            <a:ext cx="1316227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4901C208-79A7-439D-AE12-4D11943ED7AC}" type="TxLink">
              <a:rPr lang="en-US" sz="1050"/>
              <a:pPr algn="l"/>
              <a:t>02a) Bilans uspjeha</a:t>
            </a:fld>
            <a:endParaRPr lang="en-US" sz="1050"/>
          </a:p>
        </xdr:txBody>
      </xdr:sp>
      <xdr:sp macro="" textlink="Linkovi_Link_ODGP">
        <xdr:nvSpPr>
          <xdr:cNvPr id="24" name="Link ODGP">
            <a:hlinkClick xmlns:r="http://schemas.openxmlformats.org/officeDocument/2006/relationships" r:id="rId3" tooltip="02b"/>
            <a:extLst>
              <a:ext uri="{FF2B5EF4-FFF2-40B4-BE49-F238E27FC236}">
                <a16:creationId xmlns:a16="http://schemas.microsoft.com/office/drawing/2014/main" id="{00000000-0008-0000-0400-000018000000}"/>
              </a:ext>
            </a:extLst>
          </xdr:cNvPr>
          <xdr:cNvSpPr txBox="1"/>
        </xdr:nvSpPr>
        <xdr:spPr bwMode="auto">
          <a:xfrm>
            <a:off x="10436908" y="4143376"/>
            <a:ext cx="3384583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0895C321-63FB-4748-8073-37A044C2DB83}" type="TxLink">
              <a:rPr lang="en-US" sz="1050"/>
              <a:pPr algn="l"/>
              <a:t>02b) Izvještaj o ostalim dobicima i gubicima u periodu</a:t>
            </a:fld>
            <a:endParaRPr lang="en-US" sz="1050"/>
          </a:p>
        </xdr:txBody>
      </xdr:sp>
      <xdr:sp macro="" textlink="Linkovi_Link_BTG">
        <xdr:nvSpPr>
          <xdr:cNvPr id="25" name="Link BTG">
            <a:hlinkClick xmlns:r="http://schemas.openxmlformats.org/officeDocument/2006/relationships" r:id="rId4" tooltip="03"/>
            <a:extLst>
              <a:ext uri="{FF2B5EF4-FFF2-40B4-BE49-F238E27FC236}">
                <a16:creationId xmlns:a16="http://schemas.microsoft.com/office/drawing/2014/main" id="{00000000-0008-0000-0400-000019000000}"/>
              </a:ext>
            </a:extLst>
          </xdr:cNvPr>
          <xdr:cNvSpPr txBox="1"/>
        </xdr:nvSpPr>
        <xdr:spPr bwMode="auto">
          <a:xfrm>
            <a:off x="12721501" y="3914776"/>
            <a:ext cx="1617078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F21F2080-563D-4B61-B5B2-C13602E85422}" type="TxLink">
              <a:rPr lang="en-US" sz="1050"/>
              <a:pPr algn="l"/>
              <a:t>03) Bilans tokova gotovine</a:t>
            </a:fld>
            <a:endParaRPr lang="en-US" sz="1050"/>
          </a:p>
        </xdr:txBody>
      </xdr:sp>
      <xdr:sp macro="" textlink="Linkovi_Link_Aneks">
        <xdr:nvSpPr>
          <xdr:cNvPr id="26" name="Link Aneks">
            <a:hlinkClick xmlns:r="http://schemas.openxmlformats.org/officeDocument/2006/relationships" r:id="rId5" tooltip="04"/>
            <a:extLst>
              <a:ext uri="{FF2B5EF4-FFF2-40B4-BE49-F238E27FC236}">
                <a16:creationId xmlns:a16="http://schemas.microsoft.com/office/drawing/2014/main" id="{00000000-0008-0000-0400-00001A000000}"/>
              </a:ext>
            </a:extLst>
          </xdr:cNvPr>
          <xdr:cNvSpPr txBox="1"/>
        </xdr:nvSpPr>
        <xdr:spPr bwMode="auto">
          <a:xfrm>
            <a:off x="7428390" y="4143376"/>
            <a:ext cx="629908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F144134A-4063-4EFD-9981-028AD799D638}" type="TxLink">
              <a:rPr lang="en-US" sz="1050"/>
              <a:pPr algn="l"/>
              <a:t>04) Aneks</a:t>
            </a:fld>
            <a:endParaRPr lang="en-US" sz="1050"/>
          </a:p>
        </xdr:txBody>
      </xdr:sp>
      <xdr:sp macro="" textlink="Linkovi_Link_BPK">
        <xdr:nvSpPr>
          <xdr:cNvPr id="27" name="Link BPK">
            <a:hlinkClick xmlns:r="http://schemas.openxmlformats.org/officeDocument/2006/relationships" r:id="rId6" tooltip="05"/>
            <a:extLst>
              <a:ext uri="{FF2B5EF4-FFF2-40B4-BE49-F238E27FC236}">
                <a16:creationId xmlns:a16="http://schemas.microsoft.com/office/drawing/2014/main" id="{00000000-0008-0000-0400-00001B000000}"/>
              </a:ext>
            </a:extLst>
          </xdr:cNvPr>
          <xdr:cNvSpPr txBox="1"/>
        </xdr:nvSpPr>
        <xdr:spPr bwMode="auto">
          <a:xfrm>
            <a:off x="8142913" y="4143376"/>
            <a:ext cx="2209381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97E76241-B76E-47E4-90B5-CF8477A4782D}" type="TxLink">
              <a:rPr lang="en-US" sz="1050"/>
              <a:pPr algn="l"/>
              <a:t>05) Izvještaj o promjenama u kapitalu</a:t>
            </a:fld>
            <a:endParaRPr lang="en-US" sz="1050"/>
          </a:p>
        </xdr:txBody>
      </xdr:sp>
      <xdr:sp macro="" textlink="Linkovi_Link_Osnovni_podaci">
        <xdr:nvSpPr>
          <xdr:cNvPr id="28" name="Link Osnovni podaci">
            <a:hlinkClick xmlns:r="http://schemas.openxmlformats.org/officeDocument/2006/relationships" r:id="rId7" tooltip="Osnovni podaci"/>
            <a:extLst>
              <a:ext uri="{FF2B5EF4-FFF2-40B4-BE49-F238E27FC236}">
                <a16:creationId xmlns:a16="http://schemas.microsoft.com/office/drawing/2014/main" id="{00000000-0008-0000-0400-00001C000000}"/>
              </a:ext>
            </a:extLst>
          </xdr:cNvPr>
          <xdr:cNvSpPr txBox="1"/>
        </xdr:nvSpPr>
        <xdr:spPr bwMode="auto">
          <a:xfrm>
            <a:off x="9045468" y="3914776"/>
            <a:ext cx="1118793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3F049BD6-3641-43F0-9E34-AE57958C30FA}" type="TxLink">
              <a:rPr lang="en-US" sz="1050"/>
              <a:pPr algn="l"/>
              <a:t>Osnovni podaci</a:t>
            </a:fld>
            <a:endParaRPr lang="en-US" sz="1050"/>
          </a:p>
        </xdr:txBody>
      </xdr:sp>
      <xdr:sp macro="" textlink="Linkovi_Link_Uputstvo">
        <xdr:nvSpPr>
          <xdr:cNvPr id="29" name="Link Uputstvo">
            <a:hlinkClick xmlns:r="http://schemas.openxmlformats.org/officeDocument/2006/relationships" r:id="rId8" tooltip="Uputstvo za popunjavanje"/>
            <a:extLst>
              <a:ext uri="{FF2B5EF4-FFF2-40B4-BE49-F238E27FC236}">
                <a16:creationId xmlns:a16="http://schemas.microsoft.com/office/drawing/2014/main" id="{00000000-0008-0000-0400-00001D000000}"/>
              </a:ext>
            </a:extLst>
          </xdr:cNvPr>
          <xdr:cNvSpPr txBox="1"/>
        </xdr:nvSpPr>
        <xdr:spPr bwMode="auto">
          <a:xfrm>
            <a:off x="7428390" y="3914776"/>
            <a:ext cx="1551267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E671C7E2-DD3D-44E8-A590-1F9EA4BBA5B9}" type="TxLink">
              <a:rPr lang="en-US" sz="1050"/>
              <a:pPr algn="l"/>
              <a:t>Uputstvo za popunjavanje</a:t>
            </a:fld>
            <a:endParaRPr lang="en-US" sz="1050"/>
          </a:p>
        </xdr:txBody>
      </xdr:sp>
    </xdr:grp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47625</xdr:rowOff>
    </xdr:from>
    <xdr:to>
      <xdr:col>7</xdr:col>
      <xdr:colOff>1095375</xdr:colOff>
      <xdr:row>3</xdr:row>
      <xdr:rowOff>152400</xdr:rowOff>
    </xdr:to>
    <xdr:grpSp>
      <xdr:nvGrpSpPr>
        <xdr:cNvPr id="126973" name="Okvir Navigacija">
          <a:extLst>
            <a:ext uri="{FF2B5EF4-FFF2-40B4-BE49-F238E27FC236}">
              <a16:creationId xmlns:a16="http://schemas.microsoft.com/office/drawing/2014/main" id="{00000000-0008-0000-0500-0000FDEF0100}"/>
            </a:ext>
          </a:extLst>
        </xdr:cNvPr>
        <xdr:cNvGrpSpPr>
          <a:grpSpLocks/>
        </xdr:cNvGrpSpPr>
      </xdr:nvGrpSpPr>
      <xdr:grpSpPr bwMode="auto">
        <a:xfrm>
          <a:off x="381000" y="47625"/>
          <a:ext cx="7353300" cy="590550"/>
          <a:chOff x="7343770" y="3809945"/>
          <a:chExt cx="7258050" cy="590549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85669" name="Navigacija" hidden="1">
                <a:extLst>
                  <a:ext uri="{63B3BB69-23CF-44E3-9099-C40C66FF867C}">
                    <a14:compatExt spid="_x0000_s85669"/>
                  </a:ext>
                  <a:ext uri="{FF2B5EF4-FFF2-40B4-BE49-F238E27FC236}">
                    <a16:creationId xmlns:a16="http://schemas.microsoft.com/office/drawing/2014/main" id="{00000000-0008-0000-0500-0000A54E0100}"/>
                  </a:ext>
                </a:extLst>
              </xdr:cNvPr>
              <xdr:cNvSpPr/>
            </xdr:nvSpPr>
            <xdr:spPr bwMode="auto">
              <a:xfrm>
                <a:off x="7343770" y="3809945"/>
                <a:ext cx="7258050" cy="590549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Navigacija</a:t>
                </a:r>
              </a:p>
            </xdr:txBody>
          </xdr:sp>
        </mc:Choice>
        <mc:Fallback/>
      </mc:AlternateContent>
      <xdr:sp macro="" textlink="Linkovi_Link_BS">
        <xdr:nvSpPr>
          <xdr:cNvPr id="22" name="Link BS">
            <a:hlinkClick xmlns:r="http://schemas.openxmlformats.org/officeDocument/2006/relationships" r:id="rId1" tooltip="01"/>
            <a:extLst>
              <a:ext uri="{FF2B5EF4-FFF2-40B4-BE49-F238E27FC236}">
                <a16:creationId xmlns:a16="http://schemas.microsoft.com/office/drawing/2014/main" id="{00000000-0008-0000-0500-000016000000}"/>
              </a:ext>
            </a:extLst>
          </xdr:cNvPr>
          <xdr:cNvSpPr txBox="1"/>
        </xdr:nvSpPr>
        <xdr:spPr bwMode="auto">
          <a:xfrm>
            <a:off x="10230072" y="3914776"/>
            <a:ext cx="1043580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ADE24274-55BE-4EC5-9602-B19E4B486C4C}" type="TxLink">
              <a:rPr lang="en-US" sz="1050"/>
              <a:pPr algn="l"/>
              <a:t>01) Bilans stanja</a:t>
            </a:fld>
            <a:endParaRPr lang="en-US" sz="1050"/>
          </a:p>
        </xdr:txBody>
      </xdr:sp>
      <xdr:sp macro="" textlink="Linkovi_Link_BU">
        <xdr:nvSpPr>
          <xdr:cNvPr id="23" name="Link BU">
            <a:hlinkClick xmlns:r="http://schemas.openxmlformats.org/officeDocument/2006/relationships" r:id="rId2" tooltip="02a"/>
            <a:extLst>
              <a:ext uri="{FF2B5EF4-FFF2-40B4-BE49-F238E27FC236}">
                <a16:creationId xmlns:a16="http://schemas.microsoft.com/office/drawing/2014/main" id="{00000000-0008-0000-0500-000017000000}"/>
              </a:ext>
            </a:extLst>
          </xdr:cNvPr>
          <xdr:cNvSpPr txBox="1"/>
        </xdr:nvSpPr>
        <xdr:spPr bwMode="auto">
          <a:xfrm>
            <a:off x="11339463" y="3914776"/>
            <a:ext cx="1316227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8028517B-A260-4F5A-A0CC-3B4EAED12B17}" type="TxLink">
              <a:rPr lang="en-US" sz="1050"/>
              <a:pPr algn="l"/>
              <a:t>02a) Bilans uspjeha</a:t>
            </a:fld>
            <a:endParaRPr lang="en-US" sz="1050"/>
          </a:p>
        </xdr:txBody>
      </xdr:sp>
      <xdr:sp macro="" textlink="Linkovi_Link_ODGP">
        <xdr:nvSpPr>
          <xdr:cNvPr id="24" name="Link ODGP">
            <a:hlinkClick xmlns:r="http://schemas.openxmlformats.org/officeDocument/2006/relationships" r:id="rId3" tooltip="02b"/>
            <a:extLst>
              <a:ext uri="{FF2B5EF4-FFF2-40B4-BE49-F238E27FC236}">
                <a16:creationId xmlns:a16="http://schemas.microsoft.com/office/drawing/2014/main" id="{00000000-0008-0000-0500-000018000000}"/>
              </a:ext>
            </a:extLst>
          </xdr:cNvPr>
          <xdr:cNvSpPr txBox="1"/>
        </xdr:nvSpPr>
        <xdr:spPr bwMode="auto">
          <a:xfrm>
            <a:off x="10436908" y="4143376"/>
            <a:ext cx="3384583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40C68DAB-33A6-4757-B97B-D49EA52BE32E}" type="TxLink">
              <a:rPr lang="en-US" sz="1050"/>
              <a:pPr algn="l"/>
              <a:t>02b) Izvještaj o ostalim dobicima i gubicima u periodu</a:t>
            </a:fld>
            <a:endParaRPr lang="en-US" sz="1050"/>
          </a:p>
        </xdr:txBody>
      </xdr:sp>
      <xdr:sp macro="" textlink="Linkovi_Link_BTG">
        <xdr:nvSpPr>
          <xdr:cNvPr id="25" name="Link BTG">
            <a:hlinkClick xmlns:r="http://schemas.openxmlformats.org/officeDocument/2006/relationships" r:id="rId4" tooltip="03"/>
            <a:extLst>
              <a:ext uri="{FF2B5EF4-FFF2-40B4-BE49-F238E27FC236}">
                <a16:creationId xmlns:a16="http://schemas.microsoft.com/office/drawing/2014/main" id="{00000000-0008-0000-0500-000019000000}"/>
              </a:ext>
            </a:extLst>
          </xdr:cNvPr>
          <xdr:cNvSpPr txBox="1"/>
        </xdr:nvSpPr>
        <xdr:spPr bwMode="auto">
          <a:xfrm>
            <a:off x="12721501" y="3914776"/>
            <a:ext cx="1617078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81D1AC7D-A1AC-4560-8A55-3816E6DE247B}" type="TxLink">
              <a:rPr lang="en-US" sz="1050"/>
              <a:pPr algn="l"/>
              <a:t>03) Bilans tokova gotovine</a:t>
            </a:fld>
            <a:endParaRPr lang="en-US" sz="1050"/>
          </a:p>
        </xdr:txBody>
      </xdr:sp>
      <xdr:sp macro="" textlink="Linkovi_Link_Aneks">
        <xdr:nvSpPr>
          <xdr:cNvPr id="26" name="Link Aneks">
            <a:hlinkClick xmlns:r="http://schemas.openxmlformats.org/officeDocument/2006/relationships" r:id="rId5" tooltip="04"/>
            <a:extLst>
              <a:ext uri="{FF2B5EF4-FFF2-40B4-BE49-F238E27FC236}">
                <a16:creationId xmlns:a16="http://schemas.microsoft.com/office/drawing/2014/main" id="{00000000-0008-0000-0500-00001A000000}"/>
              </a:ext>
            </a:extLst>
          </xdr:cNvPr>
          <xdr:cNvSpPr txBox="1"/>
        </xdr:nvSpPr>
        <xdr:spPr bwMode="auto">
          <a:xfrm>
            <a:off x="7428390" y="4143376"/>
            <a:ext cx="629908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C3E588A0-24DE-421D-8644-A68C9A8AFF44}" type="TxLink">
              <a:rPr lang="en-US" sz="1050"/>
              <a:pPr algn="l"/>
              <a:t>04) Aneks</a:t>
            </a:fld>
            <a:endParaRPr lang="en-US" sz="1050"/>
          </a:p>
        </xdr:txBody>
      </xdr:sp>
      <xdr:sp macro="" textlink="Linkovi_Link_BPK">
        <xdr:nvSpPr>
          <xdr:cNvPr id="27" name="Link BPK">
            <a:hlinkClick xmlns:r="http://schemas.openxmlformats.org/officeDocument/2006/relationships" r:id="rId6" tooltip="05"/>
            <a:extLst>
              <a:ext uri="{FF2B5EF4-FFF2-40B4-BE49-F238E27FC236}">
                <a16:creationId xmlns:a16="http://schemas.microsoft.com/office/drawing/2014/main" id="{00000000-0008-0000-0500-00001B000000}"/>
              </a:ext>
            </a:extLst>
          </xdr:cNvPr>
          <xdr:cNvSpPr txBox="1"/>
        </xdr:nvSpPr>
        <xdr:spPr bwMode="auto">
          <a:xfrm>
            <a:off x="8142913" y="4143376"/>
            <a:ext cx="2209381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9BBBC847-91F1-4AF4-98AC-1D3F7BA53DD8}" type="TxLink">
              <a:rPr lang="en-US" sz="1050"/>
              <a:pPr algn="l"/>
              <a:t>05) Izvještaj o promjenama u kapitalu</a:t>
            </a:fld>
            <a:endParaRPr lang="en-US" sz="1050"/>
          </a:p>
        </xdr:txBody>
      </xdr:sp>
      <xdr:sp macro="" textlink="Linkovi_Link_Osnovni_podaci">
        <xdr:nvSpPr>
          <xdr:cNvPr id="28" name="Link Osnovni podaci">
            <a:hlinkClick xmlns:r="http://schemas.openxmlformats.org/officeDocument/2006/relationships" r:id="rId7" tooltip="Osnovni podaci"/>
            <a:extLst>
              <a:ext uri="{FF2B5EF4-FFF2-40B4-BE49-F238E27FC236}">
                <a16:creationId xmlns:a16="http://schemas.microsoft.com/office/drawing/2014/main" id="{00000000-0008-0000-0500-00001C000000}"/>
              </a:ext>
            </a:extLst>
          </xdr:cNvPr>
          <xdr:cNvSpPr txBox="1"/>
        </xdr:nvSpPr>
        <xdr:spPr bwMode="auto">
          <a:xfrm>
            <a:off x="9045468" y="3914776"/>
            <a:ext cx="1118793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2D441AB0-A429-4C50-86B9-1AFE776086DD}" type="TxLink">
              <a:rPr lang="en-US" sz="1050"/>
              <a:pPr algn="l"/>
              <a:t>Osnovni podaci</a:t>
            </a:fld>
            <a:endParaRPr lang="en-US" sz="1050"/>
          </a:p>
        </xdr:txBody>
      </xdr:sp>
      <xdr:sp macro="" textlink="Linkovi_Link_Uputstvo">
        <xdr:nvSpPr>
          <xdr:cNvPr id="29" name="Link Uputstvo">
            <a:hlinkClick xmlns:r="http://schemas.openxmlformats.org/officeDocument/2006/relationships" r:id="rId8" tooltip="Uputstvo za popunjavanje"/>
            <a:extLst>
              <a:ext uri="{FF2B5EF4-FFF2-40B4-BE49-F238E27FC236}">
                <a16:creationId xmlns:a16="http://schemas.microsoft.com/office/drawing/2014/main" id="{00000000-0008-0000-0500-00001D000000}"/>
              </a:ext>
            </a:extLst>
          </xdr:cNvPr>
          <xdr:cNvSpPr txBox="1"/>
        </xdr:nvSpPr>
        <xdr:spPr bwMode="auto">
          <a:xfrm>
            <a:off x="7428390" y="3914776"/>
            <a:ext cx="1551267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179C2238-408E-4610-A37B-A1F59B0CBB38}" type="TxLink">
              <a:rPr lang="en-US" sz="1050"/>
              <a:pPr algn="l"/>
              <a:t>Uputstvo za popunjavanje</a:t>
            </a:fld>
            <a:endParaRPr lang="en-US" sz="1050"/>
          </a:p>
        </xdr:txBody>
      </xdr:sp>
    </xdr:grp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47625</xdr:rowOff>
    </xdr:from>
    <xdr:to>
      <xdr:col>7</xdr:col>
      <xdr:colOff>1095375</xdr:colOff>
      <xdr:row>3</xdr:row>
      <xdr:rowOff>152400</xdr:rowOff>
    </xdr:to>
    <xdr:grpSp>
      <xdr:nvGrpSpPr>
        <xdr:cNvPr id="127999" name="Okvir Navigacija">
          <a:extLst>
            <a:ext uri="{FF2B5EF4-FFF2-40B4-BE49-F238E27FC236}">
              <a16:creationId xmlns:a16="http://schemas.microsoft.com/office/drawing/2014/main" id="{00000000-0008-0000-0600-0000FFF30100}"/>
            </a:ext>
          </a:extLst>
        </xdr:cNvPr>
        <xdr:cNvGrpSpPr>
          <a:grpSpLocks/>
        </xdr:cNvGrpSpPr>
      </xdr:nvGrpSpPr>
      <xdr:grpSpPr bwMode="auto">
        <a:xfrm>
          <a:off x="381000" y="47625"/>
          <a:ext cx="7353300" cy="590550"/>
          <a:chOff x="7343770" y="3809945"/>
          <a:chExt cx="7258050" cy="590549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1079" name="Navigacija" hidden="1">
                <a:extLst>
                  <a:ext uri="{63B3BB69-23CF-44E3-9099-C40C66FF867C}">
                    <a14:compatExt spid="_x0000_s31079"/>
                  </a:ext>
                  <a:ext uri="{FF2B5EF4-FFF2-40B4-BE49-F238E27FC236}">
                    <a16:creationId xmlns:a16="http://schemas.microsoft.com/office/drawing/2014/main" id="{00000000-0008-0000-0600-000067790000}"/>
                  </a:ext>
                </a:extLst>
              </xdr:cNvPr>
              <xdr:cNvSpPr/>
            </xdr:nvSpPr>
            <xdr:spPr bwMode="auto">
              <a:xfrm>
                <a:off x="7343770" y="3809945"/>
                <a:ext cx="7258050" cy="590549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Navigacija</a:t>
                </a:r>
              </a:p>
            </xdr:txBody>
          </xdr:sp>
        </mc:Choice>
        <mc:Fallback/>
      </mc:AlternateContent>
      <xdr:sp macro="" textlink="Linkovi_Link_BS">
        <xdr:nvSpPr>
          <xdr:cNvPr id="14" name="Link BS">
            <a:hlinkClick xmlns:r="http://schemas.openxmlformats.org/officeDocument/2006/relationships" r:id="rId1" tooltip="01"/>
            <a:extLst>
              <a:ext uri="{FF2B5EF4-FFF2-40B4-BE49-F238E27FC236}">
                <a16:creationId xmlns:a16="http://schemas.microsoft.com/office/drawing/2014/main" id="{00000000-0008-0000-0600-00000E000000}"/>
              </a:ext>
            </a:extLst>
          </xdr:cNvPr>
          <xdr:cNvSpPr txBox="1"/>
        </xdr:nvSpPr>
        <xdr:spPr bwMode="auto">
          <a:xfrm>
            <a:off x="10230072" y="3914776"/>
            <a:ext cx="1043580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82FDAD94-FEC8-426B-A893-4B2E5711E056}" type="TxLink">
              <a:rPr lang="en-US" sz="1050"/>
              <a:pPr algn="l"/>
              <a:t>01) Bilans stanja</a:t>
            </a:fld>
            <a:endParaRPr lang="en-US" sz="1050"/>
          </a:p>
        </xdr:txBody>
      </xdr:sp>
      <xdr:sp macro="" textlink="Linkovi_Link_BU">
        <xdr:nvSpPr>
          <xdr:cNvPr id="15" name="Link BU">
            <a:hlinkClick xmlns:r="http://schemas.openxmlformats.org/officeDocument/2006/relationships" r:id="rId2" tooltip="02a"/>
            <a:extLst>
              <a:ext uri="{FF2B5EF4-FFF2-40B4-BE49-F238E27FC236}">
                <a16:creationId xmlns:a16="http://schemas.microsoft.com/office/drawing/2014/main" id="{00000000-0008-0000-0600-00000F000000}"/>
              </a:ext>
            </a:extLst>
          </xdr:cNvPr>
          <xdr:cNvSpPr txBox="1"/>
        </xdr:nvSpPr>
        <xdr:spPr bwMode="auto">
          <a:xfrm>
            <a:off x="11339463" y="3914776"/>
            <a:ext cx="1316227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698916F3-C80B-4412-9BBD-9D69E872C229}" type="TxLink">
              <a:rPr lang="en-US" sz="1050"/>
              <a:pPr algn="l"/>
              <a:t>02a) Bilans uspjeha</a:t>
            </a:fld>
            <a:endParaRPr lang="en-US" sz="1050"/>
          </a:p>
        </xdr:txBody>
      </xdr:sp>
      <xdr:sp macro="" textlink="Linkovi_Link_ODGP">
        <xdr:nvSpPr>
          <xdr:cNvPr id="16" name="Link ODGP">
            <a:hlinkClick xmlns:r="http://schemas.openxmlformats.org/officeDocument/2006/relationships" r:id="rId3" tooltip="02b"/>
            <a:extLst>
              <a:ext uri="{FF2B5EF4-FFF2-40B4-BE49-F238E27FC236}">
                <a16:creationId xmlns:a16="http://schemas.microsoft.com/office/drawing/2014/main" id="{00000000-0008-0000-0600-000010000000}"/>
              </a:ext>
            </a:extLst>
          </xdr:cNvPr>
          <xdr:cNvSpPr txBox="1"/>
        </xdr:nvSpPr>
        <xdr:spPr bwMode="auto">
          <a:xfrm>
            <a:off x="10436908" y="4143376"/>
            <a:ext cx="3384583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E66908A6-EB04-4902-BB4D-5A409BA38ACB}" type="TxLink">
              <a:rPr lang="en-US" sz="1050"/>
              <a:pPr algn="l"/>
              <a:t>02b) Izvještaj o ostalim dobicima i gubicima u periodu</a:t>
            </a:fld>
            <a:endParaRPr lang="en-US" sz="1050"/>
          </a:p>
        </xdr:txBody>
      </xdr:sp>
      <xdr:sp macro="" textlink="Linkovi_Link_BTG">
        <xdr:nvSpPr>
          <xdr:cNvPr id="17" name="Link BTG">
            <a:hlinkClick xmlns:r="http://schemas.openxmlformats.org/officeDocument/2006/relationships" r:id="rId4" tooltip="03"/>
            <a:extLst>
              <a:ext uri="{FF2B5EF4-FFF2-40B4-BE49-F238E27FC236}">
                <a16:creationId xmlns:a16="http://schemas.microsoft.com/office/drawing/2014/main" id="{00000000-0008-0000-0600-000011000000}"/>
              </a:ext>
            </a:extLst>
          </xdr:cNvPr>
          <xdr:cNvSpPr txBox="1"/>
        </xdr:nvSpPr>
        <xdr:spPr bwMode="auto">
          <a:xfrm>
            <a:off x="12721501" y="3914776"/>
            <a:ext cx="1617078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CD6E7D92-CB20-4A42-AEB1-FB9150B400E0}" type="TxLink">
              <a:rPr lang="en-US" sz="1050"/>
              <a:pPr algn="l"/>
              <a:t>03) Bilans tokova gotovine</a:t>
            </a:fld>
            <a:endParaRPr lang="en-US" sz="1050"/>
          </a:p>
        </xdr:txBody>
      </xdr:sp>
      <xdr:sp macro="" textlink="Linkovi_Link_Aneks">
        <xdr:nvSpPr>
          <xdr:cNvPr id="18" name="Link Aneks">
            <a:hlinkClick xmlns:r="http://schemas.openxmlformats.org/officeDocument/2006/relationships" r:id="rId5" tooltip="04"/>
            <a:extLst>
              <a:ext uri="{FF2B5EF4-FFF2-40B4-BE49-F238E27FC236}">
                <a16:creationId xmlns:a16="http://schemas.microsoft.com/office/drawing/2014/main" id="{00000000-0008-0000-0600-000012000000}"/>
              </a:ext>
            </a:extLst>
          </xdr:cNvPr>
          <xdr:cNvSpPr txBox="1"/>
        </xdr:nvSpPr>
        <xdr:spPr bwMode="auto">
          <a:xfrm>
            <a:off x="7428390" y="4143376"/>
            <a:ext cx="629908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48061F5F-3A57-42B5-9E4B-974FDA80C4A8}" type="TxLink">
              <a:rPr lang="en-US" sz="1050"/>
              <a:pPr algn="l"/>
              <a:t>04) Aneks</a:t>
            </a:fld>
            <a:endParaRPr lang="en-US" sz="1050"/>
          </a:p>
        </xdr:txBody>
      </xdr:sp>
      <xdr:sp macro="" textlink="Linkovi_Link_BPK">
        <xdr:nvSpPr>
          <xdr:cNvPr id="19" name="Link BPK">
            <a:hlinkClick xmlns:r="http://schemas.openxmlformats.org/officeDocument/2006/relationships" r:id="rId6" tooltip="05"/>
            <a:extLst>
              <a:ext uri="{FF2B5EF4-FFF2-40B4-BE49-F238E27FC236}">
                <a16:creationId xmlns:a16="http://schemas.microsoft.com/office/drawing/2014/main" id="{00000000-0008-0000-0600-000013000000}"/>
              </a:ext>
            </a:extLst>
          </xdr:cNvPr>
          <xdr:cNvSpPr txBox="1"/>
        </xdr:nvSpPr>
        <xdr:spPr bwMode="auto">
          <a:xfrm>
            <a:off x="8142913" y="4143376"/>
            <a:ext cx="2209381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A6BF7A5B-E433-4183-A7AE-0F1D6CA53C9A}" type="TxLink">
              <a:rPr lang="en-US" sz="1050"/>
              <a:pPr algn="l"/>
              <a:t>05) Izvještaj o promjenama u kapitalu</a:t>
            </a:fld>
            <a:endParaRPr lang="en-US" sz="1050"/>
          </a:p>
        </xdr:txBody>
      </xdr:sp>
      <xdr:sp macro="" textlink="Linkovi_Link_Osnovni_podaci">
        <xdr:nvSpPr>
          <xdr:cNvPr id="20" name="Link Osnovni podaci">
            <a:hlinkClick xmlns:r="http://schemas.openxmlformats.org/officeDocument/2006/relationships" r:id="rId7" tooltip="Osnovni podaci"/>
            <a:extLst>
              <a:ext uri="{FF2B5EF4-FFF2-40B4-BE49-F238E27FC236}">
                <a16:creationId xmlns:a16="http://schemas.microsoft.com/office/drawing/2014/main" id="{00000000-0008-0000-0600-000014000000}"/>
              </a:ext>
            </a:extLst>
          </xdr:cNvPr>
          <xdr:cNvSpPr txBox="1"/>
        </xdr:nvSpPr>
        <xdr:spPr bwMode="auto">
          <a:xfrm>
            <a:off x="9045468" y="3914776"/>
            <a:ext cx="1118793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05BD85E1-DE56-40D1-90D2-253A9D7F30D8}" type="TxLink">
              <a:rPr lang="en-US" sz="1050"/>
              <a:pPr algn="l"/>
              <a:t>Osnovni podaci</a:t>
            </a:fld>
            <a:endParaRPr lang="en-US" sz="1050"/>
          </a:p>
        </xdr:txBody>
      </xdr:sp>
      <xdr:sp macro="" textlink="Linkovi_Link_Uputstvo">
        <xdr:nvSpPr>
          <xdr:cNvPr id="21" name="Link Uputstvo">
            <a:hlinkClick xmlns:r="http://schemas.openxmlformats.org/officeDocument/2006/relationships" r:id="rId8" tooltip="Uputstvo za popunjavanje"/>
            <a:extLst>
              <a:ext uri="{FF2B5EF4-FFF2-40B4-BE49-F238E27FC236}">
                <a16:creationId xmlns:a16="http://schemas.microsoft.com/office/drawing/2014/main" id="{00000000-0008-0000-0600-000015000000}"/>
              </a:ext>
            </a:extLst>
          </xdr:cNvPr>
          <xdr:cNvSpPr txBox="1"/>
        </xdr:nvSpPr>
        <xdr:spPr bwMode="auto">
          <a:xfrm>
            <a:off x="7428390" y="3914776"/>
            <a:ext cx="1551267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91D5B6FC-4D4B-4106-B85F-EB8AC4C6E83F}" type="TxLink">
              <a:rPr lang="en-US" sz="1050"/>
              <a:pPr algn="l"/>
              <a:t>Uputstvo za popunjavanje</a:t>
            </a:fld>
            <a:endParaRPr lang="en-US" sz="1050"/>
          </a:p>
        </xdr:txBody>
      </xdr:sp>
    </xdr:grp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47625</xdr:rowOff>
    </xdr:from>
    <xdr:to>
      <xdr:col>7</xdr:col>
      <xdr:colOff>933450</xdr:colOff>
      <xdr:row>3</xdr:row>
      <xdr:rowOff>152400</xdr:rowOff>
    </xdr:to>
    <xdr:grpSp>
      <xdr:nvGrpSpPr>
        <xdr:cNvPr id="129020" name="Okvir Navigacija">
          <a:extLst>
            <a:ext uri="{FF2B5EF4-FFF2-40B4-BE49-F238E27FC236}">
              <a16:creationId xmlns:a16="http://schemas.microsoft.com/office/drawing/2014/main" id="{00000000-0008-0000-0700-0000FCF70100}"/>
            </a:ext>
          </a:extLst>
        </xdr:cNvPr>
        <xdr:cNvGrpSpPr>
          <a:grpSpLocks/>
        </xdr:cNvGrpSpPr>
      </xdr:nvGrpSpPr>
      <xdr:grpSpPr bwMode="auto">
        <a:xfrm>
          <a:off x="381000" y="47625"/>
          <a:ext cx="7353300" cy="590550"/>
          <a:chOff x="7343770" y="3809945"/>
          <a:chExt cx="7258050" cy="590549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723" name="Navigacija" hidden="1">
                <a:extLst>
                  <a:ext uri="{63B3BB69-23CF-44E3-9099-C40C66FF867C}">
                    <a14:compatExt spid="_x0000_s7723"/>
                  </a:ext>
                  <a:ext uri="{FF2B5EF4-FFF2-40B4-BE49-F238E27FC236}">
                    <a16:creationId xmlns:a16="http://schemas.microsoft.com/office/drawing/2014/main" id="{00000000-0008-0000-0700-00002B1E0000}"/>
                  </a:ext>
                </a:extLst>
              </xdr:cNvPr>
              <xdr:cNvSpPr/>
            </xdr:nvSpPr>
            <xdr:spPr bwMode="auto">
              <a:xfrm>
                <a:off x="7343770" y="3809945"/>
                <a:ext cx="7258050" cy="590549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Navigacija</a:t>
                </a:r>
              </a:p>
            </xdr:txBody>
          </xdr:sp>
        </mc:Choice>
        <mc:Fallback/>
      </mc:AlternateContent>
      <xdr:sp macro="" textlink="Linkovi_Link_BS">
        <xdr:nvSpPr>
          <xdr:cNvPr id="4" name="Link BS">
            <a:hlinkClick xmlns:r="http://schemas.openxmlformats.org/officeDocument/2006/relationships" r:id="rId1" tooltip="01"/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 bwMode="auto">
          <a:xfrm>
            <a:off x="10230072" y="3914776"/>
            <a:ext cx="1043580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7DA41995-96D8-4639-A1A5-1D85EB3E747A}" type="TxLink">
              <a:rPr lang="en-US" sz="1050"/>
              <a:pPr algn="l"/>
              <a:t>01) Bilans stanja</a:t>
            </a:fld>
            <a:endParaRPr lang="en-US" sz="1050"/>
          </a:p>
        </xdr:txBody>
      </xdr:sp>
      <xdr:sp macro="" textlink="Linkovi_Link_BU">
        <xdr:nvSpPr>
          <xdr:cNvPr id="5" name="Link BU">
            <a:hlinkClick xmlns:r="http://schemas.openxmlformats.org/officeDocument/2006/relationships" r:id="rId2" tooltip="02a"/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 txBox="1"/>
        </xdr:nvSpPr>
        <xdr:spPr bwMode="auto">
          <a:xfrm>
            <a:off x="11339463" y="3914776"/>
            <a:ext cx="1316227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A3B76B50-8E53-4705-8B50-2B88206340D3}" type="TxLink">
              <a:rPr lang="en-US" sz="1050"/>
              <a:pPr algn="l"/>
              <a:t>02a) Bilans uspjeha</a:t>
            </a:fld>
            <a:endParaRPr lang="en-US" sz="1050"/>
          </a:p>
        </xdr:txBody>
      </xdr:sp>
      <xdr:sp macro="" textlink="Linkovi_Link_ODGP">
        <xdr:nvSpPr>
          <xdr:cNvPr id="6" name="Link ODGP">
            <a:hlinkClick xmlns:r="http://schemas.openxmlformats.org/officeDocument/2006/relationships" r:id="rId3" tooltip="02b"/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 txBox="1"/>
        </xdr:nvSpPr>
        <xdr:spPr bwMode="auto">
          <a:xfrm>
            <a:off x="10436908" y="4143376"/>
            <a:ext cx="3384583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1D64D741-6D07-4D9B-AFC0-31CA6D4C3C7F}" type="TxLink">
              <a:rPr lang="en-US" sz="1050"/>
              <a:pPr algn="l"/>
              <a:t>02b) Izvještaj o ostalim dobicima i gubicima u periodu</a:t>
            </a:fld>
            <a:endParaRPr lang="en-US" sz="1050"/>
          </a:p>
        </xdr:txBody>
      </xdr:sp>
      <xdr:sp macro="" textlink="Linkovi_Link_BTG">
        <xdr:nvSpPr>
          <xdr:cNvPr id="7" name="Link BTG">
            <a:hlinkClick xmlns:r="http://schemas.openxmlformats.org/officeDocument/2006/relationships" r:id="rId4" tooltip="03"/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 txBox="1"/>
        </xdr:nvSpPr>
        <xdr:spPr bwMode="auto">
          <a:xfrm>
            <a:off x="12721501" y="3914776"/>
            <a:ext cx="1617078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2013FE93-F095-4351-8F47-FD68D990E5A6}" type="TxLink">
              <a:rPr lang="en-US" sz="1050"/>
              <a:pPr algn="l"/>
              <a:t>03) Bilans tokova gotovine</a:t>
            </a:fld>
            <a:endParaRPr lang="en-US" sz="1050"/>
          </a:p>
        </xdr:txBody>
      </xdr:sp>
      <xdr:sp macro="" textlink="Linkovi_Link_Aneks">
        <xdr:nvSpPr>
          <xdr:cNvPr id="8" name="Link Aneks">
            <a:hlinkClick xmlns:r="http://schemas.openxmlformats.org/officeDocument/2006/relationships" r:id="rId5" tooltip="04"/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 txBox="1"/>
        </xdr:nvSpPr>
        <xdr:spPr bwMode="auto">
          <a:xfrm>
            <a:off x="7428390" y="4143376"/>
            <a:ext cx="629908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F3CDA991-FBA8-4765-8B08-2A25AA90BA75}" type="TxLink">
              <a:rPr lang="en-US" sz="1050"/>
              <a:pPr algn="l"/>
              <a:t>04) Aneks</a:t>
            </a:fld>
            <a:endParaRPr lang="en-US" sz="1050"/>
          </a:p>
        </xdr:txBody>
      </xdr:sp>
      <xdr:sp macro="" textlink="Linkovi_Link_BPK">
        <xdr:nvSpPr>
          <xdr:cNvPr id="9" name="Link BPK">
            <a:hlinkClick xmlns:r="http://schemas.openxmlformats.org/officeDocument/2006/relationships" r:id="rId6" tooltip="05"/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 txBox="1"/>
        </xdr:nvSpPr>
        <xdr:spPr bwMode="auto">
          <a:xfrm>
            <a:off x="8142913" y="4143376"/>
            <a:ext cx="2209381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F1F9DBFF-F2C3-453E-806C-FCC94B9F46BF}" type="TxLink">
              <a:rPr lang="en-US" sz="1050"/>
              <a:pPr algn="l"/>
              <a:t>05) Izvještaj o promjenama u kapitalu</a:t>
            </a:fld>
            <a:endParaRPr lang="en-US" sz="1050"/>
          </a:p>
        </xdr:txBody>
      </xdr:sp>
      <xdr:sp macro="" textlink="Linkovi_Link_Osnovni_podaci">
        <xdr:nvSpPr>
          <xdr:cNvPr id="10" name="Link Osnovni podaci">
            <a:hlinkClick xmlns:r="http://schemas.openxmlformats.org/officeDocument/2006/relationships" r:id="rId7" tooltip="Osnovni podaci"/>
            <a:extLst>
              <a:ext uri="{FF2B5EF4-FFF2-40B4-BE49-F238E27FC236}">
                <a16:creationId xmlns:a16="http://schemas.microsoft.com/office/drawing/2014/main" id="{00000000-0008-0000-0700-00000A000000}"/>
              </a:ext>
            </a:extLst>
          </xdr:cNvPr>
          <xdr:cNvSpPr txBox="1"/>
        </xdr:nvSpPr>
        <xdr:spPr bwMode="auto">
          <a:xfrm>
            <a:off x="9045468" y="3914776"/>
            <a:ext cx="1118793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9CE1E122-A6F7-4F14-AF2C-16334948C0F7}" type="TxLink">
              <a:rPr lang="en-US" sz="1050"/>
              <a:pPr algn="l"/>
              <a:t>Osnovni podaci</a:t>
            </a:fld>
            <a:endParaRPr lang="en-US" sz="1050"/>
          </a:p>
        </xdr:txBody>
      </xdr:sp>
      <xdr:sp macro="" textlink="Linkovi_Link_Uputstvo">
        <xdr:nvSpPr>
          <xdr:cNvPr id="11" name="Link Uputstvo">
            <a:hlinkClick xmlns:r="http://schemas.openxmlformats.org/officeDocument/2006/relationships" r:id="rId8" tooltip="Uputstvo za popunjavanje"/>
            <a:extLst>
              <a:ext uri="{FF2B5EF4-FFF2-40B4-BE49-F238E27FC236}">
                <a16:creationId xmlns:a16="http://schemas.microsoft.com/office/drawing/2014/main" id="{00000000-0008-0000-0700-00000B000000}"/>
              </a:ext>
            </a:extLst>
          </xdr:cNvPr>
          <xdr:cNvSpPr txBox="1"/>
        </xdr:nvSpPr>
        <xdr:spPr bwMode="auto">
          <a:xfrm>
            <a:off x="7428390" y="3914776"/>
            <a:ext cx="1551267" cy="1809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0" bIns="0" rtlCol="0" anchor="ctr"/>
          <a:lstStyle/>
          <a:p>
            <a:pPr algn="l"/>
            <a:fld id="{B25046B9-4652-46D9-AD9E-87486CDB03B7}" type="TxLink">
              <a:rPr lang="en-US" sz="1050"/>
              <a:pPr algn="l"/>
              <a:t>Uputstvo za popunjavanje</a:t>
            </a:fld>
            <a:endParaRPr lang="en-US" sz="1050"/>
          </a:p>
        </xdr:txBody>
      </xdr:sp>
    </xdr:grp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57981</xdr:rowOff>
    </xdr:from>
    <xdr:to>
      <xdr:col>21</xdr:col>
      <xdr:colOff>410218</xdr:colOff>
      <xdr:row>10</xdr:row>
      <xdr:rowOff>113716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03435" y="596351"/>
          <a:ext cx="4800000" cy="138095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_Prevod" displayName="T_Prevod" ref="A1:H98" totalsRowShown="0" headerRowDxfId="84" headerRowCellStyle="Normal" dataCellStyle="Normal">
  <autoFilter ref="A1:H98"/>
  <tableColumns count="8">
    <tableColumn id="1" name="Grupa" dataCellStyle="Normal"/>
    <tableColumn id="6" name="Naziv Celije" dataCellStyle="Normal"/>
    <tableColumn id="2" name="Latinica" dataCellStyle="Normal"/>
    <tableColumn id="3" name="Ћирилица" dataCellStyle="Normal"/>
    <tableColumn id="4" name="English" dataCellStyle="Normal"/>
    <tableColumn id="5" name="Prikaz" dataDxfId="83" dataCellStyle="Normal">
      <calculatedColumnFormula>CHOOSE( ID_Jezik, C2, D2, E2)</calculatedColumnFormula>
    </tableColumn>
    <tableColumn id="7" name="Kolona za pravljenje imena" dataDxfId="82" dataCellStyle="Normal">
      <calculatedColumnFormula>SUBSTITUTE(A2&amp;"_"&amp;B2," ","_")</calculatedColumnFormula>
    </tableColumn>
    <tableColumn id="8" name="Kontrola broj" dataDxfId="81" dataCellStyle="Normal">
      <calculatedColumnFormula>COUNTIF($B$2:$B$1024,"="&amp;B2)</calculatedColumnFormula>
    </tableColumn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id="56" name="T_Baza_BPK" displayName="T_Baza_BPK" ref="A1:Q24" totalsRowShown="0" headerRowDxfId="37" dataDxfId="35" headerRowBorderDxfId="36" tableBorderDxfId="34" totalsRowBorderDxfId="33" headerRowCellStyle="Normal" dataCellStyle="Normal">
  <autoFilter ref="A1:Q24"/>
  <tableColumns count="17">
    <tableColumn id="1" name="Id" dataDxfId="32" dataCellStyle="Normal"/>
    <tableColumn id="2" name="Bilans" dataDxfId="31" dataCellStyle="Normal">
      <calculatedColumnFormula>VLOOKUP( $A2, Aop!$A$2:$N$415, 2, 0)</calculatedColumnFormula>
    </tableColumn>
    <tableColumn id="10" name="MB" dataDxfId="30" dataCellStyle="Normal">
      <calculatedColumnFormula>Podatak_MB</calculatedColumnFormula>
    </tableColumn>
    <tableColumn id="11" name="JIB" dataDxfId="29" dataCellStyle="Normal">
      <calculatedColumnFormula>Podatak_JIB</calculatedColumnFormula>
    </tableColumn>
    <tableColumn id="17" name="Konsolidovan" dataDxfId="28" dataCellStyle="Normal">
      <calculatedColumnFormula>Konsolidovan_izvjestaj</calculatedColumnFormula>
    </tableColumn>
    <tableColumn id="3" name="AOP" dataDxfId="27" dataCellStyle="Normal">
      <calculatedColumnFormula>VLOOKUP( $A2, Aop!$A$2:$N$415, 4, 0)</calculatedColumnFormula>
    </tableColumn>
    <tableColumn id="4" name="Godina" dataDxfId="26" dataCellStyle="Normal">
      <calculatedColumnFormula>Godina</calculatedColumnFormula>
    </tableColumn>
    <tableColumn id="12" name="Datum" dataDxfId="25" dataCellStyle="Normal">
      <calculatedColumnFormula>Datum_Broj</calculatedColumnFormula>
    </tableColumn>
    <tableColumn id="5" name="Vrsta_izvjestaja" dataDxfId="24" dataCellStyle="Normal">
      <calculatedColumnFormula>ID_Izvjestaj</calculatedColumnFormula>
    </tableColumn>
    <tableColumn id="6" name="3" dataDxfId="23" dataCellStyle="Normal">
      <calculatedColumnFormula>IF(VLOOKUP($F2,INDIRECT("Lookup_"&amp;$B2),J$1-1,0)="","",VLOOKUP($F2,INDIRECT("Lookup_"&amp;$B2),J$1-1,0))</calculatedColumnFormula>
    </tableColumn>
    <tableColumn id="7" name="4" dataDxfId="22" dataCellStyle="Normal">
      <calculatedColumnFormula>IF(VLOOKUP($F2,INDIRECT("Lookup_"&amp;$B2),K$1-1,0)="","",VLOOKUP($F2,INDIRECT("Lookup_"&amp;$B2),K$1-1,0))</calculatedColumnFormula>
    </tableColumn>
    <tableColumn id="8" name="5" dataDxfId="21" dataCellStyle="Normal">
      <calculatedColumnFormula>IF(VLOOKUP($F2,INDIRECT("Lookup_"&amp;$B2),L$1-1,0)="","",VLOOKUP($F2,INDIRECT("Lookup_"&amp;$B2),L$1-1,0))</calculatedColumnFormula>
    </tableColumn>
    <tableColumn id="9" name="6" dataDxfId="20" dataCellStyle="Normal">
      <calculatedColumnFormula>IF(VLOOKUP($F2,INDIRECT("Lookup_"&amp;$B2),M$1-1,0)="","",VLOOKUP($F2,INDIRECT("Lookup_"&amp;$B2),M$1-1,0))</calculatedColumnFormula>
    </tableColumn>
    <tableColumn id="13" name="7" dataDxfId="19" dataCellStyle="Normal">
      <calculatedColumnFormula>IF(VLOOKUP($F2,INDIRECT("Lookup_"&amp;$B2),N$1-1,0)="","",VLOOKUP($F2,INDIRECT("Lookup_"&amp;$B2),N$1-1,0))</calculatedColumnFormula>
    </tableColumn>
    <tableColumn id="14" name="8" dataDxfId="18" dataCellStyle="Normal">
      <calculatedColumnFormula>IF(VLOOKUP($F2,INDIRECT("Lookup_"&amp;$B2),O$1-1,0)="","",VLOOKUP($F2,INDIRECT("Lookup_"&amp;$B2),O$1-1,0))</calculatedColumnFormula>
    </tableColumn>
    <tableColumn id="15" name="9" dataDxfId="17" dataCellStyle="Normal">
      <calculatedColumnFormula>IF(VLOOKUP($F2,INDIRECT("Lookup_"&amp;$B2),P$1-1,0)="","",VLOOKUP($F2,INDIRECT("Lookup_"&amp;$B2),P$1-1,0))</calculatedColumnFormula>
    </tableColumn>
    <tableColumn id="16" name="10" dataDxfId="16" dataCellStyle="Normal">
      <calculatedColumnFormula>IF(VLOOKUP($F2,INDIRECT("Lookup_"&amp;$B2),Q$1-1,0)="","",VLOOKUP($F2,INDIRECT("Lookup_"&amp;$B2),Q$1-1,0))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id="4" name="T_ApifImport" displayName="T_ApifImport" ref="B1:M402" totalsRowShown="0" headerRowDxfId="13" dataDxfId="12">
  <tableColumns count="12">
    <tableColumn id="1" name="Id izvještaja" dataDxfId="11">
      <calculatedColumnFormula>VLOOKUP( T_ApifImport[[#This Row],[Bilans]], T_Bilansi[], 4, 0)</calculatedColumnFormula>
    </tableColumn>
    <tableColumn id="11" name="AOP" dataDxfId="10">
      <calculatedColumnFormula>VLOOKUP( T_ApifImport[[#This Row],[Id]], T_Aop[], 4, 0)</calculatedColumnFormula>
    </tableColumn>
    <tableColumn id="3" name="Kolona1" dataDxfId="9">
      <calculatedColumnFormula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calculatedColumnFormula>
    </tableColumn>
    <tableColumn id="4" name="Kolona2" dataDxfId="8">
      <calculatedColumnFormula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calculatedColumnFormula>
    </tableColumn>
    <tableColumn id="5" name="Kolona3" dataDxfId="7">
      <calculatedColumnFormula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calculatedColumnFormula>
    </tableColumn>
    <tableColumn id="6" name="Kolona4" dataDxfId="6">
      <calculatedColumnFormula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calculatedColumnFormula>
    </tableColumn>
    <tableColumn id="7" name="Kolona5" dataDxfId="5">
      <calculatedColumnFormula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calculatedColumnFormula>
    </tableColumn>
    <tableColumn id="8" name="Kolona6" dataDxfId="4">
      <calculatedColumnFormula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calculatedColumnFormula>
    </tableColumn>
    <tableColumn id="9" name="Kolona7" dataDxfId="3">
      <calculatedColumnFormula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calculatedColumnFormula>
    </tableColumn>
    <tableColumn id="10" name="Kolona8" dataDxfId="2">
      <calculatedColumnFormula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calculatedColumnFormula>
    </tableColumn>
    <tableColumn id="13" name="Id" dataDxfId="1"/>
    <tableColumn id="12" name="Bilans" dataDxfId="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5" name="T_Aop" displayName="T_Aop" ref="A1:N415" totalsRowShown="0" headerRowDxfId="76">
  <autoFilter ref="A1:N415"/>
  <tableColumns count="14">
    <tableColumn id="1" name="Id" dataDxfId="75">
      <calculatedColumnFormula>ROW()-ROW($A$1)</calculatedColumnFormula>
    </tableColumn>
    <tableColumn id="10" name="Bilans"/>
    <tableColumn id="2" name="Aop nivo" dataDxfId="74"/>
    <tableColumn id="4" name="AOP" dataDxfId="73"/>
    <tableColumn id="14" name="Grupa Prikaz" dataDxfId="72">
      <calculatedColumnFormula>VLOOKUP( T_Aop[[#This Row],[Id]], T_Aop[], ID_Jezik + 9, 1)</calculatedColumnFormula>
    </tableColumn>
    <tableColumn id="7" name="Pozicija Prikaz" dataDxfId="71">
      <calculatedColumnFormula>REPT( "  ", T_Aop[[#This Row],[Aop nivo]]) &amp; VLOOKUP( T_Aop[[#This Row],[Id]], T_Aop[], ID_Jezik + 6, 1)</calculatedColumnFormula>
    </tableColumn>
    <tableColumn id="5" name="Pozicija Srpski - latinica"/>
    <tableColumn id="9" name="Pozicija Srpski - cirilica"/>
    <tableColumn id="6" name="Pozicija Engleski"/>
    <tableColumn id="11" name="Grupa Sr - latinica" dataDxfId="70"/>
    <tableColumn id="12" name="Grupa Sr - cirilica" dataDxfId="69"/>
    <tableColumn id="13" name="Grupa En" dataDxfId="68"/>
    <tableColumn id="16" name="Bold" dataDxfId="67"/>
    <tableColumn id="17" name="Visina reda" dataDxfId="66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2" name="T_Jezik" displayName="T_Jezik" ref="B2:C5" totalsRowShown="0" headerRowCellStyle="Normal" dataCellStyle="Normal">
  <autoFilter ref="B2:C5"/>
  <tableColumns count="2">
    <tableColumn id="3" name="Jezik_Id" dataCellStyle="Normal"/>
    <tableColumn id="1" name="Jezik" dataCellStyle="Normal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3" name="T_Vrsta_izvjestaja" displayName="T_Vrsta_izvjestaja" ref="H2:L6" totalsRowShown="0" headerRowCellStyle="Normal" dataCellStyle="Normal">
  <autoFilter ref="H2:L6"/>
  <tableColumns count="5">
    <tableColumn id="1" name="Datum izvještaja" dataDxfId="65" dataCellStyle="Normal">
      <calculatedColumnFormula>DATE(Godina, K3, L3)</calculatedColumnFormula>
    </tableColumn>
    <tableColumn id="6" name="Vrsta_Id" dataCellStyle="Normal"/>
    <tableColumn id="5" name="Vrsta izvještaja" dataCellStyle="Normal"/>
    <tableColumn id="2" name="Mjesec" dataDxfId="64" dataCellStyle="Normal"/>
    <tableColumn id="3" name="Dan" dataDxfId="63" dataCellStyle="Normal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id="21" name="T_Bilansi" displayName="T_Bilansi" ref="N2:Q9" totalsRowShown="0">
  <autoFilter ref="N2:Q9"/>
  <tableColumns count="4">
    <tableColumn id="6" name="Bilans"/>
    <tableColumn id="5" name="Min Id" dataDxfId="62"/>
    <tableColumn id="1" name="Max Id"/>
    <tableColumn id="2" name="APIF_Id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id="489" name="T_Misljenje" displayName="T_Misljenje" ref="E2:F6" totalsRowShown="0">
  <autoFilter ref="E2:F6"/>
  <tableColumns count="2">
    <tableColumn id="1" name="Misljenje_Id" dataDxfId="61"/>
    <tableColumn id="2" name="Opis" dataDxfId="60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id="490" name="T_Datum_BPK" displayName="T_Datum_BPK" ref="S2:Y6" totalsRowShown="0">
  <autoFilter ref="S2:Y6"/>
  <tableColumns count="7">
    <tableColumn id="1" name="Opis Datum IOPK"/>
    <tableColumn id="2" name="Godina"/>
    <tableColumn id="3" name="Mjesec"/>
    <tableColumn id="4" name="Dan"/>
    <tableColumn id="5" name="Datum" dataDxfId="59">
      <calculatedColumnFormula>DATE( Godina + T3, U3, V3)</calculatedColumnFormula>
    </tableColumn>
    <tableColumn id="6" name="Datum format" dataDxfId="58">
      <calculatedColumnFormula>TEXT(W3, "dd.mm.yyyy.")</calculatedColumnFormula>
    </tableColumn>
    <tableColumn id="7" name="Datum format eng" dataDxfId="57">
      <calculatedColumnFormula>TEXT(W3, "dd.mm.yyyy")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id="8" name="T_ApifKolone" displayName="T_ApifKolone" ref="AA2:AD24" totalsRowShown="0">
  <autoFilter ref="AA2:AD24"/>
  <tableColumns count="4">
    <tableColumn id="4" name="LookupText" dataDxfId="56">
      <calculatedColumnFormula>CONCATENATE(T_ApifKolone[[#This Row],[Bilans]],T_ApifKolone[[#This Row],[ApifKolona]])</calculatedColumnFormula>
    </tableColumn>
    <tableColumn id="1" name="Bilans"/>
    <tableColumn id="2" name="ApifKolona"/>
    <tableColumn id="3" name="LookupBroj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id="20" name="T_Baza" displayName="T_Baza" ref="A1:M379" totalsRowShown="0" headerRowDxfId="55" dataDxfId="53" headerRowBorderDxfId="54" tableBorderDxfId="52" totalsRowBorderDxfId="51" headerRowCellStyle="Normal" dataCellStyle="Normal">
  <autoFilter ref="A1:M379"/>
  <tableColumns count="13">
    <tableColumn id="1" name="Id" dataDxfId="50" dataCellStyle="Normal"/>
    <tableColumn id="2" name="Bilans" dataDxfId="49" dataCellStyle="Normal">
      <calculatedColumnFormula>VLOOKUP( $A2, Aop!$A$2:$N$415, 2, 0)</calculatedColumnFormula>
    </tableColumn>
    <tableColumn id="5" name="Vrsta_izvjestaja" dataDxfId="48" dataCellStyle="Normal">
      <calculatedColumnFormula>ID_Izvjestaj</calculatedColumnFormula>
    </tableColumn>
    <tableColumn id="10" name="MB" dataDxfId="47" dataCellStyle="Normal">
      <calculatedColumnFormula>Podatak_MB</calculatedColumnFormula>
    </tableColumn>
    <tableColumn id="11" name="JIB" dataDxfId="46" dataCellStyle="Normal">
      <calculatedColumnFormula>Podatak_JIB</calculatedColumnFormula>
    </tableColumn>
    <tableColumn id="13" name="Konsolidovan" dataDxfId="45" dataCellStyle="Normal">
      <calculatedColumnFormula>Konsolidovan_izvjestaj</calculatedColumnFormula>
    </tableColumn>
    <tableColumn id="12" name="Datum" dataDxfId="44" dataCellStyle="Normal">
      <calculatedColumnFormula>Datum_Broj</calculatedColumnFormula>
    </tableColumn>
    <tableColumn id="3" name="AOP" dataDxfId="43" dataCellStyle="Normal">
      <calculatedColumnFormula>VLOOKUP( $A2, Aop!$A$2:$N$415, 4, 0)</calculatedColumnFormula>
    </tableColumn>
    <tableColumn id="4" name="Godina" dataDxfId="42" dataCellStyle="Normal">
      <calculatedColumnFormula>Godina</calculatedColumnFormula>
    </tableColumn>
    <tableColumn id="6" name="Bruto" dataDxfId="41" dataCellStyle="Normal">
      <calculatedColumnFormula>IF( VLOOKUP( $H2, INDIRECT( "Lookup_" &amp; $B2), IF( LEFT( $B2, 2) = "BS", P$2, P$1), 0) = "", "", VLOOKUP( $H2, INDIRECT( "Lookup_" &amp; $B2), IF( $B2 = "BSa", P$2, P$1), 0))</calculatedColumnFormula>
    </tableColumn>
    <tableColumn id="7" name="Ispravka" dataDxfId="40" dataCellStyle="Normal">
      <calculatedColumnFormula>IF( VLOOKUP( $H2, INDIRECT( "Lookup_" &amp; $B2), IF( LEFT( $B2, 2) = "BS", Q$2, Q$1), 0) = "", "", VLOOKUP( $H2, INDIRECT( "Lookup_" &amp; $B2), IF( $B2 = "BSa", Q$2, Q$1), 0))</calculatedColumnFormula>
    </tableColumn>
    <tableColumn id="8" name="Neto" dataDxfId="39" dataCellStyle="Normal">
      <calculatedColumnFormula>IF( VLOOKUP( $H2, INDIRECT( "Lookup_" &amp; $B2), IF( LEFT( $B2, 2) = "BS", R$2, R$1), 0) = "", "", VLOOKUP( $H2, INDIRECT( "Lookup_" &amp; $B2), IF( LEFT( $B2, 2) = "BS", R$2, R$1), 0))</calculatedColumnFormula>
    </tableColumn>
    <tableColumn id="9" name="NetoPr" dataDxfId="38" dataCellStyle="Normal">
      <calculatedColumnFormula>IF( VLOOKUP( $H2, INDIRECT( "Lookup_" &amp; $B2), IF( LEFT( $B2, 2) = "BS", S$2, S$1), 0) = "", "", VLOOKUP( $H2, INDIRECT( "Lookup_" &amp; $B2), IF( LEFT( $B2, 2) = "BS", S$2, S$1), 0))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Relationship Id="rId9" Type="http://schemas.openxmlformats.org/officeDocument/2006/relationships/comments" Target="../comments4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9.xml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ctrlProp" Target="../ctrlProps/ctrlProp7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trlProp" Target="../ctrlProps/ctrlProp10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trlProp" Target="../ctrlProps/ctrlProp1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omments" Target="../comments3.xml"/><Relationship Id="rId4" Type="http://schemas.openxmlformats.org/officeDocument/2006/relationships/ctrlProp" Target="../ctrlProps/ctrlProp1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00a">
    <tabColor rgb="FFB2B2B2"/>
    <pageSetUpPr fitToPage="1"/>
  </sheetPr>
  <dimension ref="B1:U60"/>
  <sheetViews>
    <sheetView showGridLines="0" showRowColHeaders="0" zoomScaleNormal="100" zoomScaleSheetLayoutView="85" workbookViewId="0">
      <pane ySplit="4" topLeftCell="A23" activePane="bottomLeft" state="frozen"/>
      <selection activeCell="A5" sqref="A5"/>
      <selection pane="bottomLeft" activeCell="D53" sqref="D53"/>
    </sheetView>
  </sheetViews>
  <sheetFormatPr defaultColWidth="0" defaultRowHeight="12.75" zeroHeight="1" x14ac:dyDescent="0.2"/>
  <cols>
    <col min="1" max="1" width="5.7109375" style="8" customWidth="1"/>
    <col min="2" max="4" width="10.42578125" style="8" customWidth="1"/>
    <col min="5" max="17" width="9.42578125" style="8" customWidth="1"/>
    <col min="18" max="22" width="9.140625" style="8" customWidth="1"/>
    <col min="23" max="16384" width="0" style="8" hidden="1"/>
  </cols>
  <sheetData>
    <row r="1" spans="2:21" x14ac:dyDescent="0.2"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2:21" x14ac:dyDescent="0.2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2:21" x14ac:dyDescent="0.2"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2:21" x14ac:dyDescent="0.2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21" ht="18.75" x14ac:dyDescent="0.2">
      <c r="B5" s="383" t="s">
        <v>247</v>
      </c>
      <c r="C5" s="383"/>
      <c r="D5" s="383"/>
      <c r="E5" s="383"/>
      <c r="F5" s="383"/>
      <c r="G5" s="383"/>
      <c r="H5" s="383"/>
      <c r="I5" s="383"/>
      <c r="J5" s="383"/>
      <c r="K5" s="383"/>
      <c r="L5" s="383"/>
      <c r="M5" s="383"/>
      <c r="N5" s="383"/>
      <c r="O5" s="383"/>
      <c r="P5" s="383"/>
      <c r="Q5" s="383"/>
      <c r="R5" s="383"/>
      <c r="S5" s="383"/>
      <c r="T5" s="383"/>
      <c r="U5" s="383"/>
    </row>
    <row r="6" spans="2:21" ht="18.75" x14ac:dyDescent="0.25">
      <c r="B6" s="195" t="s">
        <v>827</v>
      </c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</row>
    <row r="7" spans="2:21" ht="15" x14ac:dyDescent="0.25">
      <c r="B7" s="194" t="s">
        <v>610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2:21" ht="15" x14ac:dyDescent="0.25">
      <c r="B8" s="197" t="s">
        <v>825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spans="2:21" ht="15" x14ac:dyDescent="0.25">
      <c r="B9" s="194" t="s">
        <v>626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</row>
    <row r="10" spans="2:21" ht="15" x14ac:dyDescent="0.25">
      <c r="B10" s="194" t="s">
        <v>2013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</row>
    <row r="11" spans="2:21" ht="15" x14ac:dyDescent="0.25">
      <c r="B11" s="194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</row>
    <row r="12" spans="2:21" ht="15" x14ac:dyDescent="0.25">
      <c r="B12" s="195" t="s">
        <v>829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</row>
    <row r="13" spans="2:21" ht="15" x14ac:dyDescent="0.25">
      <c r="B13" s="194" t="s">
        <v>828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</row>
    <row r="14" spans="2:21" ht="15" x14ac:dyDescent="0.25">
      <c r="B14" s="194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</row>
    <row r="15" spans="2:21" ht="15" x14ac:dyDescent="0.25">
      <c r="B15" s="363" t="s">
        <v>101</v>
      </c>
      <c r="C15" s="364"/>
      <c r="D15" s="364"/>
      <c r="E15" s="364"/>
      <c r="F15" s="364"/>
      <c r="G15" s="364"/>
      <c r="H15" s="364"/>
      <c r="I15" s="364"/>
      <c r="J15" s="364"/>
      <c r="K15" s="364"/>
      <c r="L15" s="364"/>
      <c r="M15" s="365"/>
      <c r="N15" s="20"/>
      <c r="O15" s="20"/>
      <c r="P15" s="20"/>
      <c r="Q15" s="20"/>
    </row>
    <row r="16" spans="2:21" ht="15" x14ac:dyDescent="0.25">
      <c r="B16" s="366" t="s">
        <v>120</v>
      </c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367"/>
      <c r="N16" s="20"/>
      <c r="O16" s="20"/>
      <c r="P16" s="20"/>
      <c r="Q16" s="20"/>
    </row>
    <row r="17" spans="2:17" ht="15" x14ac:dyDescent="0.25">
      <c r="B17" s="368" t="s">
        <v>102</v>
      </c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367"/>
      <c r="N17" s="20"/>
      <c r="O17" s="20"/>
      <c r="P17" s="20"/>
      <c r="Q17" s="20"/>
    </row>
    <row r="18" spans="2:17" ht="15" x14ac:dyDescent="0.25">
      <c r="B18" s="369" t="s">
        <v>103</v>
      </c>
      <c r="C18" s="370"/>
      <c r="D18" s="370"/>
      <c r="E18" s="370"/>
      <c r="F18" s="370"/>
      <c r="G18" s="370"/>
      <c r="H18" s="370"/>
      <c r="I18" s="370"/>
      <c r="J18" s="370"/>
      <c r="K18" s="370"/>
      <c r="L18" s="370"/>
      <c r="M18" s="371"/>
      <c r="N18" s="20"/>
      <c r="O18" s="20"/>
      <c r="P18" s="20"/>
      <c r="Q18" s="20"/>
    </row>
    <row r="19" spans="2:17" x14ac:dyDescent="0.2"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</row>
    <row r="20" spans="2:17" ht="15" x14ac:dyDescent="0.25">
      <c r="B20" s="195" t="s">
        <v>93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</row>
    <row r="21" spans="2:17" ht="15" x14ac:dyDescent="0.25">
      <c r="B21" s="194" t="s">
        <v>245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2:17" ht="15" x14ac:dyDescent="0.25">
      <c r="B22" s="194" t="s">
        <v>826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</row>
    <row r="23" spans="2:17" ht="15" x14ac:dyDescent="0.25">
      <c r="B23" s="197" t="s">
        <v>1893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</row>
    <row r="24" spans="2:17" ht="15" x14ac:dyDescent="0.25">
      <c r="B24" s="194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</row>
    <row r="25" spans="2:17" ht="15" x14ac:dyDescent="0.25">
      <c r="B25" s="195" t="s">
        <v>94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2:17" ht="15" x14ac:dyDescent="0.25">
      <c r="B26" s="194" t="s">
        <v>246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</row>
    <row r="27" spans="2:17" ht="15" x14ac:dyDescent="0.25">
      <c r="B27" s="194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</row>
    <row r="28" spans="2:17" ht="15" x14ac:dyDescent="0.25">
      <c r="B28" s="195" t="s">
        <v>830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pans="2:17" ht="15" x14ac:dyDescent="0.25">
      <c r="B29" s="194" t="s">
        <v>2014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pans="2:17" ht="15" x14ac:dyDescent="0.25">
      <c r="B30" s="194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pans="2:17" ht="15" x14ac:dyDescent="0.25">
      <c r="B31" s="195" t="s">
        <v>95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</row>
    <row r="32" spans="2:17" ht="15" x14ac:dyDescent="0.25">
      <c r="B32" s="194" t="s">
        <v>656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</row>
    <row r="33" spans="2:21" ht="15" x14ac:dyDescent="0.25">
      <c r="B33" s="194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</row>
    <row r="34" spans="2:21" ht="15" x14ac:dyDescent="0.25">
      <c r="B34" s="195" t="s">
        <v>419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</row>
    <row r="35" spans="2:21" ht="15" x14ac:dyDescent="0.25">
      <c r="B35" s="194" t="s">
        <v>2015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</row>
    <row r="36" spans="2:21" ht="15" x14ac:dyDescent="0.25">
      <c r="B36" s="194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</row>
    <row r="37" spans="2:21" ht="15" x14ac:dyDescent="0.25">
      <c r="B37" s="195" t="s">
        <v>831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</row>
    <row r="38" spans="2:21" ht="15" x14ac:dyDescent="0.25">
      <c r="B38" s="194" t="s">
        <v>137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</row>
    <row r="39" spans="2:21" ht="15" x14ac:dyDescent="0.25">
      <c r="B39" s="194" t="s">
        <v>244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</row>
    <row r="40" spans="2:21" ht="15" x14ac:dyDescent="0.25">
      <c r="B40" s="194" t="s">
        <v>243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</row>
    <row r="41" spans="2:21" ht="15" x14ac:dyDescent="0.25">
      <c r="B41" s="194" t="s">
        <v>1894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</row>
    <row r="42" spans="2:21" ht="15" x14ac:dyDescent="0.25">
      <c r="B42" s="19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</row>
    <row r="43" spans="2:21" ht="15" x14ac:dyDescent="0.25">
      <c r="B43" s="195" t="s">
        <v>1895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</row>
    <row r="44" spans="2:21" ht="45" x14ac:dyDescent="0.2">
      <c r="B44" s="359" t="s">
        <v>1906</v>
      </c>
      <c r="C44" s="359" t="s">
        <v>1904</v>
      </c>
      <c r="D44" s="359" t="s">
        <v>1905</v>
      </c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</row>
    <row r="45" spans="2:21" ht="15" x14ac:dyDescent="0.25">
      <c r="B45" s="362" t="s">
        <v>1842</v>
      </c>
      <c r="C45" s="360">
        <f>--(VLOOKUP( 64, Lookup_BSa, 4, 0) = VLOOKUP( 164, Lookup_BSp, 4, 0))</f>
        <v>1</v>
      </c>
      <c r="D45" s="360">
        <f>--(VLOOKUP( 64, Lookup_BSa, 5, 0) = VLOOKUP( 164, Lookup_BSp, 5, 0))</f>
        <v>1</v>
      </c>
      <c r="E45" s="358" t="s">
        <v>1896</v>
      </c>
      <c r="F45" s="20"/>
      <c r="G45" s="20"/>
      <c r="H45" s="20"/>
      <c r="I45" s="20"/>
      <c r="J45" s="20"/>
      <c r="K45" s="20"/>
      <c r="L45" s="20"/>
      <c r="O45" s="20"/>
      <c r="P45" s="20"/>
      <c r="Q45" s="20"/>
      <c r="S45" s="20"/>
      <c r="T45" s="20"/>
      <c r="U45" s="20"/>
    </row>
    <row r="46" spans="2:21" ht="15" x14ac:dyDescent="0.25">
      <c r="B46" s="362" t="s">
        <v>1843</v>
      </c>
      <c r="C46" s="360">
        <f>--(VLOOKUP( 65, Lookup_BSa, 4, 0) = VLOOKUP( 165, Lookup_BSp, 4, 0))</f>
        <v>1</v>
      </c>
      <c r="D46" s="360">
        <f>--(VLOOKUP( 65, Lookup_BSa, 5, 0) = VLOOKUP( 165, Lookup_BSp, 5, 0))</f>
        <v>1</v>
      </c>
      <c r="E46" s="358" t="s">
        <v>1897</v>
      </c>
      <c r="F46" s="20"/>
      <c r="G46" s="20"/>
      <c r="H46" s="20"/>
      <c r="I46" s="20"/>
      <c r="J46" s="20"/>
      <c r="K46" s="20"/>
      <c r="L46" s="20"/>
      <c r="O46" s="20"/>
      <c r="P46" s="20"/>
      <c r="Q46" s="20"/>
      <c r="S46" s="20"/>
      <c r="T46" s="20"/>
      <c r="U46" s="20"/>
    </row>
    <row r="47" spans="2:21" ht="15" x14ac:dyDescent="0.25">
      <c r="B47" s="362" t="s">
        <v>1844</v>
      </c>
      <c r="C47" s="360">
        <f>--(VLOOKUP( 66, Lookup_BSa, 4, 0) = VLOOKUP( 166, Lookup_BSp, 4, 0))</f>
        <v>1</v>
      </c>
      <c r="D47" s="360">
        <f>--(VLOOKUP( 66, Lookup_BSa, 5, 0) = VLOOKUP( 166, Lookup_BSp, 5, 0))</f>
        <v>1</v>
      </c>
      <c r="E47" s="358" t="s">
        <v>1898</v>
      </c>
      <c r="F47" s="20"/>
      <c r="G47" s="20"/>
      <c r="H47" s="20"/>
      <c r="I47" s="20"/>
      <c r="J47" s="20"/>
      <c r="K47" s="20"/>
      <c r="L47" s="20"/>
      <c r="O47" s="20"/>
      <c r="P47" s="20"/>
      <c r="Q47" s="20"/>
      <c r="S47" s="20"/>
      <c r="T47" s="20"/>
      <c r="U47" s="20"/>
    </row>
    <row r="48" spans="2:21" ht="15" x14ac:dyDescent="0.25">
      <c r="B48" s="362" t="s">
        <v>1845</v>
      </c>
      <c r="C48" s="360">
        <f>--( IF( VLOOKUP( 63, Lookup_BSa, 4, 0) &gt; 0, VLOOKUP( 101, Lookup_BSp, 4, 0) = 0, TRUE))</f>
        <v>1</v>
      </c>
      <c r="D48" s="360">
        <f>--( IF( VLOOKUP( 63, Lookup_BSa, 5, 0) &gt; 0, VLOOKUP( 101, Lookup_BSp, 5, 0) = 0, TRUE))</f>
        <v>1</v>
      </c>
      <c r="E48" s="358" t="s">
        <v>1907</v>
      </c>
      <c r="F48" s="20"/>
      <c r="G48" s="20"/>
      <c r="H48" s="20"/>
      <c r="I48" s="20"/>
      <c r="J48" s="20"/>
      <c r="K48" s="20"/>
      <c r="L48" s="20"/>
      <c r="O48" s="20"/>
      <c r="P48" s="20"/>
      <c r="Q48" s="20"/>
      <c r="S48" s="20"/>
      <c r="T48" s="20"/>
      <c r="U48" s="20"/>
    </row>
    <row r="49" spans="2:21" ht="15" x14ac:dyDescent="0.25">
      <c r="B49" s="362" t="s">
        <v>1846</v>
      </c>
      <c r="C49" s="360">
        <f>--( IF( AND( VLOOKUP( 63, Lookup_BSa, 4, 0) &gt; 0,  VLOOKUP( 102, Lookup_BSp, 4, 0) &gt; 0),  VLOOKUP( 123, Lookup_BSp, 4, 0) &gt; 0, TRUE))</f>
        <v>1</v>
      </c>
      <c r="D49" s="360">
        <f>--( IF( AND( VLOOKUP( 63, Lookup_BSa, 5, 0) &gt; 0,  VLOOKUP( 102, Lookup_BSp, 5, 0) &gt; 0),  VLOOKUP( 123, Lookup_BSp, 5, 0) &gt; 0, TRUE))</f>
        <v>1</v>
      </c>
      <c r="E49" s="358" t="s">
        <v>1908</v>
      </c>
      <c r="F49" s="20"/>
      <c r="G49" s="20"/>
      <c r="H49" s="20"/>
      <c r="I49" s="20"/>
      <c r="J49" s="20"/>
      <c r="K49" s="20"/>
      <c r="L49" s="20"/>
      <c r="O49" s="20"/>
      <c r="P49" s="20"/>
      <c r="Q49" s="20"/>
      <c r="S49" s="20"/>
      <c r="T49" s="20"/>
      <c r="U49" s="20"/>
    </row>
    <row r="50" spans="2:21" ht="15" x14ac:dyDescent="0.25">
      <c r="B50" s="362" t="s">
        <v>1847</v>
      </c>
      <c r="C50" s="360">
        <f>--( IF( VLOOKUP( 63, Lookup_BSa, 4, 0) = 0, VLOOKUP( 299, Lookup_BUa, 2, 0) = VLOOKUP( 121, Lookup_BSp, 4, 0), TRUE))</f>
        <v>1</v>
      </c>
      <c r="D50" s="360" t="str">
        <f>IF( AND( ID_Izvjestaj = 4, VLOOKUP( 63, Lookup_BSa, 5, 0) = 0),--( VLOOKUP( 299, Lookup_BUa, 3, 0) = VLOOKUP( 121, Lookup_BSp, 5, 0)),"")</f>
        <v/>
      </c>
      <c r="E50" s="358" t="s">
        <v>2019</v>
      </c>
      <c r="F50" s="20"/>
      <c r="G50" s="20"/>
      <c r="H50" s="20"/>
      <c r="I50" s="20"/>
      <c r="J50" s="20"/>
      <c r="K50" s="20"/>
      <c r="L50" s="20"/>
      <c r="O50" s="20"/>
      <c r="P50" s="20"/>
      <c r="Q50" s="20"/>
      <c r="S50" s="20"/>
      <c r="T50" s="20"/>
      <c r="U50" s="20"/>
    </row>
    <row r="51" spans="2:21" ht="15" x14ac:dyDescent="0.25">
      <c r="B51" s="362" t="s">
        <v>1848</v>
      </c>
      <c r="C51" s="360">
        <f>--( IF( VLOOKUP( 63, Lookup_BSa, 4, 0) = 0, VLOOKUP( 300, Lookup_BUa, 2, 0) = VLOOKUP( 125, Lookup_BSp, 4, 0), TRUE))</f>
        <v>1</v>
      </c>
      <c r="D51" s="360" t="str">
        <f>IF( AND( ID_Izvjestaj = 4, VLOOKUP( 63, Lookup_BSa, 5, 0) = 0),--( VLOOKUP( 300, Lookup_BUa, 3, 0) = VLOOKUP( 125, Lookup_BSp, 5, 0)),"")</f>
        <v/>
      </c>
      <c r="E51" s="358" t="s">
        <v>1915</v>
      </c>
      <c r="F51" s="20"/>
      <c r="G51" s="20"/>
      <c r="H51" s="20"/>
      <c r="I51" s="20"/>
      <c r="J51" s="20"/>
      <c r="K51" s="20"/>
      <c r="L51" s="20"/>
      <c r="O51" s="20"/>
      <c r="P51" s="20"/>
      <c r="Q51" s="20"/>
      <c r="S51" s="20"/>
      <c r="T51" s="20"/>
      <c r="U51" s="20"/>
    </row>
    <row r="52" spans="2:21" ht="15" x14ac:dyDescent="0.25">
      <c r="B52" s="362" t="s">
        <v>1849</v>
      </c>
      <c r="C52" s="360">
        <f>--(VLOOKUP( 548, Lookup_BTG, 2, 0) = VLOOKUP( 56, Lookup_BSa, 4, 0))</f>
        <v>1</v>
      </c>
      <c r="D52" s="360" t="str">
        <f>IF( ID_Izvjestaj = 4, --( VLOOKUP( 548, Lookup_BTG, 3, 0) = VLOOKUP( 56, Lookup_BSa, 5, 0)), "")</f>
        <v/>
      </c>
      <c r="E52" s="358" t="s">
        <v>1899</v>
      </c>
      <c r="F52" s="20"/>
      <c r="G52" s="20"/>
      <c r="H52" s="20"/>
      <c r="I52" s="20"/>
      <c r="J52" s="20"/>
      <c r="K52" s="20"/>
      <c r="L52" s="20"/>
      <c r="O52" s="20"/>
      <c r="P52" s="20"/>
      <c r="Q52" s="20"/>
      <c r="S52" s="20"/>
      <c r="T52" s="20"/>
      <c r="U52" s="20"/>
    </row>
    <row r="53" spans="2:21" ht="15" x14ac:dyDescent="0.25">
      <c r="B53" s="362" t="s">
        <v>1850</v>
      </c>
      <c r="C53" s="361"/>
      <c r="D53" s="360">
        <f>--( IF( VLOOKUP( 101, Lookup_BSp, 5, 0) &gt; 0, VLOOKUP( 915, Lookup_BPK, 7, 0) = VLOOKUP( 101, Lookup_BSp, 5, 0), TRUE))</f>
        <v>0</v>
      </c>
      <c r="E53" s="358" t="s">
        <v>1901</v>
      </c>
      <c r="F53" s="20"/>
      <c r="G53" s="20"/>
      <c r="H53" s="20"/>
      <c r="I53" s="20"/>
      <c r="J53" s="20"/>
      <c r="K53" s="20"/>
      <c r="L53" s="20"/>
      <c r="O53" s="20"/>
      <c r="P53" s="20"/>
      <c r="Q53" s="20"/>
      <c r="S53" s="20"/>
      <c r="T53" s="20"/>
      <c r="U53" s="20"/>
    </row>
    <row r="54" spans="2:21" ht="15" x14ac:dyDescent="0.25">
      <c r="B54" s="362" t="s">
        <v>1851</v>
      </c>
      <c r="C54" s="360">
        <f>--( IF( VLOOKUP( 101, Lookup_BSp, 4, 0) &gt; 0, VLOOKUP( 923, Lookup_BPK, 7, 0) = VLOOKUP( 101, Lookup_BSp, 4, 0), TRUE))</f>
        <v>0</v>
      </c>
      <c r="D54" s="360"/>
      <c r="E54" s="358" t="s">
        <v>1900</v>
      </c>
      <c r="F54" s="20"/>
      <c r="G54" s="20"/>
      <c r="H54" s="20"/>
      <c r="I54" s="20"/>
      <c r="J54" s="20"/>
      <c r="K54" s="20"/>
      <c r="L54" s="20"/>
      <c r="O54" s="20"/>
      <c r="P54" s="20"/>
      <c r="Q54" s="20"/>
      <c r="S54" s="20"/>
      <c r="T54" s="20"/>
      <c r="U54" s="20"/>
    </row>
    <row r="55" spans="2:21" ht="15" x14ac:dyDescent="0.25">
      <c r="B55" s="362" t="s">
        <v>1852</v>
      </c>
      <c r="C55" s="361"/>
      <c r="D55" s="360">
        <f>--( IF( VLOOKUP( 101, Lookup_BSp, 5, 0) = 0, VLOOKUP( 915, Lookup_BPK, 7, 0) = -VLOOKUP( 63, Lookup_BSa, 5, 0), TRUE))</f>
        <v>1</v>
      </c>
      <c r="E55" s="358" t="s">
        <v>1902</v>
      </c>
      <c r="F55" s="20"/>
      <c r="G55" s="20"/>
      <c r="H55" s="20"/>
      <c r="I55" s="20"/>
      <c r="J55" s="20"/>
      <c r="K55" s="20"/>
      <c r="L55" s="20"/>
      <c r="O55" s="20"/>
      <c r="P55" s="20"/>
      <c r="Q55" s="20"/>
      <c r="S55" s="20"/>
      <c r="T55" s="20"/>
      <c r="U55" s="20"/>
    </row>
    <row r="56" spans="2:21" ht="15" x14ac:dyDescent="0.25">
      <c r="B56" s="362" t="s">
        <v>1853</v>
      </c>
      <c r="C56" s="360">
        <f>--( IF( VLOOKUP( 101, Lookup_BSp, 4, 0) = 0, VLOOKUP( 923, Lookup_BPK, 7, 0) = -VLOOKUP( 63, Lookup_BSa, 4, 0), TRUE))</f>
        <v>1</v>
      </c>
      <c r="D56" s="360"/>
      <c r="E56" s="358" t="s">
        <v>1903</v>
      </c>
      <c r="F56" s="20"/>
      <c r="G56" s="20"/>
      <c r="H56" s="20"/>
      <c r="I56" s="20"/>
      <c r="J56" s="20"/>
      <c r="K56" s="20"/>
      <c r="L56" s="20"/>
      <c r="O56" s="20"/>
      <c r="P56" s="20"/>
      <c r="Q56" s="20"/>
      <c r="S56" s="20"/>
      <c r="T56" s="20"/>
      <c r="U56" s="20"/>
    </row>
    <row r="57" spans="2:21" ht="15" x14ac:dyDescent="0.25">
      <c r="B57" s="194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</row>
    <row r="58" spans="2:21" ht="15" x14ac:dyDescent="0.25">
      <c r="B58" s="195" t="s">
        <v>2018</v>
      </c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</row>
    <row r="59" spans="2:21" ht="15" x14ac:dyDescent="0.25">
      <c r="B59" s="194" t="s">
        <v>1909</v>
      </c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</row>
    <row r="60" spans="2:21" ht="15" x14ac:dyDescent="0.25">
      <c r="B60" s="194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</row>
  </sheetData>
  <sheetProtection password="832E" sheet="1" objects="1" scenarios="1" selectLockedCells="1" selectUnlockedCells="1"/>
  <mergeCells count="1">
    <mergeCell ref="B5:U5"/>
  </mergeCells>
  <phoneticPr fontId="1" type="noConversion"/>
  <conditionalFormatting sqref="C45:D56">
    <cfRule type="expression" dxfId="95" priority="1" stopIfTrue="1">
      <formula>C45=0</formula>
    </cfRule>
  </conditionalFormatting>
  <pageMargins left="0.39370078740157483" right="0.39370078740157483" top="0.39370078740157483" bottom="0.39370078740157483" header="0.51181102362204722" footer="0.51181102362204722"/>
  <pageSetup paperSize="9" scale="61" orientation="landscape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987" r:id="rId4" name="Navigacija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0</xdr:row>
                    <xdr:rowOff>47625</xdr:rowOff>
                  </from>
                  <to>
                    <xdr:col>12</xdr:col>
                    <xdr:colOff>238125</xdr:colOff>
                    <xdr:row>3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0000"/>
  </sheetPr>
  <dimension ref="A1:N421"/>
  <sheetViews>
    <sheetView showGridLines="0" zoomScaleNormal="100" workbookViewId="0">
      <pane xSplit="5" ySplit="1" topLeftCell="F2" activePane="bottomRight" state="frozen"/>
      <selection activeCell="C12" sqref="C12:O12"/>
      <selection pane="topRight" activeCell="C12" sqref="C12:O12"/>
      <selection pane="bottomLeft" activeCell="C12" sqref="C12:O12"/>
      <selection pane="bottomRight" activeCell="F42" sqref="F42"/>
    </sheetView>
  </sheetViews>
  <sheetFormatPr defaultRowHeight="12.75" x14ac:dyDescent="0.2"/>
  <cols>
    <col min="1" max="1" width="5" customWidth="1"/>
    <col min="2" max="2" width="8.5703125" customWidth="1"/>
    <col min="3" max="3" width="10.140625" customWidth="1"/>
    <col min="4" max="4" width="7.140625" customWidth="1"/>
    <col min="5" max="5" width="16" customWidth="1"/>
    <col min="6" max="6" width="92.85546875" customWidth="1"/>
    <col min="7" max="7" width="51.7109375" customWidth="1"/>
    <col min="8" max="8" width="36.85546875" customWidth="1"/>
    <col min="9" max="9" width="42.28515625" customWidth="1"/>
    <col min="10" max="12" width="18" customWidth="1"/>
    <col min="15" max="17" width="92.85546875" customWidth="1"/>
  </cols>
  <sheetData>
    <row r="1" spans="1:14" ht="25.5" customHeight="1" x14ac:dyDescent="0.2">
      <c r="A1" s="76" t="s">
        <v>408</v>
      </c>
      <c r="B1" s="76" t="s">
        <v>535</v>
      </c>
      <c r="C1" s="76" t="s">
        <v>534</v>
      </c>
      <c r="D1" s="76" t="s">
        <v>285</v>
      </c>
      <c r="E1" s="77" t="s">
        <v>614</v>
      </c>
      <c r="F1" s="77" t="s">
        <v>540</v>
      </c>
      <c r="G1" s="76" t="s">
        <v>537</v>
      </c>
      <c r="H1" s="76" t="s">
        <v>538</v>
      </c>
      <c r="I1" s="76" t="s">
        <v>539</v>
      </c>
      <c r="J1" s="76" t="s">
        <v>1839</v>
      </c>
      <c r="K1" s="76" t="s">
        <v>1840</v>
      </c>
      <c r="L1" s="76" t="s">
        <v>1841</v>
      </c>
      <c r="M1" s="76" t="s">
        <v>1825</v>
      </c>
      <c r="N1" s="76" t="s">
        <v>1826</v>
      </c>
    </row>
    <row r="2" spans="1:14" x14ac:dyDescent="0.2">
      <c r="A2">
        <f t="shared" ref="A2:A65" si="0">ROW()-ROW($A$1)</f>
        <v>1</v>
      </c>
      <c r="B2" t="s">
        <v>2040</v>
      </c>
      <c r="C2">
        <v>0</v>
      </c>
      <c r="E2" s="2">
        <f>VLOOKUP( T_Aop[[#This Row],[Id]], T_Aop[], ID_Jezik + 9, 1)</f>
        <v>0</v>
      </c>
      <c r="F2" t="str">
        <f>REPT( "  ", T_Aop[[#This Row],[Aop nivo]]) &amp; VLOOKUP( T_Aop[[#This Row],[Id]], T_Aop[], ID_Jezik + 6, 1)</f>
        <v>AKTIVA</v>
      </c>
      <c r="G2" t="s">
        <v>272</v>
      </c>
      <c r="H2" t="s">
        <v>838</v>
      </c>
      <c r="I2" t="s">
        <v>291</v>
      </c>
      <c r="J2" s="275"/>
      <c r="K2" s="275"/>
      <c r="L2" s="275"/>
      <c r="M2" s="10">
        <v>1</v>
      </c>
      <c r="N2" s="10"/>
    </row>
    <row r="3" spans="1:14" x14ac:dyDescent="0.2">
      <c r="A3">
        <f t="shared" si="0"/>
        <v>2</v>
      </c>
      <c r="B3" t="s">
        <v>2040</v>
      </c>
      <c r="C3">
        <v>1</v>
      </c>
      <c r="D3">
        <v>1</v>
      </c>
      <c r="E3" s="2">
        <f>VLOOKUP( T_Aop[[#This Row],[Id]], T_Aop[], ID_Jezik + 9, 1)</f>
        <v>0</v>
      </c>
      <c r="F3" t="str">
        <f>REPT( "  ", T_Aop[[#This Row],[Aop nivo]]) &amp; VLOOKUP( T_Aop[[#This Row],[Id]], T_Aop[], ID_Jezik + 6, 1)</f>
        <v xml:space="preserve">  A. STALNA SREDSTVA (002 + 008 + 015 + 021 + 030)</v>
      </c>
      <c r="G3" t="s">
        <v>839</v>
      </c>
      <c r="H3" t="s">
        <v>840</v>
      </c>
      <c r="I3" t="s">
        <v>841</v>
      </c>
      <c r="J3" s="275"/>
      <c r="K3" s="275"/>
      <c r="L3" s="275"/>
      <c r="M3" s="10">
        <v>1</v>
      </c>
      <c r="N3" s="10"/>
    </row>
    <row r="4" spans="1:14" x14ac:dyDescent="0.2">
      <c r="A4">
        <f t="shared" si="0"/>
        <v>3</v>
      </c>
      <c r="B4" t="s">
        <v>2040</v>
      </c>
      <c r="C4">
        <v>2</v>
      </c>
      <c r="D4">
        <v>2</v>
      </c>
      <c r="E4" s="2" t="str">
        <f>VLOOKUP( T_Aop[[#This Row],[Id]], T_Aop[], ID_Jezik + 9, 1)</f>
        <v>01</v>
      </c>
      <c r="F4" t="str">
        <f>REPT( "  ", T_Aop[[#This Row],[Aop nivo]]) &amp; VLOOKUP( T_Aop[[#This Row],[Id]], T_Aop[], ID_Jezik + 6, 1)</f>
        <v xml:space="preserve">    I - NEMATERIJALNA SREDSTVA (003 do 007)</v>
      </c>
      <c r="G4" t="s">
        <v>842</v>
      </c>
      <c r="H4" t="s">
        <v>843</v>
      </c>
      <c r="I4" t="s">
        <v>844</v>
      </c>
      <c r="J4" s="275" t="s">
        <v>657</v>
      </c>
      <c r="K4" s="275" t="s">
        <v>657</v>
      </c>
      <c r="L4" s="275" t="s">
        <v>657</v>
      </c>
      <c r="M4" s="10">
        <v>1</v>
      </c>
      <c r="N4" s="10"/>
    </row>
    <row r="5" spans="1:14" x14ac:dyDescent="0.2">
      <c r="A5">
        <f t="shared" si="0"/>
        <v>4</v>
      </c>
      <c r="B5" t="s">
        <v>2040</v>
      </c>
      <c r="C5">
        <v>3</v>
      </c>
      <c r="D5">
        <v>3</v>
      </c>
      <c r="E5" s="2" t="str">
        <f>VLOOKUP( T_Aop[[#This Row],[Id]], T_Aop[], ID_Jezik + 9, 1)</f>
        <v>010, dio 019</v>
      </c>
      <c r="F5" t="str">
        <f>REPT( "  ", T_Aop[[#This Row],[Aop nivo]]) &amp; VLOOKUP( T_Aop[[#This Row],[Id]], T_Aop[], ID_Jezik + 6, 1)</f>
        <v xml:space="preserve">      1. Ulaganja u razvoj</v>
      </c>
      <c r="G5" t="s">
        <v>293</v>
      </c>
      <c r="H5" t="s">
        <v>845</v>
      </c>
      <c r="I5" t="s">
        <v>846</v>
      </c>
      <c r="J5" s="275" t="s">
        <v>1638</v>
      </c>
      <c r="K5" s="275" t="s">
        <v>1639</v>
      </c>
      <c r="L5" s="275" t="s">
        <v>1640</v>
      </c>
      <c r="M5" s="10"/>
      <c r="N5" s="10"/>
    </row>
    <row r="6" spans="1:14" x14ac:dyDescent="0.2">
      <c r="A6">
        <f t="shared" si="0"/>
        <v>5</v>
      </c>
      <c r="B6" t="s">
        <v>2040</v>
      </c>
      <c r="C6">
        <v>3</v>
      </c>
      <c r="D6">
        <v>4</v>
      </c>
      <c r="E6" s="2" t="str">
        <f>VLOOKUP( T_Aop[[#This Row],[Id]], T_Aop[], ID_Jezik + 9, 1)</f>
        <v>011, dio 019</v>
      </c>
      <c r="F6" t="str">
        <f>REPT( "  ", T_Aop[[#This Row],[Aop nivo]]) &amp; VLOOKUP( T_Aop[[#This Row],[Id]], T_Aop[], ID_Jezik + 6, 1)</f>
        <v xml:space="preserve">      2. Koncesije, patenti, licence i ostala prava</v>
      </c>
      <c r="G6" t="s">
        <v>295</v>
      </c>
      <c r="H6" t="s">
        <v>847</v>
      </c>
      <c r="I6" t="s">
        <v>848</v>
      </c>
      <c r="J6" s="275" t="s">
        <v>1641</v>
      </c>
      <c r="K6" s="275" t="s">
        <v>1642</v>
      </c>
      <c r="L6" s="275" t="s">
        <v>1643</v>
      </c>
      <c r="M6" s="10"/>
      <c r="N6" s="10"/>
    </row>
    <row r="7" spans="1:14" x14ac:dyDescent="0.2">
      <c r="A7">
        <f t="shared" si="0"/>
        <v>6</v>
      </c>
      <c r="B7" t="s">
        <v>2040</v>
      </c>
      <c r="C7">
        <v>3</v>
      </c>
      <c r="D7">
        <v>5</v>
      </c>
      <c r="E7" s="2" t="str">
        <f>VLOOKUP( T_Aop[[#This Row],[Id]], T_Aop[], ID_Jezik + 9, 1)</f>
        <v>012, dio 019</v>
      </c>
      <c r="F7" t="str">
        <f>REPT( "  ", T_Aop[[#This Row],[Aop nivo]]) &amp; VLOOKUP( T_Aop[[#This Row],[Id]], T_Aop[], ID_Jezik + 6, 1)</f>
        <v xml:space="preserve">      3. Goodwill</v>
      </c>
      <c r="G7" t="s">
        <v>296</v>
      </c>
      <c r="H7" t="s">
        <v>296</v>
      </c>
      <c r="I7" t="s">
        <v>849</v>
      </c>
      <c r="J7" s="275" t="s">
        <v>1644</v>
      </c>
      <c r="K7" s="275" t="s">
        <v>1645</v>
      </c>
      <c r="L7" s="275" t="s">
        <v>1646</v>
      </c>
      <c r="M7" s="10"/>
      <c r="N7" s="10"/>
    </row>
    <row r="8" spans="1:14" x14ac:dyDescent="0.2">
      <c r="A8">
        <f t="shared" si="0"/>
        <v>7</v>
      </c>
      <c r="B8" t="s">
        <v>2040</v>
      </c>
      <c r="C8">
        <v>3</v>
      </c>
      <c r="D8">
        <v>6</v>
      </c>
      <c r="E8" s="2" t="str">
        <f>VLOOKUP( T_Aop[[#This Row],[Id]], T_Aop[], ID_Jezik + 9, 1)</f>
        <v>014, dio 019</v>
      </c>
      <c r="F8" t="str">
        <f>REPT( "  ", T_Aop[[#This Row],[Aop nivo]]) &amp; VLOOKUP( T_Aop[[#This Row],[Id]], T_Aop[], ID_Jezik + 6, 1)</f>
        <v xml:space="preserve">      4. Ostala nematerijalna sredstva</v>
      </c>
      <c r="G8" t="s">
        <v>850</v>
      </c>
      <c r="H8" t="s">
        <v>851</v>
      </c>
      <c r="I8" t="s">
        <v>852</v>
      </c>
      <c r="J8" s="275" t="s">
        <v>1647</v>
      </c>
      <c r="K8" s="275" t="s">
        <v>1648</v>
      </c>
      <c r="L8" s="275" t="s">
        <v>1649</v>
      </c>
      <c r="M8" s="10"/>
      <c r="N8" s="10"/>
    </row>
    <row r="9" spans="1:14" x14ac:dyDescent="0.2">
      <c r="A9">
        <f t="shared" si="0"/>
        <v>8</v>
      </c>
      <c r="B9" t="s">
        <v>2040</v>
      </c>
      <c r="C9">
        <v>3</v>
      </c>
      <c r="D9">
        <v>7</v>
      </c>
      <c r="E9" s="2" t="str">
        <f>VLOOKUP( T_Aop[[#This Row],[Id]], T_Aop[], ID_Jezik + 9, 1)</f>
        <v>015, 016, dio 019</v>
      </c>
      <c r="F9" t="str">
        <f>REPT( "  ", T_Aop[[#This Row],[Aop nivo]]) &amp; VLOOKUP( T_Aop[[#This Row],[Id]], T_Aop[], ID_Jezik + 6, 1)</f>
        <v xml:space="preserve">      5. Avansi i nematerijalna sredstva u pripremi</v>
      </c>
      <c r="G9" t="s">
        <v>853</v>
      </c>
      <c r="H9" t="s">
        <v>854</v>
      </c>
      <c r="I9" t="s">
        <v>855</v>
      </c>
      <c r="J9" s="275" t="s">
        <v>1650</v>
      </c>
      <c r="K9" s="275" t="s">
        <v>1651</v>
      </c>
      <c r="L9" s="275" t="s">
        <v>1652</v>
      </c>
      <c r="M9" s="10"/>
      <c r="N9" s="10"/>
    </row>
    <row r="10" spans="1:14" x14ac:dyDescent="0.2">
      <c r="A10">
        <f t="shared" si="0"/>
        <v>9</v>
      </c>
      <c r="B10" t="s">
        <v>2040</v>
      </c>
      <c r="C10">
        <v>2</v>
      </c>
      <c r="D10">
        <v>8</v>
      </c>
      <c r="E10" s="2" t="str">
        <f>VLOOKUP( T_Aop[[#This Row],[Id]], T_Aop[], ID_Jezik + 9, 1)</f>
        <v>02</v>
      </c>
      <c r="F10" t="str">
        <f>REPT( "  ", T_Aop[[#This Row],[Aop nivo]]) &amp; VLOOKUP( T_Aop[[#This Row],[Id]], T_Aop[], ID_Jezik + 6, 1)</f>
        <v xml:space="preserve">    II - NEKRETNINE, POSTROJENJA, OPREMA I INVESTICIONE NEKRETNINE (009 do 014)</v>
      </c>
      <c r="G10" t="s">
        <v>856</v>
      </c>
      <c r="H10" t="s">
        <v>857</v>
      </c>
      <c r="I10" t="s">
        <v>858</v>
      </c>
      <c r="J10" s="275" t="s">
        <v>658</v>
      </c>
      <c r="K10" s="275" t="s">
        <v>658</v>
      </c>
      <c r="L10" s="275" t="s">
        <v>658</v>
      </c>
      <c r="M10" s="10">
        <v>1</v>
      </c>
      <c r="N10" s="10"/>
    </row>
    <row r="11" spans="1:14" x14ac:dyDescent="0.2">
      <c r="A11">
        <f t="shared" si="0"/>
        <v>10</v>
      </c>
      <c r="B11" t="s">
        <v>2040</v>
      </c>
      <c r="C11">
        <v>3</v>
      </c>
      <c r="D11">
        <v>9</v>
      </c>
      <c r="E11" s="2" t="str">
        <f>VLOOKUP( T_Aop[[#This Row],[Id]], T_Aop[], ID_Jezik + 9, 1)</f>
        <v>020, dio 029</v>
      </c>
      <c r="F11" t="str">
        <f>REPT( "  ", T_Aop[[#This Row],[Aop nivo]]) &amp; VLOOKUP( T_Aop[[#This Row],[Id]], T_Aop[], ID_Jezik + 6, 1)</f>
        <v xml:space="preserve">      1. Zemljište</v>
      </c>
      <c r="G11" t="s">
        <v>297</v>
      </c>
      <c r="H11" t="s">
        <v>859</v>
      </c>
      <c r="I11" t="s">
        <v>860</v>
      </c>
      <c r="J11" s="275" t="s">
        <v>1653</v>
      </c>
      <c r="K11" s="275" t="s">
        <v>1654</v>
      </c>
      <c r="L11" s="275" t="s">
        <v>1655</v>
      </c>
      <c r="M11" s="10"/>
      <c r="N11" s="10"/>
    </row>
    <row r="12" spans="1:14" x14ac:dyDescent="0.2">
      <c r="A12">
        <f t="shared" si="0"/>
        <v>11</v>
      </c>
      <c r="B12" t="s">
        <v>2040</v>
      </c>
      <c r="C12">
        <v>3</v>
      </c>
      <c r="D12">
        <v>10</v>
      </c>
      <c r="E12" s="2" t="str">
        <f>VLOOKUP( T_Aop[[#This Row],[Id]], T_Aop[], ID_Jezik + 9, 1)</f>
        <v>021, dio 029</v>
      </c>
      <c r="F12" t="str">
        <f>REPT( "  ", T_Aop[[#This Row],[Aop nivo]]) &amp; VLOOKUP( T_Aop[[#This Row],[Id]], T_Aop[], ID_Jezik + 6, 1)</f>
        <v xml:space="preserve">      2. Građevinski objekti</v>
      </c>
      <c r="G12" t="s">
        <v>273</v>
      </c>
      <c r="H12" t="s">
        <v>861</v>
      </c>
      <c r="I12" t="s">
        <v>862</v>
      </c>
      <c r="J12" s="275" t="s">
        <v>1656</v>
      </c>
      <c r="K12" s="275" t="s">
        <v>1657</v>
      </c>
      <c r="L12" s="275" t="s">
        <v>1658</v>
      </c>
      <c r="M12" s="10"/>
      <c r="N12" s="10"/>
    </row>
    <row r="13" spans="1:14" x14ac:dyDescent="0.2">
      <c r="A13">
        <f t="shared" si="0"/>
        <v>12</v>
      </c>
      <c r="B13" t="s">
        <v>2040</v>
      </c>
      <c r="C13">
        <v>3</v>
      </c>
      <c r="D13">
        <v>11</v>
      </c>
      <c r="E13" s="2" t="str">
        <f>VLOOKUP( T_Aop[[#This Row],[Id]], T_Aop[], ID_Jezik + 9, 1)</f>
        <v>022, dio 029</v>
      </c>
      <c r="F13" t="str">
        <f>REPT( "  ", T_Aop[[#This Row],[Aop nivo]]) &amp; VLOOKUP( T_Aop[[#This Row],[Id]], T_Aop[], ID_Jezik + 6, 1)</f>
        <v xml:space="preserve">      3. Postrojenja i oprema</v>
      </c>
      <c r="G13" t="s">
        <v>298</v>
      </c>
      <c r="H13" t="s">
        <v>863</v>
      </c>
      <c r="I13" t="s">
        <v>864</v>
      </c>
      <c r="J13" s="275" t="s">
        <v>1659</v>
      </c>
      <c r="K13" s="275" t="s">
        <v>1660</v>
      </c>
      <c r="L13" s="275" t="s">
        <v>1661</v>
      </c>
      <c r="M13" s="10"/>
      <c r="N13" s="10"/>
    </row>
    <row r="14" spans="1:14" x14ac:dyDescent="0.2">
      <c r="A14">
        <f t="shared" si="0"/>
        <v>13</v>
      </c>
      <c r="B14" t="s">
        <v>2040</v>
      </c>
      <c r="C14">
        <v>3</v>
      </c>
      <c r="D14">
        <v>12</v>
      </c>
      <c r="E14" s="2" t="str">
        <f>VLOOKUP( T_Aop[[#This Row],[Id]], T_Aop[], ID_Jezik + 9, 1)</f>
        <v>023, dio 029</v>
      </c>
      <c r="F14" t="str">
        <f>REPT( "  ", T_Aop[[#This Row],[Aop nivo]]) &amp; VLOOKUP( T_Aop[[#This Row],[Id]], T_Aop[], ID_Jezik + 6, 1)</f>
        <v xml:space="preserve">      4. Investicione nekretnine</v>
      </c>
      <c r="G14" t="s">
        <v>299</v>
      </c>
      <c r="H14" t="s">
        <v>865</v>
      </c>
      <c r="I14" t="s">
        <v>866</v>
      </c>
      <c r="J14" s="275" t="s">
        <v>1662</v>
      </c>
      <c r="K14" s="275" t="s">
        <v>1663</v>
      </c>
      <c r="L14" s="275" t="s">
        <v>1664</v>
      </c>
      <c r="M14" s="10"/>
      <c r="N14" s="10"/>
    </row>
    <row r="15" spans="1:14" x14ac:dyDescent="0.2">
      <c r="A15">
        <f t="shared" si="0"/>
        <v>14</v>
      </c>
      <c r="B15" t="s">
        <v>2040</v>
      </c>
      <c r="C15">
        <v>3</v>
      </c>
      <c r="D15">
        <v>13</v>
      </c>
      <c r="E15" s="2" t="str">
        <f>VLOOKUP( T_Aop[[#This Row],[Id]], T_Aop[], ID_Jezik + 9, 1)</f>
        <v>024, dio 029</v>
      </c>
      <c r="F15" t="str">
        <f>REPT( "  ", T_Aop[[#This Row],[Aop nivo]]) &amp; VLOOKUP( T_Aop[[#This Row],[Id]], T_Aop[], ID_Jezik + 6, 1)</f>
        <v xml:space="preserve">      5. Ulaganje na tuđim nekretninama, postrojenjima i opremi</v>
      </c>
      <c r="G15" t="s">
        <v>867</v>
      </c>
      <c r="H15" t="s">
        <v>868</v>
      </c>
      <c r="I15" t="s">
        <v>869</v>
      </c>
      <c r="J15" s="275" t="s">
        <v>1665</v>
      </c>
      <c r="K15" s="275" t="s">
        <v>1666</v>
      </c>
      <c r="L15" s="275" t="s">
        <v>1667</v>
      </c>
      <c r="M15" s="10"/>
      <c r="N15" s="10"/>
    </row>
    <row r="16" spans="1:14" x14ac:dyDescent="0.2">
      <c r="A16">
        <f t="shared" si="0"/>
        <v>15</v>
      </c>
      <c r="B16" t="s">
        <v>2040</v>
      </c>
      <c r="C16">
        <v>3</v>
      </c>
      <c r="D16">
        <v>14</v>
      </c>
      <c r="E16" s="2" t="str">
        <f>VLOOKUP( T_Aop[[#This Row],[Id]], T_Aop[], ID_Jezik + 9, 1)</f>
        <v>027, 028, dio 029</v>
      </c>
      <c r="F16" t="str">
        <f>REPT( "  ", T_Aop[[#This Row],[Aop nivo]]) &amp; VLOOKUP( T_Aop[[#This Row],[Id]], T_Aop[], ID_Jezik + 6, 1)</f>
        <v xml:space="preserve">      6. Avansi i nekretnine, postrojenja, oprema i investicione nekretnine u pripremi</v>
      </c>
      <c r="G16" t="s">
        <v>870</v>
      </c>
      <c r="H16" t="s">
        <v>871</v>
      </c>
      <c r="I16" t="s">
        <v>872</v>
      </c>
      <c r="J16" s="275" t="s">
        <v>1668</v>
      </c>
      <c r="K16" s="275" t="s">
        <v>1669</v>
      </c>
      <c r="L16" s="275" t="s">
        <v>1670</v>
      </c>
      <c r="M16" s="10"/>
      <c r="N16" s="10"/>
    </row>
    <row r="17" spans="1:14" x14ac:dyDescent="0.2">
      <c r="A17">
        <f t="shared" si="0"/>
        <v>16</v>
      </c>
      <c r="B17" t="s">
        <v>2040</v>
      </c>
      <c r="C17">
        <v>2</v>
      </c>
      <c r="D17">
        <v>15</v>
      </c>
      <c r="E17" s="2" t="str">
        <f>VLOOKUP( T_Aop[[#This Row],[Id]], T_Aop[], ID_Jezik + 9, 1)</f>
        <v>03</v>
      </c>
      <c r="F17" t="str">
        <f>REPT( "  ", T_Aop[[#This Row],[Aop nivo]]) &amp; VLOOKUP( T_Aop[[#This Row],[Id]], T_Aop[], ID_Jezik + 6, 1)</f>
        <v xml:space="preserve">    III - BIOLOŠKA SREDSTVA I SREDSTVA KULTURE (016 do 020)</v>
      </c>
      <c r="G17" t="s">
        <v>873</v>
      </c>
      <c r="H17" t="s">
        <v>874</v>
      </c>
      <c r="I17" t="s">
        <v>875</v>
      </c>
      <c r="J17" s="275" t="s">
        <v>659</v>
      </c>
      <c r="K17" s="275" t="s">
        <v>659</v>
      </c>
      <c r="L17" s="275" t="s">
        <v>659</v>
      </c>
      <c r="M17" s="10">
        <v>1</v>
      </c>
      <c r="N17" s="10"/>
    </row>
    <row r="18" spans="1:14" x14ac:dyDescent="0.2">
      <c r="A18">
        <f t="shared" si="0"/>
        <v>17</v>
      </c>
      <c r="B18" t="s">
        <v>2040</v>
      </c>
      <c r="C18">
        <v>3</v>
      </c>
      <c r="D18">
        <v>16</v>
      </c>
      <c r="E18" s="2" t="str">
        <f>VLOOKUP( T_Aop[[#This Row],[Id]], T_Aop[], ID_Jezik + 9, 1)</f>
        <v>030, dio 039</v>
      </c>
      <c r="F18" t="str">
        <f>REPT( "  ", T_Aop[[#This Row],[Aop nivo]]) &amp; VLOOKUP( T_Aop[[#This Row],[Id]], T_Aop[], ID_Jezik + 6, 1)</f>
        <v xml:space="preserve">      1. Šume</v>
      </c>
      <c r="G18" t="s">
        <v>300</v>
      </c>
      <c r="H18" t="s">
        <v>876</v>
      </c>
      <c r="I18" t="s">
        <v>877</v>
      </c>
      <c r="J18" s="275" t="s">
        <v>1671</v>
      </c>
      <c r="K18" s="275" t="s">
        <v>1672</v>
      </c>
      <c r="L18" s="275" t="s">
        <v>1673</v>
      </c>
      <c r="M18" s="10"/>
      <c r="N18" s="10"/>
    </row>
    <row r="19" spans="1:14" x14ac:dyDescent="0.2">
      <c r="A19">
        <f t="shared" si="0"/>
        <v>18</v>
      </c>
      <c r="B19" t="s">
        <v>2040</v>
      </c>
      <c r="C19">
        <v>3</v>
      </c>
      <c r="D19">
        <v>17</v>
      </c>
      <c r="E19" s="2" t="str">
        <f>VLOOKUP( T_Aop[[#This Row],[Id]], T_Aop[], ID_Jezik + 9, 1)</f>
        <v>031, dio 039</v>
      </c>
      <c r="F19" t="str">
        <f>REPT( "  ", T_Aop[[#This Row],[Aop nivo]]) &amp; VLOOKUP( T_Aop[[#This Row],[Id]], T_Aop[], ID_Jezik + 6, 1)</f>
        <v xml:space="preserve">      2. Višegodišnji zasadi</v>
      </c>
      <c r="G19" t="s">
        <v>301</v>
      </c>
      <c r="H19" t="s">
        <v>878</v>
      </c>
      <c r="I19" t="s">
        <v>879</v>
      </c>
      <c r="J19" s="275" t="s">
        <v>1674</v>
      </c>
      <c r="K19" s="275" t="s">
        <v>1675</v>
      </c>
      <c r="L19" s="275" t="s">
        <v>1676</v>
      </c>
      <c r="M19" s="10"/>
      <c r="N19" s="10"/>
    </row>
    <row r="20" spans="1:14" x14ac:dyDescent="0.2">
      <c r="A20">
        <f t="shared" si="0"/>
        <v>19</v>
      </c>
      <c r="B20" t="s">
        <v>2040</v>
      </c>
      <c r="C20">
        <v>3</v>
      </c>
      <c r="D20">
        <v>18</v>
      </c>
      <c r="E20" s="2" t="str">
        <f>VLOOKUP( T_Aop[[#This Row],[Id]], T_Aop[], ID_Jezik + 9, 1)</f>
        <v>032, dio 039</v>
      </c>
      <c r="F20" t="str">
        <f>REPT( "  ", T_Aop[[#This Row],[Aop nivo]]) &amp; VLOOKUP( T_Aop[[#This Row],[Id]], T_Aop[], ID_Jezik + 6, 1)</f>
        <v xml:space="preserve">      3. Osnovno stado</v>
      </c>
      <c r="G20" t="s">
        <v>302</v>
      </c>
      <c r="H20" t="s">
        <v>880</v>
      </c>
      <c r="I20" t="s">
        <v>881</v>
      </c>
      <c r="J20" s="275" t="s">
        <v>1677</v>
      </c>
      <c r="K20" s="275" t="s">
        <v>1678</v>
      </c>
      <c r="L20" s="275" t="s">
        <v>1679</v>
      </c>
      <c r="M20" s="10"/>
      <c r="N20" s="10"/>
    </row>
    <row r="21" spans="1:14" x14ac:dyDescent="0.2">
      <c r="A21">
        <f t="shared" si="0"/>
        <v>20</v>
      </c>
      <c r="B21" t="s">
        <v>2040</v>
      </c>
      <c r="C21">
        <v>3</v>
      </c>
      <c r="D21">
        <v>19</v>
      </c>
      <c r="E21" s="2" t="str">
        <f>VLOOKUP( T_Aop[[#This Row],[Id]], T_Aop[], ID_Jezik + 9, 1)</f>
        <v>033, dio 039</v>
      </c>
      <c r="F21" t="str">
        <f>REPT( "  ", T_Aop[[#This Row],[Aop nivo]]) &amp; VLOOKUP( T_Aop[[#This Row],[Id]], T_Aop[], ID_Jezik + 6, 1)</f>
        <v xml:space="preserve">      4. Sredstva kulture</v>
      </c>
      <c r="G21" t="s">
        <v>303</v>
      </c>
      <c r="H21" t="s">
        <v>882</v>
      </c>
      <c r="I21" t="s">
        <v>883</v>
      </c>
      <c r="J21" s="275" t="s">
        <v>1680</v>
      </c>
      <c r="K21" s="275" t="s">
        <v>1681</v>
      </c>
      <c r="L21" s="275" t="s">
        <v>1682</v>
      </c>
      <c r="M21" s="10"/>
      <c r="N21" s="10"/>
    </row>
    <row r="22" spans="1:14" x14ac:dyDescent="0.2">
      <c r="A22">
        <f t="shared" si="0"/>
        <v>21</v>
      </c>
      <c r="B22" t="s">
        <v>2040</v>
      </c>
      <c r="C22">
        <v>3</v>
      </c>
      <c r="D22">
        <v>20</v>
      </c>
      <c r="E22" s="2" t="str">
        <f>VLOOKUP( T_Aop[[#This Row],[Id]], T_Aop[], ID_Jezik + 9, 1)</f>
        <v>037, 038, dio 039</v>
      </c>
      <c r="F22" t="str">
        <f>REPT( "  ", T_Aop[[#This Row],[Aop nivo]]) &amp; VLOOKUP( T_Aop[[#This Row],[Id]], T_Aop[], ID_Jezik + 6, 1)</f>
        <v xml:space="preserve">      5. Avansi i biološka sredstva i sredstva kulture u pripremi</v>
      </c>
      <c r="G22" t="s">
        <v>53</v>
      </c>
      <c r="H22" t="s">
        <v>884</v>
      </c>
      <c r="I22" t="s">
        <v>885</v>
      </c>
      <c r="J22" s="275" t="s">
        <v>1683</v>
      </c>
      <c r="K22" s="275" t="s">
        <v>1684</v>
      </c>
      <c r="L22" s="275" t="s">
        <v>1685</v>
      </c>
      <c r="M22" s="10"/>
      <c r="N22" s="10"/>
    </row>
    <row r="23" spans="1:14" x14ac:dyDescent="0.2">
      <c r="A23">
        <f t="shared" si="0"/>
        <v>22</v>
      </c>
      <c r="B23" t="s">
        <v>2040</v>
      </c>
      <c r="C23">
        <v>2</v>
      </c>
      <c r="D23">
        <v>21</v>
      </c>
      <c r="E23" s="2" t="str">
        <f>VLOOKUP( T_Aop[[#This Row],[Id]], T_Aop[], ID_Jezik + 9, 1)</f>
        <v>04</v>
      </c>
      <c r="F23" t="str">
        <f>REPT( "  ", T_Aop[[#This Row],[Aop nivo]]) &amp; VLOOKUP( T_Aop[[#This Row],[Id]], T_Aop[], ID_Jezik + 6, 1)</f>
        <v xml:space="preserve">    IV - DUGOROČNI FINANSIJSKI PLASMANI (022 do 029)</v>
      </c>
      <c r="G23" t="s">
        <v>886</v>
      </c>
      <c r="H23" t="s">
        <v>887</v>
      </c>
      <c r="I23" t="s">
        <v>888</v>
      </c>
      <c r="J23" s="275" t="s">
        <v>660</v>
      </c>
      <c r="K23" s="275" t="s">
        <v>660</v>
      </c>
      <c r="L23" s="275" t="s">
        <v>660</v>
      </c>
      <c r="M23" s="10">
        <v>1</v>
      </c>
      <c r="N23" s="10"/>
    </row>
    <row r="24" spans="1:14" x14ac:dyDescent="0.2">
      <c r="A24">
        <f t="shared" si="0"/>
        <v>23</v>
      </c>
      <c r="B24" t="s">
        <v>2040</v>
      </c>
      <c r="C24">
        <v>3</v>
      </c>
      <c r="D24">
        <v>22</v>
      </c>
      <c r="E24" s="2" t="str">
        <f>VLOOKUP( T_Aop[[#This Row],[Id]], T_Aop[], ID_Jezik + 9, 1)</f>
        <v>040, dio 049</v>
      </c>
      <c r="F24" t="str">
        <f>REPT( "  ", T_Aop[[#This Row],[Aop nivo]]) &amp; VLOOKUP( T_Aop[[#This Row],[Id]], T_Aop[], ID_Jezik + 6, 1)</f>
        <v xml:space="preserve">      1. Učešće u kapitalu zavisnih pravnih lica</v>
      </c>
      <c r="G24" t="s">
        <v>305</v>
      </c>
      <c r="H24" t="s">
        <v>889</v>
      </c>
      <c r="I24" t="s">
        <v>890</v>
      </c>
      <c r="J24" s="275" t="s">
        <v>304</v>
      </c>
      <c r="K24" s="275" t="s">
        <v>1686</v>
      </c>
      <c r="L24" s="275" t="s">
        <v>204</v>
      </c>
      <c r="M24" s="10"/>
      <c r="N24" s="10"/>
    </row>
    <row r="25" spans="1:14" x14ac:dyDescent="0.2">
      <c r="A25">
        <f t="shared" si="0"/>
        <v>24</v>
      </c>
      <c r="B25" t="s">
        <v>2040</v>
      </c>
      <c r="C25">
        <v>3</v>
      </c>
      <c r="D25">
        <v>23</v>
      </c>
      <c r="E25" s="2" t="str">
        <f>VLOOKUP( T_Aop[[#This Row],[Id]], T_Aop[], ID_Jezik + 9, 1)</f>
        <v>041, dio 049</v>
      </c>
      <c r="F25" t="str">
        <f>REPT( "  ", T_Aop[[#This Row],[Aop nivo]]) &amp; VLOOKUP( T_Aop[[#This Row],[Id]], T_Aop[], ID_Jezik + 6, 1)</f>
        <v xml:space="preserve">      2. Učešće u kapitalu drugih pravnih lica</v>
      </c>
      <c r="G25" t="s">
        <v>309</v>
      </c>
      <c r="H25" t="s">
        <v>891</v>
      </c>
      <c r="I25" t="s">
        <v>892</v>
      </c>
      <c r="J25" s="275" t="s">
        <v>306</v>
      </c>
      <c r="K25" s="275" t="s">
        <v>1687</v>
      </c>
      <c r="L25" s="275" t="s">
        <v>205</v>
      </c>
      <c r="M25" s="10"/>
      <c r="N25" s="10"/>
    </row>
    <row r="26" spans="1:14" x14ac:dyDescent="0.2">
      <c r="A26">
        <f t="shared" si="0"/>
        <v>25</v>
      </c>
      <c r="B26" t="s">
        <v>2040</v>
      </c>
      <c r="C26">
        <v>3</v>
      </c>
      <c r="D26">
        <v>24</v>
      </c>
      <c r="E26" s="2" t="str">
        <f>VLOOKUP( T_Aop[[#This Row],[Id]], T_Aop[], ID_Jezik + 9, 1)</f>
        <v>042, dio 049</v>
      </c>
      <c r="F26" t="str">
        <f>REPT( "  ", T_Aop[[#This Row],[Aop nivo]]) &amp; VLOOKUP( T_Aop[[#This Row],[Id]], T_Aop[], ID_Jezik + 6, 1)</f>
        <v xml:space="preserve">      3. Dugoročni krediti povezanim pravnim licima</v>
      </c>
      <c r="G26" t="s">
        <v>274</v>
      </c>
      <c r="H26" t="s">
        <v>893</v>
      </c>
      <c r="I26" t="s">
        <v>894</v>
      </c>
      <c r="J26" s="275" t="s">
        <v>307</v>
      </c>
      <c r="K26" s="275" t="s">
        <v>1688</v>
      </c>
      <c r="L26" s="275" t="s">
        <v>206</v>
      </c>
      <c r="M26" s="10"/>
      <c r="N26" s="10"/>
    </row>
    <row r="27" spans="1:14" x14ac:dyDescent="0.2">
      <c r="A27">
        <f t="shared" si="0"/>
        <v>26</v>
      </c>
      <c r="B27" t="s">
        <v>2040</v>
      </c>
      <c r="C27">
        <v>3</v>
      </c>
      <c r="D27">
        <v>25</v>
      </c>
      <c r="E27" s="2" t="str">
        <f>VLOOKUP( T_Aop[[#This Row],[Id]], T_Aop[], ID_Jezik + 9, 1)</f>
        <v>043, dio 049</v>
      </c>
      <c r="F27" t="str">
        <f>REPT( "  ", T_Aop[[#This Row],[Aop nivo]]) &amp; VLOOKUP( T_Aop[[#This Row],[Id]], T_Aop[], ID_Jezik + 6, 1)</f>
        <v xml:space="preserve">      4. Dugoročni krediti u zemlji</v>
      </c>
      <c r="G27" t="s">
        <v>310</v>
      </c>
      <c r="H27" t="s">
        <v>895</v>
      </c>
      <c r="I27" t="s">
        <v>896</v>
      </c>
      <c r="J27" s="275" t="s">
        <v>308</v>
      </c>
      <c r="K27" s="275" t="s">
        <v>1689</v>
      </c>
      <c r="L27" s="275" t="s">
        <v>207</v>
      </c>
      <c r="M27" s="10"/>
      <c r="N27" s="10"/>
    </row>
    <row r="28" spans="1:14" x14ac:dyDescent="0.2">
      <c r="A28">
        <f t="shared" si="0"/>
        <v>27</v>
      </c>
      <c r="B28" t="s">
        <v>2040</v>
      </c>
      <c r="C28">
        <v>3</v>
      </c>
      <c r="D28">
        <v>26</v>
      </c>
      <c r="E28" s="2" t="str">
        <f>VLOOKUP( T_Aop[[#This Row],[Id]], T_Aop[], ID_Jezik + 9, 1)</f>
        <v>044, dio 049</v>
      </c>
      <c r="F28" t="str">
        <f>REPT( "  ", T_Aop[[#This Row],[Aop nivo]]) &amp; VLOOKUP( T_Aop[[#This Row],[Id]], T_Aop[], ID_Jezik + 6, 1)</f>
        <v xml:space="preserve">      5. Dugoročni krediti u inostranstvu</v>
      </c>
      <c r="G28" t="s">
        <v>312</v>
      </c>
      <c r="H28" t="s">
        <v>897</v>
      </c>
      <c r="I28" t="s">
        <v>898</v>
      </c>
      <c r="J28" s="275" t="s">
        <v>311</v>
      </c>
      <c r="K28" s="275" t="s">
        <v>1690</v>
      </c>
      <c r="L28" s="275" t="s">
        <v>208</v>
      </c>
      <c r="M28" s="10"/>
      <c r="N28" s="10"/>
    </row>
    <row r="29" spans="1:14" x14ac:dyDescent="0.2">
      <c r="A29">
        <f t="shared" si="0"/>
        <v>28</v>
      </c>
      <c r="B29" t="s">
        <v>2040</v>
      </c>
      <c r="C29">
        <v>3</v>
      </c>
      <c r="D29">
        <v>27</v>
      </c>
      <c r="E29" s="2" t="str">
        <f>VLOOKUP( T_Aop[[#This Row],[Id]], T_Aop[], ID_Jezik + 9, 1)</f>
        <v>045, dio 049</v>
      </c>
      <c r="F29" t="str">
        <f>REPT( "  ", T_Aop[[#This Row],[Aop nivo]]) &amp; VLOOKUP( T_Aop[[#This Row],[Id]], T_Aop[], ID_Jezik + 6, 1)</f>
        <v xml:space="preserve">      6. Finansijska sredstva raspoloživa za prodaju</v>
      </c>
      <c r="G29" t="s">
        <v>314</v>
      </c>
      <c r="H29" t="s">
        <v>899</v>
      </c>
      <c r="I29" t="s">
        <v>900</v>
      </c>
      <c r="J29" s="275" t="s">
        <v>313</v>
      </c>
      <c r="K29" s="275" t="s">
        <v>1691</v>
      </c>
      <c r="L29" s="275" t="s">
        <v>209</v>
      </c>
      <c r="M29" s="10"/>
      <c r="N29" s="10"/>
    </row>
    <row r="30" spans="1:14" x14ac:dyDescent="0.2">
      <c r="A30">
        <f t="shared" si="0"/>
        <v>29</v>
      </c>
      <c r="B30" t="s">
        <v>2040</v>
      </c>
      <c r="C30">
        <v>3</v>
      </c>
      <c r="D30">
        <v>28</v>
      </c>
      <c r="E30" s="2" t="str">
        <f>VLOOKUP( T_Aop[[#This Row],[Id]], T_Aop[], ID_Jezik + 9, 1)</f>
        <v>046, dio 049</v>
      </c>
      <c r="F30" t="str">
        <f>REPT( "  ", T_Aop[[#This Row],[Aop nivo]]) &amp; VLOOKUP( T_Aop[[#This Row],[Id]], T_Aop[], ID_Jezik + 6, 1)</f>
        <v xml:space="preserve">      7. Finansijska sredstva koja se drže do roka dospijeća</v>
      </c>
      <c r="G30" t="s">
        <v>316</v>
      </c>
      <c r="H30" t="s">
        <v>901</v>
      </c>
      <c r="I30" t="s">
        <v>902</v>
      </c>
      <c r="J30" s="275" t="s">
        <v>315</v>
      </c>
      <c r="K30" s="275" t="s">
        <v>1692</v>
      </c>
      <c r="L30" s="275" t="s">
        <v>210</v>
      </c>
      <c r="M30" s="10"/>
      <c r="N30" s="10"/>
    </row>
    <row r="31" spans="1:14" x14ac:dyDescent="0.2">
      <c r="A31">
        <f t="shared" si="0"/>
        <v>30</v>
      </c>
      <c r="B31" t="s">
        <v>2040</v>
      </c>
      <c r="C31">
        <v>3</v>
      </c>
      <c r="D31">
        <v>29</v>
      </c>
      <c r="E31" s="2" t="str">
        <f>VLOOKUP( T_Aop[[#This Row],[Id]], T_Aop[], ID_Jezik + 9, 1)</f>
        <v>048, dio 049</v>
      </c>
      <c r="F31" t="str">
        <f>REPT( "  ", T_Aop[[#This Row],[Aop nivo]]) &amp; VLOOKUP( T_Aop[[#This Row],[Id]], T_Aop[], ID_Jezik + 6, 1)</f>
        <v xml:space="preserve">      8. Ostali dugoročni finansijski plasmani</v>
      </c>
      <c r="G31" t="s">
        <v>318</v>
      </c>
      <c r="H31" t="s">
        <v>903</v>
      </c>
      <c r="I31" t="s">
        <v>904</v>
      </c>
      <c r="J31" s="275" t="s">
        <v>317</v>
      </c>
      <c r="K31" s="275" t="s">
        <v>1693</v>
      </c>
      <c r="L31" s="275" t="s">
        <v>211</v>
      </c>
      <c r="M31" s="10"/>
      <c r="N31" s="10"/>
    </row>
    <row r="32" spans="1:14" x14ac:dyDescent="0.2">
      <c r="A32">
        <f t="shared" si="0"/>
        <v>31</v>
      </c>
      <c r="B32" t="s">
        <v>2040</v>
      </c>
      <c r="C32">
        <v>2</v>
      </c>
      <c r="D32">
        <v>30</v>
      </c>
      <c r="E32" s="2" t="str">
        <f>VLOOKUP( T_Aop[[#This Row],[Id]], T_Aop[], ID_Jezik + 9, 1)</f>
        <v>050</v>
      </c>
      <c r="F32" t="str">
        <f>REPT( "  ", T_Aop[[#This Row],[Aop nivo]]) &amp; VLOOKUP( T_Aop[[#This Row],[Id]], T_Aop[], ID_Jezik + 6, 1)</f>
        <v xml:space="preserve">    V - ODLOŽENA PORESKA SREDSTVA</v>
      </c>
      <c r="G32" t="s">
        <v>905</v>
      </c>
      <c r="H32" t="s">
        <v>906</v>
      </c>
      <c r="I32" t="s">
        <v>907</v>
      </c>
      <c r="J32" s="275" t="s">
        <v>661</v>
      </c>
      <c r="K32" s="275" t="s">
        <v>661</v>
      </c>
      <c r="L32" s="275" t="s">
        <v>661</v>
      </c>
      <c r="M32" s="10">
        <v>1</v>
      </c>
      <c r="N32" s="10"/>
    </row>
    <row r="33" spans="1:14" x14ac:dyDescent="0.2">
      <c r="A33">
        <f t="shared" si="0"/>
        <v>32</v>
      </c>
      <c r="B33" t="s">
        <v>2040</v>
      </c>
      <c r="C33">
        <v>1</v>
      </c>
      <c r="D33">
        <v>31</v>
      </c>
      <c r="E33" s="2">
        <f>VLOOKUP( T_Aop[[#This Row],[Id]], T_Aop[], ID_Jezik + 9, 1)</f>
        <v>0</v>
      </c>
      <c r="F33" t="str">
        <f>REPT( "  ", T_Aop[[#This Row],[Aop nivo]]) &amp; VLOOKUP( T_Aop[[#This Row],[Id]], T_Aop[], ID_Jezik + 6, 1)</f>
        <v xml:space="preserve">  B. TEKUĆA SREDSTVA (032 + 039 + 061)</v>
      </c>
      <c r="G33" t="s">
        <v>908</v>
      </c>
      <c r="H33" t="s">
        <v>909</v>
      </c>
      <c r="I33" t="s">
        <v>910</v>
      </c>
      <c r="J33" s="275"/>
      <c r="K33" s="275"/>
      <c r="L33" s="275"/>
      <c r="M33" s="10">
        <v>1</v>
      </c>
      <c r="N33" s="10"/>
    </row>
    <row r="34" spans="1:14" x14ac:dyDescent="0.2">
      <c r="A34">
        <f t="shared" si="0"/>
        <v>33</v>
      </c>
      <c r="B34" t="s">
        <v>2040</v>
      </c>
      <c r="C34">
        <v>2</v>
      </c>
      <c r="D34">
        <v>32</v>
      </c>
      <c r="E34" s="2" t="str">
        <f>VLOOKUP( T_Aop[[#This Row],[Id]], T_Aop[], ID_Jezik + 9, 1)</f>
        <v>10 do 15</v>
      </c>
      <c r="F34" t="str">
        <f>REPT( "  ", T_Aop[[#This Row],[Aop nivo]]) &amp; VLOOKUP( T_Aop[[#This Row],[Id]], T_Aop[], ID_Jezik + 6, 1)</f>
        <v xml:space="preserve">    I - ZALIHE, STALNA SREDSTVA I SREDSTVA OBUSTAVLJENOG POSLOVANJA NAMIJENJENA PRODAJI (033 do 038)</v>
      </c>
      <c r="G34" t="s">
        <v>911</v>
      </c>
      <c r="H34" t="s">
        <v>912</v>
      </c>
      <c r="I34" t="s">
        <v>913</v>
      </c>
      <c r="J34" s="275" t="s">
        <v>275</v>
      </c>
      <c r="K34" s="275" t="s">
        <v>1694</v>
      </c>
      <c r="L34" s="275" t="s">
        <v>222</v>
      </c>
      <c r="M34" s="10">
        <v>1</v>
      </c>
      <c r="N34" s="10"/>
    </row>
    <row r="35" spans="1:14" x14ac:dyDescent="0.2">
      <c r="A35">
        <f t="shared" si="0"/>
        <v>34</v>
      </c>
      <c r="B35" t="s">
        <v>2040</v>
      </c>
      <c r="C35">
        <v>3</v>
      </c>
      <c r="D35">
        <v>33</v>
      </c>
      <c r="E35" s="2" t="str">
        <f>VLOOKUP( T_Aop[[#This Row],[Id]], T_Aop[], ID_Jezik + 9, 1)</f>
        <v>100 do 109</v>
      </c>
      <c r="F35" t="str">
        <f>REPT( "  ", T_Aop[[#This Row],[Aop nivo]]) &amp; VLOOKUP( T_Aop[[#This Row],[Id]], T_Aop[], ID_Jezik + 6, 1)</f>
        <v xml:space="preserve">      1. Zalihe materijala</v>
      </c>
      <c r="G35" t="s">
        <v>320</v>
      </c>
      <c r="H35" t="s">
        <v>914</v>
      </c>
      <c r="I35" t="s">
        <v>915</v>
      </c>
      <c r="J35" s="275" t="s">
        <v>319</v>
      </c>
      <c r="K35" s="275" t="s">
        <v>1695</v>
      </c>
      <c r="L35" s="275" t="s">
        <v>223</v>
      </c>
      <c r="M35" s="10"/>
      <c r="N35" s="10"/>
    </row>
    <row r="36" spans="1:14" x14ac:dyDescent="0.2">
      <c r="A36">
        <f t="shared" si="0"/>
        <v>35</v>
      </c>
      <c r="B36" t="s">
        <v>2040</v>
      </c>
      <c r="C36">
        <v>3</v>
      </c>
      <c r="D36">
        <v>34</v>
      </c>
      <c r="E36" s="2" t="str">
        <f>VLOOKUP( T_Aop[[#This Row],[Id]], T_Aop[], ID_Jezik + 9, 1)</f>
        <v>110 do 119</v>
      </c>
      <c r="F36" t="str">
        <f>REPT( "  ", T_Aop[[#This Row],[Aop nivo]]) &amp; VLOOKUP( T_Aop[[#This Row],[Id]], T_Aop[], ID_Jezik + 6, 1)</f>
        <v xml:space="preserve">      2. Zalihe nedovršene proizvodnje, poluproizvoda i nedovršenih usluga</v>
      </c>
      <c r="G36" t="s">
        <v>321</v>
      </c>
      <c r="H36" t="s">
        <v>916</v>
      </c>
      <c r="I36" t="s">
        <v>917</v>
      </c>
      <c r="J36" s="275" t="s">
        <v>1696</v>
      </c>
      <c r="K36" s="275" t="s">
        <v>1697</v>
      </c>
      <c r="L36" s="275" t="s">
        <v>1698</v>
      </c>
      <c r="M36" s="10"/>
      <c r="N36" s="10"/>
    </row>
    <row r="37" spans="1:14" x14ac:dyDescent="0.2">
      <c r="A37">
        <f t="shared" si="0"/>
        <v>36</v>
      </c>
      <c r="B37" t="s">
        <v>2040</v>
      </c>
      <c r="C37">
        <v>3</v>
      </c>
      <c r="D37">
        <v>35</v>
      </c>
      <c r="E37" s="2" t="str">
        <f>VLOOKUP( T_Aop[[#This Row],[Id]], T_Aop[], ID_Jezik + 9, 1)</f>
        <v>120 do 129</v>
      </c>
      <c r="F37" t="str">
        <f>REPT( "  ", T_Aop[[#This Row],[Aop nivo]]) &amp; VLOOKUP( T_Aop[[#This Row],[Id]], T_Aop[], ID_Jezik + 6, 1)</f>
        <v xml:space="preserve">      3. Zalihe gotovih proizvoda</v>
      </c>
      <c r="G37" t="s">
        <v>322</v>
      </c>
      <c r="H37" t="s">
        <v>918</v>
      </c>
      <c r="I37" t="s">
        <v>919</v>
      </c>
      <c r="J37" s="275" t="s">
        <v>1699</v>
      </c>
      <c r="K37" s="275" t="s">
        <v>1700</v>
      </c>
      <c r="L37" s="275" t="s">
        <v>1701</v>
      </c>
      <c r="M37" s="10"/>
      <c r="N37" s="10"/>
    </row>
    <row r="38" spans="1:14" x14ac:dyDescent="0.2">
      <c r="A38">
        <f t="shared" si="0"/>
        <v>37</v>
      </c>
      <c r="B38" t="s">
        <v>2040</v>
      </c>
      <c r="C38">
        <v>3</v>
      </c>
      <c r="D38">
        <v>36</v>
      </c>
      <c r="E38" s="2" t="str">
        <f>VLOOKUP( T_Aop[[#This Row],[Id]], T_Aop[], ID_Jezik + 9, 1)</f>
        <v>130 do 139</v>
      </c>
      <c r="F38" t="str">
        <f>REPT( "  ", T_Aop[[#This Row],[Aop nivo]]) &amp; VLOOKUP( T_Aop[[#This Row],[Id]], T_Aop[], ID_Jezik + 6, 1)</f>
        <v xml:space="preserve">      4. Zalihe robe</v>
      </c>
      <c r="G38" t="s">
        <v>324</v>
      </c>
      <c r="H38" t="s">
        <v>920</v>
      </c>
      <c r="I38" t="s">
        <v>921</v>
      </c>
      <c r="J38" s="275" t="s">
        <v>323</v>
      </c>
      <c r="K38" s="275" t="s">
        <v>1702</v>
      </c>
      <c r="L38" s="275" t="s">
        <v>224</v>
      </c>
      <c r="M38" s="10"/>
      <c r="N38" s="10"/>
    </row>
    <row r="39" spans="1:14" x14ac:dyDescent="0.2">
      <c r="A39">
        <f t="shared" si="0"/>
        <v>38</v>
      </c>
      <c r="B39" t="s">
        <v>2040</v>
      </c>
      <c r="C39">
        <v>3</v>
      </c>
      <c r="D39">
        <v>37</v>
      </c>
      <c r="E39" s="2" t="str">
        <f>VLOOKUP( T_Aop[[#This Row],[Id]], T_Aop[], ID_Jezik + 9, 1)</f>
        <v>140 do 149</v>
      </c>
      <c r="F39" t="str">
        <f>REPT( "  ", T_Aop[[#This Row],[Aop nivo]]) &amp; VLOOKUP( T_Aop[[#This Row],[Id]], T_Aop[], ID_Jezik + 6, 1)</f>
        <v xml:space="preserve">      5. Stalna sredstva i sredstva obustavljenog poslovanja namijenjena prodaji</v>
      </c>
      <c r="G39" t="s">
        <v>326</v>
      </c>
      <c r="H39" t="s">
        <v>922</v>
      </c>
      <c r="I39" t="s">
        <v>923</v>
      </c>
      <c r="J39" s="275" t="s">
        <v>325</v>
      </c>
      <c r="K39" s="275" t="s">
        <v>1703</v>
      </c>
      <c r="L39" s="275" t="s">
        <v>225</v>
      </c>
      <c r="M39" s="10"/>
      <c r="N39" s="10"/>
    </row>
    <row r="40" spans="1:14" x14ac:dyDescent="0.2">
      <c r="A40">
        <f t="shared" si="0"/>
        <v>39</v>
      </c>
      <c r="B40" t="s">
        <v>2040</v>
      </c>
      <c r="C40">
        <v>3</v>
      </c>
      <c r="D40">
        <v>38</v>
      </c>
      <c r="E40" s="2" t="str">
        <f>VLOOKUP( T_Aop[[#This Row],[Id]], T_Aop[], ID_Jezik + 9, 1)</f>
        <v>150 do 159</v>
      </c>
      <c r="F40" t="str">
        <f>REPT( "  ", T_Aop[[#This Row],[Aop nivo]]) &amp; VLOOKUP( T_Aop[[#This Row],[Id]], T_Aop[], ID_Jezik + 6, 1)</f>
        <v xml:space="preserve">      6. Dati avansi</v>
      </c>
      <c r="G40" t="s">
        <v>276</v>
      </c>
      <c r="H40" t="s">
        <v>924</v>
      </c>
      <c r="I40" t="s">
        <v>925</v>
      </c>
      <c r="J40" s="275" t="s">
        <v>327</v>
      </c>
      <c r="K40" s="275" t="s">
        <v>1704</v>
      </c>
      <c r="L40" s="275" t="s">
        <v>226</v>
      </c>
      <c r="M40" s="10"/>
      <c r="N40" s="10"/>
    </row>
    <row r="41" spans="1:14" x14ac:dyDescent="0.2">
      <c r="A41">
        <f t="shared" si="0"/>
        <v>40</v>
      </c>
      <c r="B41" t="s">
        <v>2040</v>
      </c>
      <c r="C41">
        <v>2</v>
      </c>
      <c r="D41">
        <v>39</v>
      </c>
      <c r="E41" s="2">
        <f>VLOOKUP( T_Aop[[#This Row],[Id]], T_Aop[], ID_Jezik + 9, 1)</f>
        <v>0</v>
      </c>
      <c r="F41" t="str">
        <f>REPT( "  ", T_Aop[[#This Row],[Aop nivo]]) &amp; VLOOKUP( T_Aop[[#This Row],[Id]], T_Aop[], ID_Jezik + 6, 1)</f>
        <v xml:space="preserve">    II - KRATKOROČNA POTRAŽIVANJA, KRATKOROČNI PLASMANI I GOTOVINA (040 + 047 + 056 + 059 + 060)</v>
      </c>
      <c r="G41" t="s">
        <v>926</v>
      </c>
      <c r="H41" t="s">
        <v>927</v>
      </c>
      <c r="I41" t="s">
        <v>928</v>
      </c>
      <c r="J41" s="275"/>
      <c r="K41" s="275"/>
      <c r="L41" s="275"/>
      <c r="M41" s="10">
        <v>1</v>
      </c>
      <c r="N41" s="10"/>
    </row>
    <row r="42" spans="1:14" x14ac:dyDescent="0.2">
      <c r="A42">
        <f t="shared" si="0"/>
        <v>41</v>
      </c>
      <c r="B42" t="s">
        <v>2040</v>
      </c>
      <c r="C42">
        <v>3</v>
      </c>
      <c r="D42">
        <v>40</v>
      </c>
      <c r="E42" s="2" t="str">
        <f>VLOOKUP( T_Aop[[#This Row],[Id]], T_Aop[], ID_Jezik + 9, 1)</f>
        <v>20, 21, 22</v>
      </c>
      <c r="F42" t="str">
        <f>REPT( "  ", T_Aop[[#This Row],[Aop nivo]]) &amp; VLOOKUP( T_Aop[[#This Row],[Id]], T_Aop[], ID_Jezik + 6, 1)</f>
        <v xml:space="preserve">      1. Kratkoročna potraživanja (041 do 046)</v>
      </c>
      <c r="G42" t="s">
        <v>929</v>
      </c>
      <c r="H42" t="s">
        <v>930</v>
      </c>
      <c r="I42" t="s">
        <v>931</v>
      </c>
      <c r="J42" s="275" t="s">
        <v>328</v>
      </c>
      <c r="K42" s="275" t="s">
        <v>328</v>
      </c>
      <c r="L42" s="275" t="s">
        <v>328</v>
      </c>
      <c r="M42" s="10"/>
      <c r="N42" s="10"/>
    </row>
    <row r="43" spans="1:14" x14ac:dyDescent="0.2">
      <c r="A43">
        <f t="shared" si="0"/>
        <v>42</v>
      </c>
      <c r="B43" t="s">
        <v>2040</v>
      </c>
      <c r="C43">
        <v>4</v>
      </c>
      <c r="D43">
        <v>41</v>
      </c>
      <c r="E43" s="2" t="str">
        <f>VLOOKUP( T_Aop[[#This Row],[Id]], T_Aop[], ID_Jezik + 9, 1)</f>
        <v>200, dio 209</v>
      </c>
      <c r="F43" t="str">
        <f>REPT( "  ", T_Aop[[#This Row],[Aop nivo]]) &amp; VLOOKUP( T_Aop[[#This Row],[Id]], T_Aop[], ID_Jezik + 6, 1)</f>
        <v xml:space="preserve">        a) Kupci - povezana pravna lica</v>
      </c>
      <c r="G43" t="s">
        <v>932</v>
      </c>
      <c r="H43" t="s">
        <v>933</v>
      </c>
      <c r="I43" t="s">
        <v>934</v>
      </c>
      <c r="J43" s="275" t="s">
        <v>329</v>
      </c>
      <c r="K43" s="275" t="s">
        <v>1705</v>
      </c>
      <c r="L43" s="275" t="s">
        <v>66</v>
      </c>
      <c r="M43" s="10"/>
      <c r="N43" s="10"/>
    </row>
    <row r="44" spans="1:14" ht="25.5" x14ac:dyDescent="0.2">
      <c r="A44">
        <f t="shared" si="0"/>
        <v>43</v>
      </c>
      <c r="B44" t="s">
        <v>2040</v>
      </c>
      <c r="C44">
        <v>4</v>
      </c>
      <c r="D44">
        <v>42</v>
      </c>
      <c r="E44" s="2" t="str">
        <f>VLOOKUP( T_Aop[[#This Row],[Id]], T_Aop[], ID_Jezik + 9, 1)</f>
        <v>201, 202, 203, dio 209</v>
      </c>
      <c r="F44" t="str">
        <f>REPT( "  ", T_Aop[[#This Row],[Aop nivo]]) &amp; VLOOKUP( T_Aop[[#This Row],[Id]], T_Aop[], ID_Jezik + 6, 1)</f>
        <v xml:space="preserve">        b) Kupci u zemlji</v>
      </c>
      <c r="G44" t="s">
        <v>330</v>
      </c>
      <c r="H44" t="s">
        <v>935</v>
      </c>
      <c r="I44" t="s">
        <v>60</v>
      </c>
      <c r="J44" s="275" t="s">
        <v>1706</v>
      </c>
      <c r="K44" s="275" t="s">
        <v>1707</v>
      </c>
      <c r="L44" s="275" t="s">
        <v>1708</v>
      </c>
      <c r="M44" s="10"/>
      <c r="N44" s="10"/>
    </row>
    <row r="45" spans="1:14" x14ac:dyDescent="0.2">
      <c r="A45">
        <f t="shared" si="0"/>
        <v>44</v>
      </c>
      <c r="B45" t="s">
        <v>2040</v>
      </c>
      <c r="C45">
        <v>4</v>
      </c>
      <c r="D45">
        <v>43</v>
      </c>
      <c r="E45" s="2" t="str">
        <f>VLOOKUP( T_Aop[[#This Row],[Id]], T_Aop[], ID_Jezik + 9, 1)</f>
        <v>204, dio 209</v>
      </c>
      <c r="F45" t="str">
        <f>REPT( "  ", T_Aop[[#This Row],[Aop nivo]]) &amp; VLOOKUP( T_Aop[[#This Row],[Id]], T_Aop[], ID_Jezik + 6, 1)</f>
        <v xml:space="preserve">        v) Kupci iz inostranstva</v>
      </c>
      <c r="G45" t="s">
        <v>936</v>
      </c>
      <c r="H45" t="s">
        <v>937</v>
      </c>
      <c r="I45" t="s">
        <v>938</v>
      </c>
      <c r="J45" s="275" t="s">
        <v>1709</v>
      </c>
      <c r="K45" s="275" t="s">
        <v>1710</v>
      </c>
      <c r="L45" s="275" t="s">
        <v>1711</v>
      </c>
      <c r="M45" s="10"/>
      <c r="N45" s="10"/>
    </row>
    <row r="46" spans="1:14" x14ac:dyDescent="0.2">
      <c r="A46">
        <f t="shared" si="0"/>
        <v>45</v>
      </c>
      <c r="B46" t="s">
        <v>2040</v>
      </c>
      <c r="C46">
        <v>4</v>
      </c>
      <c r="D46">
        <v>44</v>
      </c>
      <c r="E46" s="2" t="str">
        <f>VLOOKUP( T_Aop[[#This Row],[Id]], T_Aop[], ID_Jezik + 9, 1)</f>
        <v>208, dio 209</v>
      </c>
      <c r="F46" t="str">
        <f>REPT( "  ", T_Aop[[#This Row],[Aop nivo]]) &amp; VLOOKUP( T_Aop[[#This Row],[Id]], T_Aop[], ID_Jezik + 6, 1)</f>
        <v xml:space="preserve">        g) Sumnjiva i sporna potraživanja</v>
      </c>
      <c r="G46" t="s">
        <v>939</v>
      </c>
      <c r="H46" t="s">
        <v>940</v>
      </c>
      <c r="I46" t="s">
        <v>941</v>
      </c>
      <c r="J46" s="275" t="s">
        <v>1712</v>
      </c>
      <c r="K46" s="275" t="s">
        <v>1713</v>
      </c>
      <c r="L46" s="275" t="s">
        <v>1714</v>
      </c>
      <c r="M46" s="10"/>
      <c r="N46" s="10"/>
    </row>
    <row r="47" spans="1:14" x14ac:dyDescent="0.2">
      <c r="A47">
        <f t="shared" si="0"/>
        <v>46</v>
      </c>
      <c r="B47" t="s">
        <v>2040</v>
      </c>
      <c r="C47">
        <v>4</v>
      </c>
      <c r="D47">
        <v>45</v>
      </c>
      <c r="E47" s="2" t="str">
        <f>VLOOKUP( T_Aop[[#This Row],[Id]], T_Aop[], ID_Jezik + 9, 1)</f>
        <v>210 do 219</v>
      </c>
      <c r="F47" t="str">
        <f>REPT( "  ", T_Aop[[#This Row],[Aop nivo]]) &amp; VLOOKUP( T_Aop[[#This Row],[Id]], T_Aop[], ID_Jezik + 6, 1)</f>
        <v xml:space="preserve">        d) Potraživanja iz specifičnih poslova</v>
      </c>
      <c r="G47" t="s">
        <v>942</v>
      </c>
      <c r="H47" t="s">
        <v>943</v>
      </c>
      <c r="I47" t="s">
        <v>944</v>
      </c>
      <c r="J47" s="275" t="s">
        <v>331</v>
      </c>
      <c r="K47" s="275" t="s">
        <v>1715</v>
      </c>
      <c r="L47" s="275" t="s">
        <v>77</v>
      </c>
      <c r="M47" s="10"/>
      <c r="N47" s="10"/>
    </row>
    <row r="48" spans="1:14" x14ac:dyDescent="0.2">
      <c r="A48">
        <f t="shared" si="0"/>
        <v>47</v>
      </c>
      <c r="B48" t="s">
        <v>2040</v>
      </c>
      <c r="C48">
        <v>4</v>
      </c>
      <c r="D48">
        <v>46</v>
      </c>
      <c r="E48" s="2" t="str">
        <f>VLOOKUP( T_Aop[[#This Row],[Id]], T_Aop[], ID_Jezik + 9, 1)</f>
        <v>220 do 229</v>
      </c>
      <c r="F48" t="str">
        <f>REPT( "  ", T_Aop[[#This Row],[Aop nivo]]) &amp; VLOOKUP( T_Aop[[#This Row],[Id]], T_Aop[], ID_Jezik + 6, 1)</f>
        <v xml:space="preserve">        đ) Druga kratkoročna potraživanja</v>
      </c>
      <c r="G48" t="s">
        <v>945</v>
      </c>
      <c r="H48" t="s">
        <v>946</v>
      </c>
      <c r="I48" t="s">
        <v>947</v>
      </c>
      <c r="J48" s="275" t="s">
        <v>332</v>
      </c>
      <c r="K48" s="275" t="s">
        <v>1716</v>
      </c>
      <c r="L48" s="275" t="s">
        <v>78</v>
      </c>
      <c r="M48" s="10"/>
      <c r="N48" s="10"/>
    </row>
    <row r="49" spans="1:14" x14ac:dyDescent="0.2">
      <c r="A49">
        <f t="shared" si="0"/>
        <v>48</v>
      </c>
      <c r="B49" t="s">
        <v>2040</v>
      </c>
      <c r="C49">
        <v>3</v>
      </c>
      <c r="D49">
        <v>47</v>
      </c>
      <c r="E49" s="2">
        <f>VLOOKUP( T_Aop[[#This Row],[Id]], T_Aop[], ID_Jezik + 9, 1)</f>
        <v>23</v>
      </c>
      <c r="F49" t="str">
        <f>REPT( "  ", T_Aop[[#This Row],[Aop nivo]]) &amp; VLOOKUP( T_Aop[[#This Row],[Id]], T_Aop[], ID_Jezik + 6, 1)</f>
        <v xml:space="preserve">      2. Kratkoročni finansijski plasmani (048 do 055)</v>
      </c>
      <c r="G49" t="s">
        <v>948</v>
      </c>
      <c r="H49" t="s">
        <v>949</v>
      </c>
      <c r="I49" t="s">
        <v>950</v>
      </c>
      <c r="J49" s="275">
        <v>23</v>
      </c>
      <c r="K49" s="275">
        <v>23</v>
      </c>
      <c r="L49" s="275">
        <v>23</v>
      </c>
      <c r="M49" s="10"/>
      <c r="N49" s="10"/>
    </row>
    <row r="50" spans="1:14" x14ac:dyDescent="0.2">
      <c r="A50">
        <f t="shared" si="0"/>
        <v>49</v>
      </c>
      <c r="B50" t="s">
        <v>2040</v>
      </c>
      <c r="C50">
        <v>4</v>
      </c>
      <c r="D50">
        <v>48</v>
      </c>
      <c r="E50" s="2" t="str">
        <f>VLOOKUP( T_Aop[[#This Row],[Id]], T_Aop[], ID_Jezik + 9, 1)</f>
        <v>230, dio 239</v>
      </c>
      <c r="F50" t="str">
        <f>REPT( "  ", T_Aop[[#This Row],[Aop nivo]]) &amp; VLOOKUP( T_Aop[[#This Row],[Id]], T_Aop[], ID_Jezik + 6, 1)</f>
        <v xml:space="preserve">        a) Kratkoročni krediti povezanim pravnim licima</v>
      </c>
      <c r="G50" t="s">
        <v>341</v>
      </c>
      <c r="H50" t="s">
        <v>951</v>
      </c>
      <c r="I50" t="s">
        <v>227</v>
      </c>
      <c r="J50" s="275" t="s">
        <v>333</v>
      </c>
      <c r="K50" s="275" t="s">
        <v>1717</v>
      </c>
      <c r="L50" s="275" t="s">
        <v>67</v>
      </c>
      <c r="M50" s="10"/>
      <c r="N50" s="10"/>
    </row>
    <row r="51" spans="1:14" x14ac:dyDescent="0.2">
      <c r="A51">
        <f t="shared" si="0"/>
        <v>50</v>
      </c>
      <c r="B51" t="s">
        <v>2040</v>
      </c>
      <c r="C51">
        <v>4</v>
      </c>
      <c r="D51">
        <v>49</v>
      </c>
      <c r="E51" s="2" t="str">
        <f>VLOOKUP( T_Aop[[#This Row],[Id]], T_Aop[], ID_Jezik + 9, 1)</f>
        <v>231, dio 239</v>
      </c>
      <c r="F51" t="str">
        <f>REPT( "  ", T_Aop[[#This Row],[Aop nivo]]) &amp; VLOOKUP( T_Aop[[#This Row],[Id]], T_Aop[], ID_Jezik + 6, 1)</f>
        <v xml:space="preserve">        b) Kratkoročni krediti u zemlji</v>
      </c>
      <c r="G51" t="s">
        <v>342</v>
      </c>
      <c r="H51" t="s">
        <v>952</v>
      </c>
      <c r="I51" t="s">
        <v>228</v>
      </c>
      <c r="J51" s="275" t="s">
        <v>334</v>
      </c>
      <c r="K51" s="275" t="s">
        <v>1718</v>
      </c>
      <c r="L51" s="275" t="s">
        <v>68</v>
      </c>
      <c r="M51" s="10"/>
      <c r="N51" s="10"/>
    </row>
    <row r="52" spans="1:14" x14ac:dyDescent="0.2">
      <c r="A52">
        <f t="shared" si="0"/>
        <v>51</v>
      </c>
      <c r="B52" t="s">
        <v>2040</v>
      </c>
      <c r="C52">
        <v>4</v>
      </c>
      <c r="D52">
        <v>50</v>
      </c>
      <c r="E52" s="2" t="str">
        <f>VLOOKUP( T_Aop[[#This Row],[Id]], T_Aop[], ID_Jezik + 9, 1)</f>
        <v>232, dio 239</v>
      </c>
      <c r="F52" t="str">
        <f>REPT( "  ", T_Aop[[#This Row],[Aop nivo]]) &amp; VLOOKUP( T_Aop[[#This Row],[Id]], T_Aop[], ID_Jezik + 6, 1)</f>
        <v xml:space="preserve">        v) Kratkoročni krediti u inostranstvu</v>
      </c>
      <c r="G52" t="s">
        <v>343</v>
      </c>
      <c r="H52" t="s">
        <v>953</v>
      </c>
      <c r="I52" t="s">
        <v>954</v>
      </c>
      <c r="J52" s="275" t="s">
        <v>335</v>
      </c>
      <c r="K52" s="275" t="s">
        <v>1719</v>
      </c>
      <c r="L52" s="275" t="s">
        <v>69</v>
      </c>
      <c r="M52" s="10"/>
      <c r="N52" s="10"/>
    </row>
    <row r="53" spans="1:14" x14ac:dyDescent="0.2">
      <c r="A53">
        <f t="shared" si="0"/>
        <v>52</v>
      </c>
      <c r="B53" t="s">
        <v>2040</v>
      </c>
      <c r="C53">
        <v>4</v>
      </c>
      <c r="D53">
        <v>51</v>
      </c>
      <c r="E53" s="2" t="str">
        <f>VLOOKUP( T_Aop[[#This Row],[Id]], T_Aop[], ID_Jezik + 9, 1)</f>
        <v>233, 234, dio 239</v>
      </c>
      <c r="F53" t="str">
        <f>REPT( "  ", T_Aop[[#This Row],[Aop nivo]]) &amp; VLOOKUP( T_Aop[[#This Row],[Id]], T_Aop[], ID_Jezik + 6, 1)</f>
        <v xml:space="preserve">        g) Dio dugoročnih finansijskih plasmana koji dospijeva za naplatu u periodu do godinu dana</v>
      </c>
      <c r="G53" t="s">
        <v>344</v>
      </c>
      <c r="H53" t="s">
        <v>955</v>
      </c>
      <c r="I53" t="s">
        <v>956</v>
      </c>
      <c r="J53" s="275" t="s">
        <v>1720</v>
      </c>
      <c r="K53" s="275" t="s">
        <v>1721</v>
      </c>
      <c r="L53" s="275" t="s">
        <v>1722</v>
      </c>
      <c r="M53" s="10"/>
      <c r="N53" s="10"/>
    </row>
    <row r="54" spans="1:14" x14ac:dyDescent="0.2">
      <c r="A54">
        <f t="shared" si="0"/>
        <v>53</v>
      </c>
      <c r="B54" t="s">
        <v>2040</v>
      </c>
      <c r="C54">
        <v>4</v>
      </c>
      <c r="D54">
        <v>52</v>
      </c>
      <c r="E54" s="2" t="str">
        <f>VLOOKUP( T_Aop[[#This Row],[Id]], T_Aop[], ID_Jezik + 9, 1)</f>
        <v>235, dio 239</v>
      </c>
      <c r="F54" t="str">
        <f>REPT( "  ", T_Aop[[#This Row],[Aop nivo]]) &amp; VLOOKUP( T_Aop[[#This Row],[Id]], T_Aop[], ID_Jezik + 6, 1)</f>
        <v xml:space="preserve">        d) Finansijska sredstva po fer vrijednosti kroz bilans uspjeha namijenjena trgovanju</v>
      </c>
      <c r="G54" t="s">
        <v>54</v>
      </c>
      <c r="H54" t="s">
        <v>957</v>
      </c>
      <c r="I54" t="s">
        <v>958</v>
      </c>
      <c r="J54" s="275" t="s">
        <v>336</v>
      </c>
      <c r="K54" s="275" t="s">
        <v>1723</v>
      </c>
      <c r="L54" s="275" t="s">
        <v>70</v>
      </c>
      <c r="M54" s="10"/>
      <c r="N54" s="10"/>
    </row>
    <row r="55" spans="1:14" x14ac:dyDescent="0.2">
      <c r="A55">
        <f t="shared" si="0"/>
        <v>54</v>
      </c>
      <c r="B55" t="s">
        <v>2040</v>
      </c>
      <c r="C55">
        <v>4</v>
      </c>
      <c r="D55">
        <v>53</v>
      </c>
      <c r="E55" s="2" t="str">
        <f>VLOOKUP( T_Aop[[#This Row],[Id]], T_Aop[], ID_Jezik + 9, 1)</f>
        <v>236, dio 239</v>
      </c>
      <c r="F55" t="str">
        <f>REPT( "  ", T_Aop[[#This Row],[Aop nivo]]) &amp; VLOOKUP( T_Aop[[#This Row],[Id]], T_Aop[], ID_Jezik + 6, 1)</f>
        <v xml:space="preserve">        đ) Finansijska sredstva označena po fer vrijednosti kroz bilans uspjeha</v>
      </c>
      <c r="G55" t="s">
        <v>345</v>
      </c>
      <c r="H55" t="s">
        <v>959</v>
      </c>
      <c r="I55" t="s">
        <v>960</v>
      </c>
      <c r="J55" s="275" t="s">
        <v>337</v>
      </c>
      <c r="K55" s="275" t="s">
        <v>1724</v>
      </c>
      <c r="L55" s="275" t="s">
        <v>71</v>
      </c>
      <c r="M55" s="10"/>
      <c r="N55" s="10"/>
    </row>
    <row r="56" spans="1:14" x14ac:dyDescent="0.2">
      <c r="A56">
        <f t="shared" si="0"/>
        <v>55</v>
      </c>
      <c r="B56" t="s">
        <v>2040</v>
      </c>
      <c r="C56">
        <v>4</v>
      </c>
      <c r="D56">
        <v>54</v>
      </c>
      <c r="E56" s="2">
        <f>VLOOKUP( T_Aop[[#This Row],[Id]], T_Aop[], ID_Jezik + 9, 1)</f>
        <v>237</v>
      </c>
      <c r="F56" t="str">
        <f>REPT( "  ", T_Aop[[#This Row],[Aop nivo]]) &amp; VLOOKUP( T_Aop[[#This Row],[Id]], T_Aop[], ID_Jezik + 6, 1)</f>
        <v xml:space="preserve">        e) Otkupljene sopstvene akcije i otkupljeni sopstveni udjeli namijenjeni prodaji ili poništavanju</v>
      </c>
      <c r="G56" t="s">
        <v>961</v>
      </c>
      <c r="H56" t="s">
        <v>962</v>
      </c>
      <c r="I56" t="s">
        <v>963</v>
      </c>
      <c r="J56" s="275">
        <v>237</v>
      </c>
      <c r="K56" s="275">
        <v>237</v>
      </c>
      <c r="L56" s="275">
        <v>237</v>
      </c>
      <c r="M56" s="10"/>
      <c r="N56" s="10"/>
    </row>
    <row r="57" spans="1:14" x14ac:dyDescent="0.2">
      <c r="A57">
        <f t="shared" si="0"/>
        <v>56</v>
      </c>
      <c r="B57" t="s">
        <v>2040</v>
      </c>
      <c r="C57">
        <v>4</v>
      </c>
      <c r="D57">
        <v>55</v>
      </c>
      <c r="E57" s="2" t="str">
        <f>VLOOKUP( T_Aop[[#This Row],[Id]], T_Aop[], ID_Jezik + 9, 1)</f>
        <v>238, dio 239</v>
      </c>
      <c r="F57" t="str">
        <f>REPT( "  ", T_Aop[[#This Row],[Aop nivo]]) &amp; VLOOKUP( T_Aop[[#This Row],[Id]], T_Aop[], ID_Jezik + 6, 1)</f>
        <v xml:space="preserve">        ž) Ostali kratkoročni plasmani</v>
      </c>
      <c r="G57" t="s">
        <v>346</v>
      </c>
      <c r="H57" t="s">
        <v>964</v>
      </c>
      <c r="I57" t="s">
        <v>965</v>
      </c>
      <c r="J57" s="275" t="s">
        <v>338</v>
      </c>
      <c r="K57" s="275" t="s">
        <v>1725</v>
      </c>
      <c r="L57" s="275" t="s">
        <v>72</v>
      </c>
      <c r="M57" s="10"/>
      <c r="N57" s="10"/>
    </row>
    <row r="58" spans="1:14" x14ac:dyDescent="0.2">
      <c r="A58">
        <f t="shared" si="0"/>
        <v>57</v>
      </c>
      <c r="B58" t="s">
        <v>2040</v>
      </c>
      <c r="C58">
        <v>3</v>
      </c>
      <c r="D58">
        <v>56</v>
      </c>
      <c r="E58" s="2">
        <f>VLOOKUP( T_Aop[[#This Row],[Id]], T_Aop[], ID_Jezik + 9, 1)</f>
        <v>24</v>
      </c>
      <c r="F58" t="str">
        <f>REPT( "  ", T_Aop[[#This Row],[Aop nivo]]) &amp; VLOOKUP( T_Aop[[#This Row],[Id]], T_Aop[], ID_Jezik + 6, 1)</f>
        <v xml:space="preserve">      3. Gotovinski ekvivalenti i gotovina (057 + 058)</v>
      </c>
      <c r="G58" t="s">
        <v>966</v>
      </c>
      <c r="H58" t="s">
        <v>967</v>
      </c>
      <c r="I58" t="s">
        <v>968</v>
      </c>
      <c r="J58" s="275">
        <v>24</v>
      </c>
      <c r="K58" s="275">
        <v>24</v>
      </c>
      <c r="L58" s="275">
        <v>24</v>
      </c>
      <c r="M58" s="10"/>
      <c r="N58" s="10"/>
    </row>
    <row r="59" spans="1:14" x14ac:dyDescent="0.2">
      <c r="A59">
        <f t="shared" si="0"/>
        <v>58</v>
      </c>
      <c r="B59" t="s">
        <v>2040</v>
      </c>
      <c r="C59">
        <v>4</v>
      </c>
      <c r="D59">
        <v>57</v>
      </c>
      <c r="E59" s="2">
        <f>VLOOKUP( T_Aop[[#This Row],[Id]], T_Aop[], ID_Jezik + 9, 1)</f>
        <v>240</v>
      </c>
      <c r="F59" t="str">
        <f>REPT( "  ", T_Aop[[#This Row],[Aop nivo]]) &amp; VLOOKUP( T_Aop[[#This Row],[Id]], T_Aop[], ID_Jezik + 6, 1)</f>
        <v xml:space="preserve">        a) Gotovinski ekvivalenti - hartije od vrijednosti</v>
      </c>
      <c r="G59" t="s">
        <v>351</v>
      </c>
      <c r="H59" t="s">
        <v>969</v>
      </c>
      <c r="I59" t="s">
        <v>229</v>
      </c>
      <c r="J59" s="275">
        <v>240</v>
      </c>
      <c r="K59" s="275">
        <v>240</v>
      </c>
      <c r="L59" s="275">
        <v>240</v>
      </c>
      <c r="M59" s="10"/>
      <c r="N59" s="10"/>
    </row>
    <row r="60" spans="1:14" x14ac:dyDescent="0.2">
      <c r="A60">
        <f t="shared" si="0"/>
        <v>59</v>
      </c>
      <c r="B60" t="s">
        <v>2040</v>
      </c>
      <c r="C60">
        <v>4</v>
      </c>
      <c r="D60">
        <v>58</v>
      </c>
      <c r="E60" s="2" t="str">
        <f>VLOOKUP( T_Aop[[#This Row],[Id]], T_Aop[], ID_Jezik + 9, 1)</f>
        <v>241 do 249</v>
      </c>
      <c r="F60" t="str">
        <f>REPT( "  ", T_Aop[[#This Row],[Aop nivo]]) &amp; VLOOKUP( T_Aop[[#This Row],[Id]], T_Aop[], ID_Jezik + 6, 1)</f>
        <v xml:space="preserve">        b) Gotovina</v>
      </c>
      <c r="G60" t="s">
        <v>347</v>
      </c>
      <c r="H60" t="s">
        <v>970</v>
      </c>
      <c r="I60" t="s">
        <v>212</v>
      </c>
      <c r="J60" s="275" t="s">
        <v>339</v>
      </c>
      <c r="K60" s="275" t="s">
        <v>1726</v>
      </c>
      <c r="L60" s="275" t="s">
        <v>73</v>
      </c>
      <c r="M60" s="10"/>
      <c r="N60" s="10"/>
    </row>
    <row r="61" spans="1:14" x14ac:dyDescent="0.2">
      <c r="A61">
        <f t="shared" si="0"/>
        <v>60</v>
      </c>
      <c r="B61" t="s">
        <v>2040</v>
      </c>
      <c r="C61">
        <v>3</v>
      </c>
      <c r="D61">
        <v>59</v>
      </c>
      <c r="E61" s="2" t="str">
        <f>VLOOKUP( T_Aop[[#This Row],[Id]], T_Aop[], ID_Jezik + 9, 1)</f>
        <v>270 do 279</v>
      </c>
      <c r="F61" t="str">
        <f>REPT( "  ", T_Aop[[#This Row],[Aop nivo]]) &amp; VLOOKUP( T_Aop[[#This Row],[Id]], T_Aop[], ID_Jezik + 6, 1)</f>
        <v xml:space="preserve">      4. Porez na dodatu vrijednost</v>
      </c>
      <c r="G61" t="s">
        <v>348</v>
      </c>
      <c r="H61" t="s">
        <v>971</v>
      </c>
      <c r="I61" t="s">
        <v>972</v>
      </c>
      <c r="J61" s="275" t="s">
        <v>74</v>
      </c>
      <c r="K61" s="275" t="s">
        <v>1727</v>
      </c>
      <c r="L61" s="275" t="s">
        <v>75</v>
      </c>
      <c r="M61" s="10"/>
      <c r="N61" s="10"/>
    </row>
    <row r="62" spans="1:14" ht="25.5" x14ac:dyDescent="0.2">
      <c r="A62">
        <f t="shared" si="0"/>
        <v>61</v>
      </c>
      <c r="B62" t="s">
        <v>2040</v>
      </c>
      <c r="C62">
        <v>3</v>
      </c>
      <c r="D62">
        <v>60</v>
      </c>
      <c r="E62" s="2" t="str">
        <f>VLOOKUP( T_Aop[[#This Row],[Id]], T_Aop[], ID_Jezik + 9, 1)</f>
        <v>280 do 289, osim 288</v>
      </c>
      <c r="F62" t="str">
        <f>REPT( "  ", T_Aop[[#This Row],[Aop nivo]]) &amp; VLOOKUP( T_Aop[[#This Row],[Id]], T_Aop[], ID_Jezik + 6, 1)</f>
        <v xml:space="preserve">      5. Aktivna vremenska razgraničenja</v>
      </c>
      <c r="G62" t="s">
        <v>349</v>
      </c>
      <c r="H62" t="s">
        <v>973</v>
      </c>
      <c r="I62" t="s">
        <v>974</v>
      </c>
      <c r="J62" s="275" t="s">
        <v>340</v>
      </c>
      <c r="K62" s="275" t="s">
        <v>1728</v>
      </c>
      <c r="L62" s="275" t="s">
        <v>1729</v>
      </c>
      <c r="M62" s="10"/>
      <c r="N62" s="10"/>
    </row>
    <row r="63" spans="1:14" x14ac:dyDescent="0.2">
      <c r="A63">
        <f t="shared" si="0"/>
        <v>62</v>
      </c>
      <c r="B63" t="s">
        <v>2040</v>
      </c>
      <c r="C63">
        <v>2</v>
      </c>
      <c r="D63">
        <v>61</v>
      </c>
      <c r="E63" s="2">
        <f>VLOOKUP( T_Aop[[#This Row],[Id]], T_Aop[], ID_Jezik + 9, 1)</f>
        <v>288</v>
      </c>
      <c r="F63" t="str">
        <f>REPT( "  ", T_Aop[[#This Row],[Aop nivo]]) &amp; VLOOKUP( T_Aop[[#This Row],[Id]], T_Aop[], ID_Jezik + 6, 1)</f>
        <v xml:space="preserve">    III - ODLOŽENA PORESKA SREDSTVA</v>
      </c>
      <c r="G63" t="s">
        <v>975</v>
      </c>
      <c r="H63" t="s">
        <v>976</v>
      </c>
      <c r="I63" t="s">
        <v>977</v>
      </c>
      <c r="J63" s="275">
        <v>288</v>
      </c>
      <c r="K63" s="275">
        <v>288</v>
      </c>
      <c r="L63" s="275">
        <v>288</v>
      </c>
      <c r="M63" s="10">
        <v>1</v>
      </c>
      <c r="N63" s="10"/>
    </row>
    <row r="64" spans="1:14" x14ac:dyDescent="0.2">
      <c r="A64">
        <f t="shared" si="0"/>
        <v>63</v>
      </c>
      <c r="B64" t="s">
        <v>2040</v>
      </c>
      <c r="C64">
        <v>1</v>
      </c>
      <c r="D64">
        <v>62</v>
      </c>
      <c r="E64" s="2">
        <f>VLOOKUP( T_Aop[[#This Row],[Id]], T_Aop[], ID_Jezik + 9, 1)</f>
        <v>0</v>
      </c>
      <c r="F64" t="str">
        <f>REPT( "  ", T_Aop[[#This Row],[Aop nivo]]) &amp; VLOOKUP( T_Aop[[#This Row],[Id]], T_Aop[], ID_Jezik + 6, 1)</f>
        <v xml:space="preserve">  V. POSLOVNA SREDSTVA (001 + 031)</v>
      </c>
      <c r="G64" t="s">
        <v>978</v>
      </c>
      <c r="H64" t="s">
        <v>979</v>
      </c>
      <c r="I64" t="s">
        <v>980</v>
      </c>
      <c r="J64" s="275"/>
      <c r="K64" s="275"/>
      <c r="L64" s="275"/>
      <c r="M64" s="10">
        <v>1</v>
      </c>
      <c r="N64" s="10"/>
    </row>
    <row r="65" spans="1:14" x14ac:dyDescent="0.2">
      <c r="A65">
        <f t="shared" si="0"/>
        <v>64</v>
      </c>
      <c r="B65" t="s">
        <v>2040</v>
      </c>
      <c r="C65">
        <v>1</v>
      </c>
      <c r="D65">
        <v>63</v>
      </c>
      <c r="E65" s="2">
        <f>VLOOKUP( T_Aop[[#This Row],[Id]], T_Aop[], ID_Jezik + 9, 1)</f>
        <v>29</v>
      </c>
      <c r="F65" t="str">
        <f>REPT( "  ", T_Aop[[#This Row],[Aop nivo]]) &amp; VLOOKUP( T_Aop[[#This Row],[Id]], T_Aop[], ID_Jezik + 6, 1)</f>
        <v xml:space="preserve">  G. GUBITAK IZNAD VISINE KAPITALA</v>
      </c>
      <c r="G65" t="s">
        <v>981</v>
      </c>
      <c r="H65" t="s">
        <v>982</v>
      </c>
      <c r="I65" t="s">
        <v>983</v>
      </c>
      <c r="J65" s="275">
        <v>29</v>
      </c>
      <c r="K65" s="275">
        <v>29</v>
      </c>
      <c r="L65" s="275">
        <v>29</v>
      </c>
      <c r="M65" s="10">
        <v>1</v>
      </c>
      <c r="N65" s="10"/>
    </row>
    <row r="66" spans="1:14" x14ac:dyDescent="0.2">
      <c r="A66">
        <f t="shared" ref="A66:A129" si="1">ROW()-ROW($A$1)</f>
        <v>65</v>
      </c>
      <c r="B66" t="s">
        <v>2040</v>
      </c>
      <c r="C66">
        <v>1</v>
      </c>
      <c r="D66">
        <v>64</v>
      </c>
      <c r="E66" s="2">
        <f>VLOOKUP( T_Aop[[#This Row],[Id]], T_Aop[], ID_Jezik + 9, 1)</f>
        <v>0</v>
      </c>
      <c r="F66" t="str">
        <f>REPT( "  ", T_Aop[[#This Row],[Aop nivo]]) &amp; VLOOKUP( T_Aop[[#This Row],[Id]], T_Aop[], ID_Jezik + 6, 1)</f>
        <v xml:space="preserve">  D. POSLOVNA AKTIVA (062 + 063)</v>
      </c>
      <c r="G66" t="s">
        <v>984</v>
      </c>
      <c r="H66" t="s">
        <v>985</v>
      </c>
      <c r="I66" t="s">
        <v>986</v>
      </c>
      <c r="J66" s="275"/>
      <c r="K66" s="275"/>
      <c r="L66" s="275"/>
      <c r="M66" s="10">
        <v>1</v>
      </c>
      <c r="N66" s="10"/>
    </row>
    <row r="67" spans="1:14" x14ac:dyDescent="0.2">
      <c r="A67">
        <f t="shared" si="1"/>
        <v>66</v>
      </c>
      <c r="B67" t="s">
        <v>2040</v>
      </c>
      <c r="C67">
        <v>1</v>
      </c>
      <c r="D67">
        <v>65</v>
      </c>
      <c r="E67" s="2" t="str">
        <f>VLOOKUP( T_Aop[[#This Row],[Id]], T_Aop[], ID_Jezik + 9, 1)</f>
        <v>880 do 888</v>
      </c>
      <c r="F67" t="str">
        <f>REPT( "  ", T_Aop[[#This Row],[Aop nivo]]) &amp; VLOOKUP( T_Aop[[#This Row],[Id]], T_Aop[], ID_Jezik + 6, 1)</f>
        <v xml:space="preserve">  Đ. VANBILANSNA AKTIVA</v>
      </c>
      <c r="G67" t="s">
        <v>987</v>
      </c>
      <c r="H67" t="s">
        <v>988</v>
      </c>
      <c r="I67" t="s">
        <v>989</v>
      </c>
      <c r="J67" s="275" t="s">
        <v>350</v>
      </c>
      <c r="K67" s="275" t="s">
        <v>1730</v>
      </c>
      <c r="L67" s="275" t="s">
        <v>76</v>
      </c>
      <c r="M67" s="10">
        <v>1</v>
      </c>
      <c r="N67" s="10"/>
    </row>
    <row r="68" spans="1:14" x14ac:dyDescent="0.2">
      <c r="A68">
        <f t="shared" si="1"/>
        <v>67</v>
      </c>
      <c r="B68" t="s">
        <v>2040</v>
      </c>
      <c r="C68">
        <v>1</v>
      </c>
      <c r="D68">
        <v>66</v>
      </c>
      <c r="E68" s="2">
        <f>VLOOKUP( T_Aop[[#This Row],[Id]], T_Aop[], ID_Jezik + 9, 1)</f>
        <v>0</v>
      </c>
      <c r="F68" s="372" t="str">
        <f>REPT( "  ", T_Aop[[#This Row],[Aop nivo]]) &amp; VLOOKUP( T_Aop[[#This Row],[Id]], T_Aop[], ID_Jezik + 6, 1)</f>
        <v xml:space="preserve">  E. UKUPNA AKTIVA (064 + 065)</v>
      </c>
      <c r="G68" t="s">
        <v>990</v>
      </c>
      <c r="H68" t="s">
        <v>991</v>
      </c>
      <c r="I68" t="s">
        <v>992</v>
      </c>
      <c r="J68" s="275"/>
      <c r="K68" s="275"/>
      <c r="L68" s="275"/>
      <c r="M68" s="10">
        <v>1</v>
      </c>
      <c r="N68" s="10"/>
    </row>
    <row r="69" spans="1:14" x14ac:dyDescent="0.2">
      <c r="A69">
        <f t="shared" si="1"/>
        <v>68</v>
      </c>
      <c r="B69" t="s">
        <v>2039</v>
      </c>
      <c r="C69">
        <v>0</v>
      </c>
      <c r="E69" s="2">
        <f>VLOOKUP( T_Aop[[#This Row],[Id]], T_Aop[], ID_Jezik + 9, 1)</f>
        <v>0</v>
      </c>
      <c r="F69" t="str">
        <f>REPT( "  ", T_Aop[[#This Row],[Aop nivo]]) &amp; VLOOKUP( T_Aop[[#This Row],[Id]], T_Aop[], ID_Jezik + 6, 1)</f>
        <v>PASIVA</v>
      </c>
      <c r="G69" t="s">
        <v>284</v>
      </c>
      <c r="H69" t="s">
        <v>993</v>
      </c>
      <c r="I69" t="s">
        <v>292</v>
      </c>
      <c r="J69" s="275"/>
      <c r="K69" s="275"/>
      <c r="L69" s="275"/>
      <c r="M69" s="10">
        <v>1</v>
      </c>
      <c r="N69" s="10"/>
    </row>
    <row r="70" spans="1:14" x14ac:dyDescent="0.2">
      <c r="A70">
        <f t="shared" si="1"/>
        <v>69</v>
      </c>
      <c r="B70" t="s">
        <v>2039</v>
      </c>
      <c r="C70">
        <v>1</v>
      </c>
      <c r="D70">
        <v>101</v>
      </c>
      <c r="E70" s="2">
        <f>VLOOKUP( T_Aop[[#This Row],[Id]], T_Aop[], ID_Jezik + 9, 1)</f>
        <v>0</v>
      </c>
      <c r="F70" t="str">
        <f>REPT( "  ", T_Aop[[#This Row],[Aop nivo]]) &amp; VLOOKUP( T_Aop[[#This Row],[Id]], T_Aop[], ID_Jezik + 6, 1)</f>
        <v xml:space="preserve">  A. KAPITAL (102 - 109 + 110 - 111 + 112 + 116 + 117 - 118 + 119 - 123)</v>
      </c>
      <c r="G70" t="s">
        <v>1959</v>
      </c>
      <c r="H70" t="s">
        <v>1960</v>
      </c>
      <c r="I70" t="s">
        <v>1961</v>
      </c>
      <c r="J70" s="275"/>
      <c r="K70" s="275"/>
      <c r="L70" s="275"/>
      <c r="M70" s="10">
        <v>1</v>
      </c>
      <c r="N70" s="10"/>
    </row>
    <row r="71" spans="1:14" x14ac:dyDescent="0.2">
      <c r="A71">
        <f t="shared" si="1"/>
        <v>70</v>
      </c>
      <c r="B71" t="s">
        <v>2039</v>
      </c>
      <c r="C71">
        <v>2</v>
      </c>
      <c r="D71">
        <v>102</v>
      </c>
      <c r="E71" s="2">
        <f>VLOOKUP( T_Aop[[#This Row],[Id]], T_Aop[], ID_Jezik + 9, 1)</f>
        <v>30</v>
      </c>
      <c r="F71" t="str">
        <f>REPT( "  ", T_Aop[[#This Row],[Aop nivo]]) &amp; VLOOKUP( T_Aop[[#This Row],[Id]], T_Aop[], ID_Jezik + 6, 1)</f>
        <v xml:space="preserve">    I - OSNOVNI KAPITAL (103 do 108)</v>
      </c>
      <c r="G71" t="s">
        <v>994</v>
      </c>
      <c r="H71" t="s">
        <v>995</v>
      </c>
      <c r="I71" t="s">
        <v>996</v>
      </c>
      <c r="J71" s="275">
        <v>30</v>
      </c>
      <c r="K71" s="275">
        <v>30</v>
      </c>
      <c r="L71" s="275">
        <v>30</v>
      </c>
      <c r="M71" s="10">
        <v>1</v>
      </c>
      <c r="N71" s="10"/>
    </row>
    <row r="72" spans="1:14" x14ac:dyDescent="0.2">
      <c r="A72">
        <f t="shared" si="1"/>
        <v>71</v>
      </c>
      <c r="B72" t="s">
        <v>2039</v>
      </c>
      <c r="C72">
        <v>3</v>
      </c>
      <c r="D72">
        <v>103</v>
      </c>
      <c r="E72" s="2">
        <f>VLOOKUP( T_Aop[[#This Row],[Id]], T_Aop[], ID_Jezik + 9, 1)</f>
        <v>300</v>
      </c>
      <c r="F72" t="str">
        <f>REPT( "  ", T_Aop[[#This Row],[Aop nivo]]) &amp; VLOOKUP( T_Aop[[#This Row],[Id]], T_Aop[], ID_Jezik + 6, 1)</f>
        <v xml:space="preserve">      1. Akcijski kapital</v>
      </c>
      <c r="G72" t="s">
        <v>352</v>
      </c>
      <c r="H72" t="s">
        <v>997</v>
      </c>
      <c r="I72" t="s">
        <v>998</v>
      </c>
      <c r="J72" s="275">
        <v>300</v>
      </c>
      <c r="K72" s="275">
        <v>300</v>
      </c>
      <c r="L72" s="275">
        <v>300</v>
      </c>
      <c r="M72" s="10"/>
      <c r="N72" s="10"/>
    </row>
    <row r="73" spans="1:14" x14ac:dyDescent="0.2">
      <c r="A73">
        <f t="shared" si="1"/>
        <v>72</v>
      </c>
      <c r="B73" t="s">
        <v>2039</v>
      </c>
      <c r="C73">
        <v>3</v>
      </c>
      <c r="D73">
        <v>104</v>
      </c>
      <c r="E73" s="2">
        <f>VLOOKUP( T_Aop[[#This Row],[Id]], T_Aop[], ID_Jezik + 9, 1)</f>
        <v>302</v>
      </c>
      <c r="F73" t="str">
        <f>REPT( "  ", T_Aop[[#This Row],[Aop nivo]]) &amp; VLOOKUP( T_Aop[[#This Row],[Id]], T_Aop[], ID_Jezik + 6, 1)</f>
        <v xml:space="preserve">      2. Udjeli društva sa ograničenom odgovornošću</v>
      </c>
      <c r="G73" t="s">
        <v>375</v>
      </c>
      <c r="H73" t="s">
        <v>999</v>
      </c>
      <c r="I73" t="s">
        <v>1000</v>
      </c>
      <c r="J73" s="275">
        <v>302</v>
      </c>
      <c r="K73" s="275">
        <v>302</v>
      </c>
      <c r="L73" s="275">
        <v>302</v>
      </c>
      <c r="M73" s="10"/>
      <c r="N73" s="10"/>
    </row>
    <row r="74" spans="1:14" x14ac:dyDescent="0.2">
      <c r="A74">
        <f t="shared" si="1"/>
        <v>73</v>
      </c>
      <c r="B74" t="s">
        <v>2039</v>
      </c>
      <c r="C74">
        <v>3</v>
      </c>
      <c r="D74">
        <v>105</v>
      </c>
      <c r="E74" s="2">
        <f>VLOOKUP( T_Aop[[#This Row],[Id]], T_Aop[], ID_Jezik + 9, 1)</f>
        <v>303</v>
      </c>
      <c r="F74" t="str">
        <f>REPT( "  ", T_Aop[[#This Row],[Aop nivo]]) &amp; VLOOKUP( T_Aop[[#This Row],[Id]], T_Aop[], ID_Jezik + 6, 1)</f>
        <v xml:space="preserve">      3. Zadružni udjeli</v>
      </c>
      <c r="G74" t="s">
        <v>353</v>
      </c>
      <c r="H74" t="s">
        <v>1001</v>
      </c>
      <c r="I74" t="s">
        <v>1002</v>
      </c>
      <c r="J74" s="275">
        <v>303</v>
      </c>
      <c r="K74" s="275">
        <v>303</v>
      </c>
      <c r="L74" s="275">
        <v>303</v>
      </c>
      <c r="M74" s="10"/>
      <c r="N74" s="10"/>
    </row>
    <row r="75" spans="1:14" x14ac:dyDescent="0.2">
      <c r="A75">
        <f t="shared" si="1"/>
        <v>74</v>
      </c>
      <c r="B75" t="s">
        <v>2039</v>
      </c>
      <c r="C75">
        <v>3</v>
      </c>
      <c r="D75">
        <v>106</v>
      </c>
      <c r="E75" s="2">
        <f>VLOOKUP( T_Aop[[#This Row],[Id]], T_Aop[], ID_Jezik + 9, 1)</f>
        <v>304</v>
      </c>
      <c r="F75" t="str">
        <f>REPT( "  ", T_Aop[[#This Row],[Aop nivo]]) &amp; VLOOKUP( T_Aop[[#This Row],[Id]], T_Aop[], ID_Jezik + 6, 1)</f>
        <v xml:space="preserve">      4. Ulozi</v>
      </c>
      <c r="G75" t="s">
        <v>277</v>
      </c>
      <c r="H75" t="s">
        <v>1003</v>
      </c>
      <c r="I75" t="s">
        <v>1004</v>
      </c>
      <c r="J75" s="275">
        <v>304</v>
      </c>
      <c r="K75" s="275">
        <v>304</v>
      </c>
      <c r="L75" s="275">
        <v>304</v>
      </c>
      <c r="M75" s="10"/>
      <c r="N75" s="10"/>
    </row>
    <row r="76" spans="1:14" x14ac:dyDescent="0.2">
      <c r="A76">
        <f t="shared" si="1"/>
        <v>75</v>
      </c>
      <c r="B76" t="s">
        <v>2039</v>
      </c>
      <c r="C76">
        <v>3</v>
      </c>
      <c r="D76">
        <v>107</v>
      </c>
      <c r="E76" s="2">
        <f>VLOOKUP( T_Aop[[#This Row],[Id]], T_Aop[], ID_Jezik + 9, 1)</f>
        <v>305</v>
      </c>
      <c r="F76" t="str">
        <f>REPT( "  ", T_Aop[[#This Row],[Aop nivo]]) &amp; VLOOKUP( T_Aop[[#This Row],[Id]], T_Aop[], ID_Jezik + 6, 1)</f>
        <v xml:space="preserve">      5. Državni kapital</v>
      </c>
      <c r="G76" t="s">
        <v>278</v>
      </c>
      <c r="H76" t="s">
        <v>1005</v>
      </c>
      <c r="I76" t="s">
        <v>1006</v>
      </c>
      <c r="J76" s="275">
        <v>305</v>
      </c>
      <c r="K76" s="275">
        <v>305</v>
      </c>
      <c r="L76" s="275">
        <v>305</v>
      </c>
      <c r="M76" s="10"/>
      <c r="N76" s="10"/>
    </row>
    <row r="77" spans="1:14" x14ac:dyDescent="0.2">
      <c r="A77">
        <f t="shared" si="1"/>
        <v>76</v>
      </c>
      <c r="B77" t="s">
        <v>2039</v>
      </c>
      <c r="C77">
        <v>3</v>
      </c>
      <c r="D77">
        <v>108</v>
      </c>
      <c r="E77" s="2" t="str">
        <f>VLOOKUP( T_Aop[[#This Row],[Id]], T_Aop[], ID_Jezik + 9, 1)</f>
        <v>309</v>
      </c>
      <c r="F77" t="str">
        <f>REPT( "  ", T_Aop[[#This Row],[Aop nivo]]) &amp; VLOOKUP( T_Aop[[#This Row],[Id]], T_Aop[], ID_Jezik + 6, 1)</f>
        <v xml:space="preserve">      6. Ostali osnovni kapital</v>
      </c>
      <c r="G77" t="s">
        <v>354</v>
      </c>
      <c r="H77" t="s">
        <v>1007</v>
      </c>
      <c r="I77" t="s">
        <v>1008</v>
      </c>
      <c r="J77" s="275" t="s">
        <v>2011</v>
      </c>
      <c r="K77" s="275" t="s">
        <v>2011</v>
      </c>
      <c r="L77" s="275" t="s">
        <v>2011</v>
      </c>
      <c r="M77" s="10"/>
      <c r="N77" s="10"/>
    </row>
    <row r="78" spans="1:14" x14ac:dyDescent="0.2">
      <c r="A78">
        <f t="shared" si="1"/>
        <v>77</v>
      </c>
      <c r="B78" t="s">
        <v>2039</v>
      </c>
      <c r="C78">
        <v>2</v>
      </c>
      <c r="D78">
        <v>109</v>
      </c>
      <c r="E78" s="2">
        <f>VLOOKUP( T_Aop[[#This Row],[Id]], T_Aop[], ID_Jezik + 9, 1)</f>
        <v>31</v>
      </c>
      <c r="F78" t="str">
        <f>REPT( "  ", T_Aop[[#This Row],[Aop nivo]]) &amp; VLOOKUP( T_Aop[[#This Row],[Id]], T_Aop[], ID_Jezik + 6, 1)</f>
        <v xml:space="preserve">    II - UPISANI NEUPLAĆENI KAPITAL</v>
      </c>
      <c r="G78" t="s">
        <v>1009</v>
      </c>
      <c r="H78" t="s">
        <v>1010</v>
      </c>
      <c r="I78" t="s">
        <v>1011</v>
      </c>
      <c r="J78" s="275">
        <v>31</v>
      </c>
      <c r="K78" s="275">
        <v>31</v>
      </c>
      <c r="L78" s="275">
        <v>31</v>
      </c>
      <c r="M78" s="10">
        <v>1</v>
      </c>
      <c r="N78" s="10"/>
    </row>
    <row r="79" spans="1:14" x14ac:dyDescent="0.2">
      <c r="A79">
        <f t="shared" si="1"/>
        <v>78</v>
      </c>
      <c r="B79" t="s">
        <v>2039</v>
      </c>
      <c r="C79">
        <v>2</v>
      </c>
      <c r="D79">
        <v>110</v>
      </c>
      <c r="E79" s="2">
        <f>VLOOKUP( T_Aop[[#This Row],[Id]], T_Aop[], ID_Jezik + 9, 1)</f>
        <v>320</v>
      </c>
      <c r="F79" t="str">
        <f>REPT( "  ", T_Aop[[#This Row],[Aop nivo]]) &amp; VLOOKUP( T_Aop[[#This Row],[Id]], T_Aop[], ID_Jezik + 6, 1)</f>
        <v xml:space="preserve">    III - EMISIONA PREMIJA </v>
      </c>
      <c r="G79" t="s">
        <v>1927</v>
      </c>
      <c r="H79" t="s">
        <v>1928</v>
      </c>
      <c r="I79" t="s">
        <v>1929</v>
      </c>
      <c r="J79" s="275">
        <v>320</v>
      </c>
      <c r="K79" s="275">
        <v>320</v>
      </c>
      <c r="L79" s="275">
        <v>320</v>
      </c>
      <c r="M79" s="10">
        <v>1</v>
      </c>
      <c r="N79" s="10"/>
    </row>
    <row r="80" spans="1:14" x14ac:dyDescent="0.2">
      <c r="A80">
        <f t="shared" si="1"/>
        <v>79</v>
      </c>
      <c r="B80" t="s">
        <v>2039</v>
      </c>
      <c r="C80">
        <v>2</v>
      </c>
      <c r="D80">
        <v>111</v>
      </c>
      <c r="E80" s="2">
        <f>VLOOKUP( T_Aop[[#This Row],[Id]], T_Aop[], ID_Jezik + 9, 1)</f>
        <v>321</v>
      </c>
      <c r="F80" t="str">
        <f>REPT( "  ", T_Aop[[#This Row],[Aop nivo]]) &amp; VLOOKUP( T_Aop[[#This Row],[Id]], T_Aop[], ID_Jezik + 6, 1)</f>
        <v xml:space="preserve">    IV - EMISIONI GUBITAK</v>
      </c>
      <c r="G80" t="s">
        <v>1930</v>
      </c>
      <c r="H80" t="s">
        <v>1931</v>
      </c>
      <c r="I80" t="s">
        <v>1932</v>
      </c>
      <c r="J80" s="275">
        <v>321</v>
      </c>
      <c r="K80" s="275">
        <v>321</v>
      </c>
      <c r="L80" s="275">
        <v>321</v>
      </c>
      <c r="M80" s="10">
        <v>1</v>
      </c>
      <c r="N80" s="10"/>
    </row>
    <row r="81" spans="1:14" x14ac:dyDescent="0.2">
      <c r="A81">
        <f t="shared" si="1"/>
        <v>80</v>
      </c>
      <c r="B81" t="s">
        <v>2039</v>
      </c>
      <c r="C81">
        <v>2</v>
      </c>
      <c r="D81">
        <v>112</v>
      </c>
      <c r="E81" s="2" t="str">
        <f>VLOOKUP( T_Aop[[#This Row],[Id]], T_Aop[], ID_Jezik + 9, 1)</f>
        <v>dio 32</v>
      </c>
      <c r="F81" t="str">
        <f>REPT( "  ", T_Aop[[#This Row],[Aop nivo]]) &amp; VLOOKUP( T_Aop[[#This Row],[Id]], T_Aop[], ID_Jezik + 6, 1)</f>
        <v xml:space="preserve">    V - REZERVE (113 do 115)</v>
      </c>
      <c r="G81" t="s">
        <v>1933</v>
      </c>
      <c r="H81" t="s">
        <v>2020</v>
      </c>
      <c r="I81" t="s">
        <v>2021</v>
      </c>
      <c r="J81" s="275" t="s">
        <v>367</v>
      </c>
      <c r="K81" s="275" t="s">
        <v>1731</v>
      </c>
      <c r="L81" s="275" t="s">
        <v>213</v>
      </c>
      <c r="M81" s="10">
        <v>1</v>
      </c>
      <c r="N81" s="10"/>
    </row>
    <row r="82" spans="1:14" x14ac:dyDescent="0.2">
      <c r="A82">
        <f t="shared" si="1"/>
        <v>81</v>
      </c>
      <c r="B82" t="s">
        <v>2039</v>
      </c>
      <c r="C82">
        <v>3</v>
      </c>
      <c r="D82">
        <v>113</v>
      </c>
      <c r="E82" s="2">
        <f>VLOOKUP( T_Aop[[#This Row],[Id]], T_Aop[], ID_Jezik + 9, 1)</f>
        <v>322</v>
      </c>
      <c r="F82" t="str">
        <f>REPT( "  ", T_Aop[[#This Row],[Aop nivo]]) &amp; VLOOKUP( T_Aop[[#This Row],[Id]], T_Aop[], ID_Jezik + 6, 1)</f>
        <v xml:space="preserve">      1. Zakonske rezerve</v>
      </c>
      <c r="G82" t="s">
        <v>279</v>
      </c>
      <c r="H82" t="s">
        <v>1012</v>
      </c>
      <c r="I82" t="s">
        <v>1013</v>
      </c>
      <c r="J82" s="275">
        <v>322</v>
      </c>
      <c r="K82" s="275">
        <v>322</v>
      </c>
      <c r="L82" s="275">
        <v>322</v>
      </c>
      <c r="M82" s="10"/>
      <c r="N82" s="10"/>
    </row>
    <row r="83" spans="1:14" x14ac:dyDescent="0.2">
      <c r="A83">
        <f t="shared" si="1"/>
        <v>82</v>
      </c>
      <c r="B83" t="s">
        <v>2039</v>
      </c>
      <c r="C83">
        <v>3</v>
      </c>
      <c r="D83">
        <v>114</v>
      </c>
      <c r="E83" s="2">
        <f>VLOOKUP( T_Aop[[#This Row],[Id]], T_Aop[], ID_Jezik + 9, 1)</f>
        <v>323</v>
      </c>
      <c r="F83" t="str">
        <f>REPT( "  ", T_Aop[[#This Row],[Aop nivo]]) &amp; VLOOKUP( T_Aop[[#This Row],[Id]], T_Aop[], ID_Jezik + 6, 1)</f>
        <v xml:space="preserve">      2. Statutarne rezerve</v>
      </c>
      <c r="G83" t="s">
        <v>355</v>
      </c>
      <c r="H83" t="s">
        <v>1014</v>
      </c>
      <c r="I83" t="s">
        <v>1015</v>
      </c>
      <c r="J83" s="275">
        <v>323</v>
      </c>
      <c r="K83" s="275">
        <v>323</v>
      </c>
      <c r="L83" s="275">
        <v>323</v>
      </c>
      <c r="M83" s="10"/>
      <c r="N83" s="10"/>
    </row>
    <row r="84" spans="1:14" x14ac:dyDescent="0.2">
      <c r="A84">
        <f t="shared" si="1"/>
        <v>83</v>
      </c>
      <c r="B84" t="s">
        <v>2039</v>
      </c>
      <c r="C84">
        <v>3</v>
      </c>
      <c r="D84">
        <v>115</v>
      </c>
      <c r="E84" s="2">
        <f>VLOOKUP( T_Aop[[#This Row],[Id]], T_Aop[], ID_Jezik + 9, 1)</f>
        <v>329</v>
      </c>
      <c r="F84" t="str">
        <f>REPT( "  ", T_Aop[[#This Row],[Aop nivo]]) &amp; VLOOKUP( T_Aop[[#This Row],[Id]], T_Aop[], ID_Jezik + 6, 1)</f>
        <v xml:space="preserve">      3. Ostale rezerve</v>
      </c>
      <c r="G84" t="s">
        <v>1016</v>
      </c>
      <c r="H84" t="s">
        <v>1017</v>
      </c>
      <c r="I84" t="s">
        <v>1018</v>
      </c>
      <c r="J84" s="275">
        <v>329</v>
      </c>
      <c r="K84" s="275">
        <v>329</v>
      </c>
      <c r="L84" s="275">
        <v>329</v>
      </c>
      <c r="M84" s="10"/>
      <c r="N84" s="10"/>
    </row>
    <row r="85" spans="1:14" x14ac:dyDescent="0.2">
      <c r="A85">
        <f t="shared" si="1"/>
        <v>84</v>
      </c>
      <c r="B85" t="s">
        <v>2039</v>
      </c>
      <c r="C85">
        <v>2</v>
      </c>
      <c r="D85">
        <v>116</v>
      </c>
      <c r="E85" s="2" t="str">
        <f>VLOOKUP( T_Aop[[#This Row],[Id]], T_Aop[], ID_Jezik + 9, 1)</f>
        <v>330, 331, 334</v>
      </c>
      <c r="F85" t="str">
        <f>REPT( "  ", T_Aop[[#This Row],[Aop nivo]]) &amp; VLOOKUP( T_Aop[[#This Row],[Id]], T_Aop[], ID_Jezik + 6, 1)</f>
        <v xml:space="preserve">    VI - REVALORIZACIONE REZERVE</v>
      </c>
      <c r="G85" t="s">
        <v>1934</v>
      </c>
      <c r="H85" t="s">
        <v>1935</v>
      </c>
      <c r="I85" t="s">
        <v>1936</v>
      </c>
      <c r="J85" s="275" t="s">
        <v>1732</v>
      </c>
      <c r="K85" s="275" t="s">
        <v>1732</v>
      </c>
      <c r="L85" s="275" t="s">
        <v>1732</v>
      </c>
      <c r="M85" s="10">
        <v>1</v>
      </c>
      <c r="N85" s="10"/>
    </row>
    <row r="86" spans="1:14" x14ac:dyDescent="0.2">
      <c r="A86">
        <f t="shared" si="1"/>
        <v>85</v>
      </c>
      <c r="B86" t="s">
        <v>2039</v>
      </c>
      <c r="C86">
        <v>2</v>
      </c>
      <c r="D86">
        <v>117</v>
      </c>
      <c r="E86" s="2">
        <f>VLOOKUP( T_Aop[[#This Row],[Id]], T_Aop[], ID_Jezik + 9, 1)</f>
        <v>332</v>
      </c>
      <c r="F86" t="str">
        <f>REPT( "  ", T_Aop[[#This Row],[Aop nivo]]) &amp; VLOOKUP( T_Aop[[#This Row],[Id]], T_Aop[], ID_Jezik + 6, 1)</f>
        <v xml:space="preserve">    VII - NEREALIZOVANI DOBICI PO OSNOVU FINANSIJSKIH SREDSTAVA RASPOLOŽIVIH ZA PRODAJU</v>
      </c>
      <c r="G86" t="s">
        <v>1937</v>
      </c>
      <c r="H86" t="s">
        <v>1938</v>
      </c>
      <c r="I86" t="s">
        <v>1939</v>
      </c>
      <c r="J86" s="275">
        <v>332</v>
      </c>
      <c r="K86" s="275">
        <v>332</v>
      </c>
      <c r="L86" s="275">
        <v>332</v>
      </c>
      <c r="M86" s="10">
        <v>1</v>
      </c>
      <c r="N86" s="10"/>
    </row>
    <row r="87" spans="1:14" x14ac:dyDescent="0.2">
      <c r="A87">
        <f t="shared" si="1"/>
        <v>86</v>
      </c>
      <c r="B87" t="s">
        <v>2039</v>
      </c>
      <c r="C87">
        <v>2</v>
      </c>
      <c r="D87">
        <v>118</v>
      </c>
      <c r="E87" s="2">
        <f>VLOOKUP( T_Aop[[#This Row],[Id]], T_Aop[], ID_Jezik + 9, 1)</f>
        <v>333</v>
      </c>
      <c r="F87" t="str">
        <f>REPT( "  ", T_Aop[[#This Row],[Aop nivo]]) &amp; VLOOKUP( T_Aop[[#This Row],[Id]], T_Aop[], ID_Jezik + 6, 1)</f>
        <v xml:space="preserve">    VIII - NEREALIZOVANI GUBICI PO OSNOVU FINANSIJSKIH SREDSTAVA RASPOLOŽIVIH ZA PRODAJU </v>
      </c>
      <c r="G87" t="s">
        <v>1940</v>
      </c>
      <c r="H87" t="s">
        <v>1941</v>
      </c>
      <c r="I87" t="s">
        <v>1942</v>
      </c>
      <c r="J87" s="275">
        <v>333</v>
      </c>
      <c r="K87" s="275">
        <v>333</v>
      </c>
      <c r="L87" s="275">
        <v>333</v>
      </c>
      <c r="M87" s="10">
        <v>1</v>
      </c>
      <c r="N87" s="10"/>
    </row>
    <row r="88" spans="1:14" x14ac:dyDescent="0.2">
      <c r="A88">
        <f t="shared" si="1"/>
        <v>87</v>
      </c>
      <c r="B88" t="s">
        <v>2039</v>
      </c>
      <c r="C88">
        <v>2</v>
      </c>
      <c r="D88">
        <v>119</v>
      </c>
      <c r="E88" s="2">
        <f>VLOOKUP( T_Aop[[#This Row],[Id]], T_Aop[], ID_Jezik + 9, 1)</f>
        <v>34</v>
      </c>
      <c r="F88" t="str">
        <f>REPT( "  ", T_Aop[[#This Row],[Aop nivo]]) &amp; VLOOKUP( T_Aop[[#This Row],[Id]], T_Aop[], ID_Jezik + 6, 1)</f>
        <v xml:space="preserve">    IX - NERASPOREĐENI DOBITAK (120 do 122)</v>
      </c>
      <c r="G88" t="s">
        <v>1943</v>
      </c>
      <c r="H88" t="s">
        <v>2022</v>
      </c>
      <c r="I88" t="s">
        <v>2023</v>
      </c>
      <c r="J88" s="275">
        <v>34</v>
      </c>
      <c r="K88" s="275">
        <v>34</v>
      </c>
      <c r="L88" s="275">
        <v>34</v>
      </c>
      <c r="M88" s="10">
        <v>1</v>
      </c>
      <c r="N88" s="10"/>
    </row>
    <row r="89" spans="1:14" x14ac:dyDescent="0.2">
      <c r="A89">
        <f t="shared" si="1"/>
        <v>88</v>
      </c>
      <c r="B89" t="s">
        <v>2039</v>
      </c>
      <c r="C89">
        <v>3</v>
      </c>
      <c r="D89">
        <v>120</v>
      </c>
      <c r="E89" s="2" t="str">
        <f>VLOOKUP( T_Aop[[#This Row],[Id]], T_Aop[], ID_Jezik + 9, 1)</f>
        <v>340 ili 342</v>
      </c>
      <c r="F89" t="str">
        <f>REPT( "  ", T_Aop[[#This Row],[Aop nivo]]) &amp; VLOOKUP( T_Aop[[#This Row],[Id]], T_Aop[], ID_Jezik + 6, 1)</f>
        <v xml:space="preserve">      1. Neraspoređeni dobitak ranijih godina / Neraspoređeni višak prihoda nad rashodima ranijih godina</v>
      </c>
      <c r="G89" t="s">
        <v>1944</v>
      </c>
      <c r="H89" t="s">
        <v>1945</v>
      </c>
      <c r="I89" t="s">
        <v>1019</v>
      </c>
      <c r="J89" s="275" t="s">
        <v>1953</v>
      </c>
      <c r="K89" s="275" t="s">
        <v>1954</v>
      </c>
      <c r="L89" s="275" t="s">
        <v>1955</v>
      </c>
      <c r="M89" s="10"/>
      <c r="N89" s="10"/>
    </row>
    <row r="90" spans="1:14" x14ac:dyDescent="0.2">
      <c r="A90">
        <f t="shared" si="1"/>
        <v>89</v>
      </c>
      <c r="B90" t="s">
        <v>2039</v>
      </c>
      <c r="C90">
        <v>3</v>
      </c>
      <c r="D90">
        <v>121</v>
      </c>
      <c r="E90" s="2" t="str">
        <f>VLOOKUP( T_Aop[[#This Row],[Id]], T_Aop[], ID_Jezik + 9, 1)</f>
        <v>341 ili 343</v>
      </c>
      <c r="F90" t="str">
        <f>REPT( "  ", T_Aop[[#This Row],[Aop nivo]]) &amp; VLOOKUP( T_Aop[[#This Row],[Id]], T_Aop[], ID_Jezik + 6, 1)</f>
        <v xml:space="preserve">      2. Neraspoređeni dobitak tekuće godine / Neraspoređeni višak prihoda nad rashodima tekuće godine</v>
      </c>
      <c r="G90" t="s">
        <v>1946</v>
      </c>
      <c r="H90" t="s">
        <v>1947</v>
      </c>
      <c r="I90" t="s">
        <v>1020</v>
      </c>
      <c r="J90" s="275" t="s">
        <v>1956</v>
      </c>
      <c r="K90" s="275" t="s">
        <v>1957</v>
      </c>
      <c r="L90" s="275" t="s">
        <v>1958</v>
      </c>
      <c r="M90" s="10"/>
      <c r="N90" s="10"/>
    </row>
    <row r="91" spans="1:14" x14ac:dyDescent="0.2">
      <c r="A91">
        <f t="shared" si="1"/>
        <v>90</v>
      </c>
      <c r="B91" t="s">
        <v>2039</v>
      </c>
      <c r="C91">
        <v>3</v>
      </c>
      <c r="D91">
        <v>122</v>
      </c>
      <c r="E91" s="2">
        <f>VLOOKUP( T_Aop[[#This Row],[Id]], T_Aop[], ID_Jezik + 9, 1)</f>
        <v>344</v>
      </c>
      <c r="F91" t="str">
        <f>REPT( "  ", T_Aop[[#This Row],[Aop nivo]]) &amp; VLOOKUP( T_Aop[[#This Row],[Id]], T_Aop[], ID_Jezik + 6, 1)</f>
        <v xml:space="preserve">      3. Neto prihod od samostalne djelatnosti</v>
      </c>
      <c r="G91" t="s">
        <v>1948</v>
      </c>
      <c r="H91" t="s">
        <v>1949</v>
      </c>
      <c r="I91" t="s">
        <v>1950</v>
      </c>
      <c r="J91" s="275">
        <v>344</v>
      </c>
      <c r="K91" s="275">
        <v>344</v>
      </c>
      <c r="L91" s="275">
        <v>344</v>
      </c>
      <c r="M91" s="10"/>
      <c r="N91" s="10"/>
    </row>
    <row r="92" spans="1:14" x14ac:dyDescent="0.2">
      <c r="A92">
        <f t="shared" si="1"/>
        <v>91</v>
      </c>
      <c r="B92" t="s">
        <v>2039</v>
      </c>
      <c r="C92">
        <v>2</v>
      </c>
      <c r="D92">
        <v>123</v>
      </c>
      <c r="E92" s="2" t="str">
        <f>VLOOKUP( T_Aop[[#This Row],[Id]], T_Aop[], ID_Jezik + 9, 1)</f>
        <v>35</v>
      </c>
      <c r="F92" t="str">
        <f>REPT( "  ", T_Aop[[#This Row],[Aop nivo]]) &amp; VLOOKUP( T_Aop[[#This Row],[Id]], T_Aop[], ID_Jezik + 6, 1)</f>
        <v xml:space="preserve">    X - GUBITAK DO VISINE KAPITALA (124 + 125)</v>
      </c>
      <c r="G92" t="s">
        <v>1951</v>
      </c>
      <c r="H92" t="s">
        <v>1951</v>
      </c>
      <c r="I92" t="s">
        <v>1952</v>
      </c>
      <c r="J92" s="275" t="s">
        <v>2012</v>
      </c>
      <c r="K92" s="275" t="s">
        <v>2012</v>
      </c>
      <c r="L92" s="275" t="s">
        <v>2012</v>
      </c>
      <c r="M92" s="10"/>
      <c r="N92" s="10"/>
    </row>
    <row r="93" spans="1:14" x14ac:dyDescent="0.2">
      <c r="A93">
        <f t="shared" si="1"/>
        <v>92</v>
      </c>
      <c r="B93" t="s">
        <v>2039</v>
      </c>
      <c r="C93">
        <v>3</v>
      </c>
      <c r="D93">
        <v>124</v>
      </c>
      <c r="E93" s="2">
        <f>VLOOKUP( T_Aop[[#This Row],[Id]], T_Aop[], ID_Jezik + 9, 1)</f>
        <v>350</v>
      </c>
      <c r="F93" t="str">
        <f>REPT( "  ", T_Aop[[#This Row],[Aop nivo]]) &amp; VLOOKUP( T_Aop[[#This Row],[Id]], T_Aop[], ID_Jezik + 6, 1)</f>
        <v xml:space="preserve">      1. Gubitak ranijih godina</v>
      </c>
      <c r="G93" t="s">
        <v>356</v>
      </c>
      <c r="H93" t="s">
        <v>1021</v>
      </c>
      <c r="I93" t="s">
        <v>1022</v>
      </c>
      <c r="J93" s="275">
        <v>350</v>
      </c>
      <c r="K93" s="275">
        <v>350</v>
      </c>
      <c r="L93" s="275">
        <v>350</v>
      </c>
      <c r="M93" s="10"/>
      <c r="N93" s="10"/>
    </row>
    <row r="94" spans="1:14" x14ac:dyDescent="0.2">
      <c r="A94">
        <f t="shared" si="1"/>
        <v>93</v>
      </c>
      <c r="B94" t="s">
        <v>2039</v>
      </c>
      <c r="C94">
        <v>3</v>
      </c>
      <c r="D94">
        <v>125</v>
      </c>
      <c r="E94" s="2">
        <f>VLOOKUP( T_Aop[[#This Row],[Id]], T_Aop[], ID_Jezik + 9, 1)</f>
        <v>351</v>
      </c>
      <c r="F94" t="str">
        <f>REPT( "  ", T_Aop[[#This Row],[Aop nivo]]) &amp; VLOOKUP( T_Aop[[#This Row],[Id]], T_Aop[], ID_Jezik + 6, 1)</f>
        <v xml:space="preserve">      2. Gubitak tekuće godine</v>
      </c>
      <c r="G94" t="s">
        <v>280</v>
      </c>
      <c r="H94" t="s">
        <v>1023</v>
      </c>
      <c r="I94" t="s">
        <v>1024</v>
      </c>
      <c r="J94" s="275">
        <v>351</v>
      </c>
      <c r="K94" s="275">
        <v>351</v>
      </c>
      <c r="L94" s="275">
        <v>351</v>
      </c>
      <c r="M94" s="10"/>
      <c r="N94" s="10"/>
    </row>
    <row r="95" spans="1:14" x14ac:dyDescent="0.2">
      <c r="A95">
        <f t="shared" si="1"/>
        <v>94</v>
      </c>
      <c r="B95" t="s">
        <v>2039</v>
      </c>
      <c r="C95">
        <v>1</v>
      </c>
      <c r="D95">
        <v>126</v>
      </c>
      <c r="E95" s="2">
        <f>VLOOKUP( T_Aop[[#This Row],[Id]], T_Aop[], ID_Jezik + 9, 1)</f>
        <v>40</v>
      </c>
      <c r="F95" t="str">
        <f>REPT( "  ", T_Aop[[#This Row],[Aop nivo]]) &amp; VLOOKUP( T_Aop[[#This Row],[Id]], T_Aop[], ID_Jezik + 6, 1)</f>
        <v xml:space="preserve">  B. REZERVISANJA, ODLOŽENE PORESKE OBAVEZE I RAZGRANIČENI PRIHODI (127 do 134)</v>
      </c>
      <c r="G95" t="s">
        <v>1025</v>
      </c>
      <c r="H95" t="s">
        <v>1026</v>
      </c>
      <c r="I95" t="s">
        <v>1027</v>
      </c>
      <c r="J95" s="275">
        <v>40</v>
      </c>
      <c r="K95" s="275">
        <v>40</v>
      </c>
      <c r="L95" s="275">
        <v>40</v>
      </c>
      <c r="M95" s="10">
        <v>1</v>
      </c>
      <c r="N95" s="10"/>
    </row>
    <row r="96" spans="1:14" x14ac:dyDescent="0.2">
      <c r="A96">
        <f t="shared" si="1"/>
        <v>95</v>
      </c>
      <c r="B96" t="s">
        <v>2039</v>
      </c>
      <c r="C96">
        <v>2</v>
      </c>
      <c r="D96">
        <v>127</v>
      </c>
      <c r="E96" s="2">
        <f>VLOOKUP( T_Aop[[#This Row],[Id]], T_Aop[], ID_Jezik + 9, 1)</f>
        <v>400</v>
      </c>
      <c r="F96" t="str">
        <f>REPT( "  ", T_Aop[[#This Row],[Aop nivo]]) &amp; VLOOKUP( T_Aop[[#This Row],[Id]], T_Aop[], ID_Jezik + 6, 1)</f>
        <v xml:space="preserve">    1. Rezervisanja za troškove u garantnom roku</v>
      </c>
      <c r="G96" t="s">
        <v>357</v>
      </c>
      <c r="H96" t="s">
        <v>1028</v>
      </c>
      <c r="I96" t="s">
        <v>1029</v>
      </c>
      <c r="J96" s="275">
        <v>400</v>
      </c>
      <c r="K96" s="275">
        <v>400</v>
      </c>
      <c r="L96" s="275">
        <v>400</v>
      </c>
      <c r="M96" s="10"/>
      <c r="N96" s="10"/>
    </row>
    <row r="97" spans="1:14" x14ac:dyDescent="0.2">
      <c r="A97">
        <f t="shared" si="1"/>
        <v>96</v>
      </c>
      <c r="B97" t="s">
        <v>2039</v>
      </c>
      <c r="C97">
        <v>2</v>
      </c>
      <c r="D97">
        <v>128</v>
      </c>
      <c r="E97" s="2">
        <f>VLOOKUP( T_Aop[[#This Row],[Id]], T_Aop[], ID_Jezik + 9, 1)</f>
        <v>401</v>
      </c>
      <c r="F97" t="str">
        <f>REPT( "  ", T_Aop[[#This Row],[Aop nivo]]) &amp; VLOOKUP( T_Aop[[#This Row],[Id]], T_Aop[], ID_Jezik + 6, 1)</f>
        <v xml:space="preserve">    2. Rezervisanja za troškove obnavljanja prirodnih bogatstava</v>
      </c>
      <c r="G97" t="s">
        <v>358</v>
      </c>
      <c r="H97" t="s">
        <v>1030</v>
      </c>
      <c r="I97" t="s">
        <v>1031</v>
      </c>
      <c r="J97" s="275">
        <v>401</v>
      </c>
      <c r="K97" s="275">
        <v>401</v>
      </c>
      <c r="L97" s="275">
        <v>401</v>
      </c>
      <c r="M97" s="10"/>
      <c r="N97" s="10"/>
    </row>
    <row r="98" spans="1:14" x14ac:dyDescent="0.2">
      <c r="A98">
        <f t="shared" si="1"/>
        <v>97</v>
      </c>
      <c r="B98" t="s">
        <v>2039</v>
      </c>
      <c r="C98">
        <v>2</v>
      </c>
      <c r="D98">
        <v>129</v>
      </c>
      <c r="E98" s="2">
        <f>VLOOKUP( T_Aop[[#This Row],[Id]], T_Aop[], ID_Jezik + 9, 1)</f>
        <v>402</v>
      </c>
      <c r="F98" t="str">
        <f>REPT( "  ", T_Aop[[#This Row],[Aop nivo]]) &amp; VLOOKUP( T_Aop[[#This Row],[Id]], T_Aop[], ID_Jezik + 6, 1)</f>
        <v xml:space="preserve">    3. Rezervisanja za zadržane kaucije i depozite</v>
      </c>
      <c r="G98" t="s">
        <v>359</v>
      </c>
      <c r="H98" t="s">
        <v>1032</v>
      </c>
      <c r="I98" t="s">
        <v>1033</v>
      </c>
      <c r="J98" s="275">
        <v>402</v>
      </c>
      <c r="K98" s="275">
        <v>402</v>
      </c>
      <c r="L98" s="275">
        <v>402</v>
      </c>
      <c r="M98" s="10"/>
      <c r="N98" s="10"/>
    </row>
    <row r="99" spans="1:14" x14ac:dyDescent="0.2">
      <c r="A99">
        <f t="shared" si="1"/>
        <v>98</v>
      </c>
      <c r="B99" t="s">
        <v>2039</v>
      </c>
      <c r="C99">
        <v>2</v>
      </c>
      <c r="D99">
        <v>130</v>
      </c>
      <c r="E99" s="2">
        <f>VLOOKUP( T_Aop[[#This Row],[Id]], T_Aop[], ID_Jezik + 9, 1)</f>
        <v>403</v>
      </c>
      <c r="F99" t="str">
        <f>REPT( "  ", T_Aop[[#This Row],[Aop nivo]]) &amp; VLOOKUP( T_Aop[[#This Row],[Id]], T_Aop[], ID_Jezik + 6, 1)</f>
        <v xml:space="preserve">    4. Rezervisanja za troškove restrukturisanja</v>
      </c>
      <c r="G99" t="s">
        <v>1034</v>
      </c>
      <c r="H99" t="s">
        <v>1035</v>
      </c>
      <c r="I99" t="s">
        <v>1036</v>
      </c>
      <c r="J99" s="275">
        <v>403</v>
      </c>
      <c r="K99" s="275">
        <v>403</v>
      </c>
      <c r="L99" s="275">
        <v>403</v>
      </c>
      <c r="M99" s="10"/>
      <c r="N99" s="10"/>
    </row>
    <row r="100" spans="1:14" x14ac:dyDescent="0.2">
      <c r="A100">
        <f t="shared" si="1"/>
        <v>99</v>
      </c>
      <c r="B100" t="s">
        <v>2039</v>
      </c>
      <c r="C100">
        <v>2</v>
      </c>
      <c r="D100">
        <v>131</v>
      </c>
      <c r="E100" s="2">
        <f>VLOOKUP( T_Aop[[#This Row],[Id]], T_Aop[], ID_Jezik + 9, 1)</f>
        <v>404</v>
      </c>
      <c r="F100" t="str">
        <f>REPT( "  ", T_Aop[[#This Row],[Aop nivo]]) &amp; VLOOKUP( T_Aop[[#This Row],[Id]], T_Aop[], ID_Jezik + 6, 1)</f>
        <v xml:space="preserve">    5. Rezervisanja za naknade i beneficije zaposlenih</v>
      </c>
      <c r="G100" t="s">
        <v>360</v>
      </c>
      <c r="H100" t="s">
        <v>1037</v>
      </c>
      <c r="I100" t="s">
        <v>1038</v>
      </c>
      <c r="J100" s="275">
        <v>404</v>
      </c>
      <c r="K100" s="275">
        <v>404</v>
      </c>
      <c r="L100" s="275">
        <v>404</v>
      </c>
      <c r="M100" s="10"/>
      <c r="N100" s="10"/>
    </row>
    <row r="101" spans="1:14" x14ac:dyDescent="0.2">
      <c r="A101">
        <f t="shared" si="1"/>
        <v>100</v>
      </c>
      <c r="B101" t="s">
        <v>2039</v>
      </c>
      <c r="C101">
        <v>2</v>
      </c>
      <c r="D101">
        <v>132</v>
      </c>
      <c r="E101" s="2">
        <f>VLOOKUP( T_Aop[[#This Row],[Id]], T_Aop[], ID_Jezik + 9, 1)</f>
        <v>407</v>
      </c>
      <c r="F101" t="str">
        <f>REPT( "  ", T_Aop[[#This Row],[Aop nivo]]) &amp; VLOOKUP( T_Aop[[#This Row],[Id]], T_Aop[], ID_Jezik + 6, 1)</f>
        <v xml:space="preserve">    6. Odložene poreske obaveze</v>
      </c>
      <c r="G101" t="s">
        <v>1039</v>
      </c>
      <c r="H101" t="s">
        <v>1040</v>
      </c>
      <c r="I101" t="s">
        <v>1041</v>
      </c>
      <c r="J101" s="275">
        <v>407</v>
      </c>
      <c r="K101" s="275">
        <v>407</v>
      </c>
      <c r="L101" s="275">
        <v>407</v>
      </c>
      <c r="M101" s="10"/>
      <c r="N101" s="10"/>
    </row>
    <row r="102" spans="1:14" x14ac:dyDescent="0.2">
      <c r="A102">
        <f t="shared" si="1"/>
        <v>101</v>
      </c>
      <c r="B102" t="s">
        <v>2039</v>
      </c>
      <c r="C102">
        <v>2</v>
      </c>
      <c r="D102">
        <v>133</v>
      </c>
      <c r="E102" s="2">
        <f>VLOOKUP( T_Aop[[#This Row],[Id]], T_Aop[], ID_Jezik + 9, 1)</f>
        <v>408</v>
      </c>
      <c r="F102" t="str">
        <f>REPT( "  ", T_Aop[[#This Row],[Aop nivo]]) &amp; VLOOKUP( T_Aop[[#This Row],[Id]], T_Aop[], ID_Jezik + 6, 1)</f>
        <v xml:space="preserve">    7. Razgraničeni prihodi i primljene donacije</v>
      </c>
      <c r="G102" t="s">
        <v>1042</v>
      </c>
      <c r="H102" t="s">
        <v>1043</v>
      </c>
      <c r="I102" t="s">
        <v>1044</v>
      </c>
      <c r="J102" s="275">
        <v>408</v>
      </c>
      <c r="K102" s="275">
        <v>408</v>
      </c>
      <c r="L102" s="275">
        <v>408</v>
      </c>
      <c r="M102" s="10"/>
      <c r="N102" s="10"/>
    </row>
    <row r="103" spans="1:14" x14ac:dyDescent="0.2">
      <c r="A103">
        <f t="shared" si="1"/>
        <v>102</v>
      </c>
      <c r="B103" t="s">
        <v>2039</v>
      </c>
      <c r="C103">
        <v>2</v>
      </c>
      <c r="D103">
        <v>134</v>
      </c>
      <c r="E103" s="2">
        <f>VLOOKUP( T_Aop[[#This Row],[Id]], T_Aop[], ID_Jezik + 9, 1)</f>
        <v>409</v>
      </c>
      <c r="F103" t="str">
        <f>REPT( "  ", T_Aop[[#This Row],[Aop nivo]]) &amp; VLOOKUP( T_Aop[[#This Row],[Id]], T_Aop[], ID_Jezik + 6, 1)</f>
        <v xml:space="preserve">    8. Ostala dugoročna rezervisanja</v>
      </c>
      <c r="G103" t="s">
        <v>1045</v>
      </c>
      <c r="H103" t="s">
        <v>1046</v>
      </c>
      <c r="I103" t="s">
        <v>1047</v>
      </c>
      <c r="J103" s="275">
        <v>409</v>
      </c>
      <c r="K103" s="275">
        <v>409</v>
      </c>
      <c r="L103" s="275">
        <v>409</v>
      </c>
      <c r="M103" s="10"/>
      <c r="N103" s="10"/>
    </row>
    <row r="104" spans="1:14" x14ac:dyDescent="0.2">
      <c r="A104">
        <f t="shared" si="1"/>
        <v>103</v>
      </c>
      <c r="B104" t="s">
        <v>2039</v>
      </c>
      <c r="C104">
        <v>1</v>
      </c>
      <c r="D104">
        <v>135</v>
      </c>
      <c r="E104" s="2">
        <f>VLOOKUP( T_Aop[[#This Row],[Id]], T_Aop[], ID_Jezik + 9, 1)</f>
        <v>0</v>
      </c>
      <c r="F104" t="str">
        <f>REPT( "  ", T_Aop[[#This Row],[Aop nivo]]) &amp; VLOOKUP( T_Aop[[#This Row],[Id]], T_Aop[], ID_Jezik + 6, 1)</f>
        <v xml:space="preserve">  V. OBAVEZE (136 + 144)</v>
      </c>
      <c r="G104" t="s">
        <v>1048</v>
      </c>
      <c r="H104" t="s">
        <v>1049</v>
      </c>
      <c r="I104" t="s">
        <v>1050</v>
      </c>
      <c r="J104" s="275"/>
      <c r="K104" s="275"/>
      <c r="L104" s="275"/>
      <c r="M104" s="10">
        <v>1</v>
      </c>
      <c r="N104" s="10"/>
    </row>
    <row r="105" spans="1:14" x14ac:dyDescent="0.2">
      <c r="A105">
        <f t="shared" si="1"/>
        <v>104</v>
      </c>
      <c r="B105" t="s">
        <v>2039</v>
      </c>
      <c r="C105">
        <v>2</v>
      </c>
      <c r="D105">
        <v>136</v>
      </c>
      <c r="E105" s="2">
        <f>VLOOKUP( T_Aop[[#This Row],[Id]], T_Aop[], ID_Jezik + 9, 1)</f>
        <v>41</v>
      </c>
      <c r="F105" t="str">
        <f>REPT( "  ", T_Aop[[#This Row],[Aop nivo]]) &amp; VLOOKUP( T_Aop[[#This Row],[Id]], T_Aop[], ID_Jezik + 6, 1)</f>
        <v xml:space="preserve">    I - DUGOROČNE OBAVEZE (137 do 143)</v>
      </c>
      <c r="G105" t="s">
        <v>1051</v>
      </c>
      <c r="H105" t="s">
        <v>1052</v>
      </c>
      <c r="I105" t="s">
        <v>1053</v>
      </c>
      <c r="J105" s="275">
        <v>41</v>
      </c>
      <c r="K105" s="275">
        <v>41</v>
      </c>
      <c r="L105" s="275">
        <v>41</v>
      </c>
      <c r="M105" s="10">
        <v>1</v>
      </c>
      <c r="N105" s="10"/>
    </row>
    <row r="106" spans="1:14" x14ac:dyDescent="0.2">
      <c r="A106">
        <f t="shared" si="1"/>
        <v>105</v>
      </c>
      <c r="B106" t="s">
        <v>2039</v>
      </c>
      <c r="C106">
        <v>3</v>
      </c>
      <c r="D106">
        <v>137</v>
      </c>
      <c r="E106" s="2">
        <f>VLOOKUP( T_Aop[[#This Row],[Id]], T_Aop[], ID_Jezik + 9, 1)</f>
        <v>410</v>
      </c>
      <c r="F106" t="str">
        <f>REPT( "  ", T_Aop[[#This Row],[Aop nivo]]) &amp; VLOOKUP( T_Aop[[#This Row],[Id]], T_Aop[], ID_Jezik + 6, 1)</f>
        <v xml:space="preserve">      1. Obaveze koje se mogu konvertovati u kapital</v>
      </c>
      <c r="G106" t="s">
        <v>281</v>
      </c>
      <c r="H106" t="s">
        <v>1054</v>
      </c>
      <c r="I106" t="s">
        <v>1055</v>
      </c>
      <c r="J106" s="275">
        <v>410</v>
      </c>
      <c r="K106" s="275">
        <v>410</v>
      </c>
      <c r="L106" s="275">
        <v>410</v>
      </c>
      <c r="M106" s="10"/>
      <c r="N106" s="10"/>
    </row>
    <row r="107" spans="1:14" x14ac:dyDescent="0.2">
      <c r="A107">
        <f t="shared" si="1"/>
        <v>106</v>
      </c>
      <c r="B107" t="s">
        <v>2039</v>
      </c>
      <c r="C107">
        <v>3</v>
      </c>
      <c r="D107">
        <v>138</v>
      </c>
      <c r="E107" s="2">
        <f>VLOOKUP( T_Aop[[#This Row],[Id]], T_Aop[], ID_Jezik + 9, 1)</f>
        <v>411</v>
      </c>
      <c r="F107" t="str">
        <f>REPT( "  ", T_Aop[[#This Row],[Aop nivo]]) &amp; VLOOKUP( T_Aop[[#This Row],[Id]], T_Aop[], ID_Jezik + 6, 1)</f>
        <v xml:space="preserve">      2. Obaveze prema povezanim pravnim licima</v>
      </c>
      <c r="G107" t="s">
        <v>282</v>
      </c>
      <c r="H107" t="s">
        <v>1056</v>
      </c>
      <c r="I107" t="s">
        <v>1057</v>
      </c>
      <c r="J107" s="275">
        <v>411</v>
      </c>
      <c r="K107" s="275">
        <v>411</v>
      </c>
      <c r="L107" s="275">
        <v>411</v>
      </c>
      <c r="M107" s="10"/>
      <c r="N107" s="10"/>
    </row>
    <row r="108" spans="1:14" x14ac:dyDescent="0.2">
      <c r="A108">
        <f t="shared" si="1"/>
        <v>107</v>
      </c>
      <c r="B108" t="s">
        <v>2039</v>
      </c>
      <c r="C108">
        <v>3</v>
      </c>
      <c r="D108">
        <v>139</v>
      </c>
      <c r="E108" s="2">
        <f>VLOOKUP( T_Aop[[#This Row],[Id]], T_Aop[], ID_Jezik + 9, 1)</f>
        <v>412</v>
      </c>
      <c r="F108" t="str">
        <f>REPT( "  ", T_Aop[[#This Row],[Aop nivo]]) &amp; VLOOKUP( T_Aop[[#This Row],[Id]], T_Aop[], ID_Jezik + 6, 1)</f>
        <v xml:space="preserve">      3. Obaveze po emitovanim dugoročnim hartijama od vrijednosti</v>
      </c>
      <c r="G108" t="s">
        <v>0</v>
      </c>
      <c r="H108" t="s">
        <v>1058</v>
      </c>
      <c r="I108" t="s">
        <v>1059</v>
      </c>
      <c r="J108" s="275">
        <v>412</v>
      </c>
      <c r="K108" s="275">
        <v>412</v>
      </c>
      <c r="L108" s="275">
        <v>412</v>
      </c>
      <c r="M108" s="10"/>
      <c r="N108" s="10"/>
    </row>
    <row r="109" spans="1:14" x14ac:dyDescent="0.2">
      <c r="A109">
        <f t="shared" si="1"/>
        <v>108</v>
      </c>
      <c r="B109" t="s">
        <v>2039</v>
      </c>
      <c r="C109">
        <v>3</v>
      </c>
      <c r="D109">
        <v>140</v>
      </c>
      <c r="E109" s="2" t="str">
        <f>VLOOKUP( T_Aop[[#This Row],[Id]], T_Aop[], ID_Jezik + 9, 1)</f>
        <v>413, 414</v>
      </c>
      <c r="F109" t="str">
        <f>REPT( "  ", T_Aop[[#This Row],[Aop nivo]]) &amp; VLOOKUP( T_Aop[[#This Row],[Id]], T_Aop[], ID_Jezik + 6, 1)</f>
        <v xml:space="preserve">      4. Dugoročni krediti</v>
      </c>
      <c r="G109" t="s">
        <v>283</v>
      </c>
      <c r="H109" t="s">
        <v>1060</v>
      </c>
      <c r="I109" t="s">
        <v>1061</v>
      </c>
      <c r="J109" s="275" t="s">
        <v>1733</v>
      </c>
      <c r="K109" s="275" t="s">
        <v>1733</v>
      </c>
      <c r="L109" s="275" t="s">
        <v>1733</v>
      </c>
      <c r="M109" s="10"/>
      <c r="N109" s="10"/>
    </row>
    <row r="110" spans="1:14" x14ac:dyDescent="0.2">
      <c r="A110">
        <f t="shared" si="1"/>
        <v>109</v>
      </c>
      <c r="B110" t="s">
        <v>2039</v>
      </c>
      <c r="C110">
        <v>3</v>
      </c>
      <c r="D110">
        <v>141</v>
      </c>
      <c r="E110" s="2" t="str">
        <f>VLOOKUP( T_Aop[[#This Row],[Id]], T_Aop[], ID_Jezik + 9, 1)</f>
        <v>415, 416</v>
      </c>
      <c r="F110" t="str">
        <f>REPT( "  ", T_Aop[[#This Row],[Aop nivo]]) &amp; VLOOKUP( T_Aop[[#This Row],[Id]], T_Aop[], ID_Jezik + 6, 1)</f>
        <v xml:space="preserve">      5. Dugoročne obaveze po finansijskom lizingu</v>
      </c>
      <c r="G110" t="s">
        <v>1</v>
      </c>
      <c r="H110" t="s">
        <v>1062</v>
      </c>
      <c r="I110" t="s">
        <v>1063</v>
      </c>
      <c r="J110" s="275" t="s">
        <v>1734</v>
      </c>
      <c r="K110" s="275" t="s">
        <v>1734</v>
      </c>
      <c r="L110" s="275" t="s">
        <v>1734</v>
      </c>
      <c r="M110" s="10"/>
      <c r="N110" s="10"/>
    </row>
    <row r="111" spans="1:14" x14ac:dyDescent="0.2">
      <c r="A111">
        <f t="shared" si="1"/>
        <v>110</v>
      </c>
      <c r="B111" t="s">
        <v>2039</v>
      </c>
      <c r="C111">
        <v>3</v>
      </c>
      <c r="D111">
        <v>142</v>
      </c>
      <c r="E111" s="2">
        <f>VLOOKUP( T_Aop[[#This Row],[Id]], T_Aop[], ID_Jezik + 9, 1)</f>
        <v>417</v>
      </c>
      <c r="F111" t="str">
        <f>REPT( "  ", T_Aop[[#This Row],[Aop nivo]]) &amp; VLOOKUP( T_Aop[[#This Row],[Id]], T_Aop[], ID_Jezik + 6, 1)</f>
        <v xml:space="preserve">      6. Dugoročne obaveze po fer vrijednosti kroz bilans uspjeha</v>
      </c>
      <c r="G111" t="s">
        <v>2</v>
      </c>
      <c r="H111" t="s">
        <v>1064</v>
      </c>
      <c r="I111" t="s">
        <v>1065</v>
      </c>
      <c r="J111" s="275">
        <v>417</v>
      </c>
      <c r="K111" s="275">
        <v>417</v>
      </c>
      <c r="L111" s="275">
        <v>417</v>
      </c>
      <c r="M111" s="10"/>
      <c r="N111" s="10"/>
    </row>
    <row r="112" spans="1:14" x14ac:dyDescent="0.2">
      <c r="A112">
        <f t="shared" si="1"/>
        <v>111</v>
      </c>
      <c r="B112" t="s">
        <v>2039</v>
      </c>
      <c r="C112">
        <v>3</v>
      </c>
      <c r="D112">
        <v>143</v>
      </c>
      <c r="E112" s="2">
        <f>VLOOKUP( T_Aop[[#This Row],[Id]], T_Aop[], ID_Jezik + 9, 1)</f>
        <v>419</v>
      </c>
      <c r="F112" t="str">
        <f>REPT( "  ", T_Aop[[#This Row],[Aop nivo]]) &amp; VLOOKUP( T_Aop[[#This Row],[Id]], T_Aop[], ID_Jezik + 6, 1)</f>
        <v xml:space="preserve">      7. Ostale dugoročne obaveze</v>
      </c>
      <c r="G112" t="s">
        <v>1066</v>
      </c>
      <c r="H112" t="s">
        <v>1067</v>
      </c>
      <c r="I112" t="s">
        <v>1068</v>
      </c>
      <c r="J112" s="275">
        <v>419</v>
      </c>
      <c r="K112" s="275">
        <v>419</v>
      </c>
      <c r="L112" s="275">
        <v>419</v>
      </c>
      <c r="M112" s="10"/>
      <c r="N112" s="10"/>
    </row>
    <row r="113" spans="1:14" x14ac:dyDescent="0.2">
      <c r="A113">
        <f t="shared" si="1"/>
        <v>112</v>
      </c>
      <c r="B113" t="s">
        <v>2039</v>
      </c>
      <c r="C113">
        <v>2</v>
      </c>
      <c r="D113">
        <v>144</v>
      </c>
      <c r="E113" s="2" t="str">
        <f>VLOOKUP( T_Aop[[#This Row],[Id]], T_Aop[], ID_Jezik + 9, 1)</f>
        <v>42 do 49</v>
      </c>
      <c r="F113" t="str">
        <f>REPT( "  ", T_Aop[[#This Row],[Aop nivo]]) &amp; VLOOKUP( T_Aop[[#This Row],[Id]], T_Aop[], ID_Jezik + 6, 1)</f>
        <v xml:space="preserve">    II - KRATKOROČNE OBAVEZE (145 + 150 + 156 + 157 + 158 + 159 + 160 + 161 + 162 + 163)</v>
      </c>
      <c r="G113" t="s">
        <v>1069</v>
      </c>
      <c r="H113" t="s">
        <v>1070</v>
      </c>
      <c r="I113" t="s">
        <v>1071</v>
      </c>
      <c r="J113" s="275" t="s">
        <v>1735</v>
      </c>
      <c r="K113" s="275" t="s">
        <v>1736</v>
      </c>
      <c r="L113" s="275" t="s">
        <v>1737</v>
      </c>
      <c r="M113" s="10">
        <v>1</v>
      </c>
      <c r="N113" s="10"/>
    </row>
    <row r="114" spans="1:14" x14ac:dyDescent="0.2">
      <c r="A114">
        <f t="shared" si="1"/>
        <v>113</v>
      </c>
      <c r="B114" t="s">
        <v>2039</v>
      </c>
      <c r="C114">
        <v>3</v>
      </c>
      <c r="D114">
        <v>145</v>
      </c>
      <c r="E114" s="2">
        <f>VLOOKUP( T_Aop[[#This Row],[Id]], T_Aop[], ID_Jezik + 9, 1)</f>
        <v>42</v>
      </c>
      <c r="F114" t="str">
        <f>REPT( "  ", T_Aop[[#This Row],[Aop nivo]]) &amp; VLOOKUP( T_Aop[[#This Row],[Id]], T_Aop[], ID_Jezik + 6, 1)</f>
        <v xml:space="preserve">      1. Kratkoročne finansijske obaveze (146 do 149)</v>
      </c>
      <c r="G114" t="s">
        <v>1072</v>
      </c>
      <c r="H114" t="s">
        <v>1073</v>
      </c>
      <c r="I114" t="s">
        <v>1074</v>
      </c>
      <c r="J114" s="275">
        <v>42</v>
      </c>
      <c r="K114" s="275">
        <v>42</v>
      </c>
      <c r="L114" s="275">
        <v>42</v>
      </c>
      <c r="M114" s="10"/>
      <c r="N114" s="10"/>
    </row>
    <row r="115" spans="1:14" x14ac:dyDescent="0.2">
      <c r="A115">
        <f t="shared" si="1"/>
        <v>114</v>
      </c>
      <c r="B115" t="s">
        <v>2039</v>
      </c>
      <c r="C115">
        <v>4</v>
      </c>
      <c r="D115">
        <v>146</v>
      </c>
      <c r="E115" s="2" t="str">
        <f>VLOOKUP( T_Aop[[#This Row],[Id]], T_Aop[], ID_Jezik + 9, 1)</f>
        <v>420 do 423</v>
      </c>
      <c r="F115" t="str">
        <f>REPT( "  ", T_Aop[[#This Row],[Aop nivo]]) &amp; VLOOKUP( T_Aop[[#This Row],[Id]], T_Aop[], ID_Jezik + 6, 1)</f>
        <v xml:space="preserve">        a) Kratkoročni krediti i obaveze po emitovanim kratkoročnim hartijama od vrijednosti</v>
      </c>
      <c r="G115" t="s">
        <v>3</v>
      </c>
      <c r="H115" t="s">
        <v>1075</v>
      </c>
      <c r="I115" t="s">
        <v>61</v>
      </c>
      <c r="J115" s="275" t="s">
        <v>368</v>
      </c>
      <c r="K115" s="275" t="s">
        <v>1738</v>
      </c>
      <c r="L115" s="275" t="s">
        <v>79</v>
      </c>
      <c r="M115" s="10"/>
      <c r="N115" s="10"/>
    </row>
    <row r="116" spans="1:14" x14ac:dyDescent="0.2">
      <c r="A116">
        <f t="shared" si="1"/>
        <v>115</v>
      </c>
      <c r="B116" t="s">
        <v>2039</v>
      </c>
      <c r="C116">
        <v>4</v>
      </c>
      <c r="D116">
        <v>147</v>
      </c>
      <c r="E116" s="2" t="str">
        <f>VLOOKUP( T_Aop[[#This Row],[Id]], T_Aop[], ID_Jezik + 9, 1)</f>
        <v>424, 425</v>
      </c>
      <c r="F116" t="str">
        <f>REPT( "  ", T_Aop[[#This Row],[Aop nivo]]) &amp; VLOOKUP( T_Aop[[#This Row],[Id]], T_Aop[], ID_Jezik + 6, 1)</f>
        <v xml:space="preserve">        b) Dio dugoročnih finansijskih obaveza koji za plaćanje dospijeva u periodu do godinu dana</v>
      </c>
      <c r="G116" t="s">
        <v>2016</v>
      </c>
      <c r="H116" t="s">
        <v>2017</v>
      </c>
      <c r="I116" t="s">
        <v>62</v>
      </c>
      <c r="J116" s="275" t="s">
        <v>1739</v>
      </c>
      <c r="K116" s="275" t="s">
        <v>1739</v>
      </c>
      <c r="L116" s="275" t="s">
        <v>1739</v>
      </c>
      <c r="M116" s="10"/>
      <c r="N116" s="10"/>
    </row>
    <row r="117" spans="1:14" x14ac:dyDescent="0.2">
      <c r="A117">
        <f t="shared" si="1"/>
        <v>116</v>
      </c>
      <c r="B117" t="s">
        <v>2039</v>
      </c>
      <c r="C117">
        <v>4</v>
      </c>
      <c r="D117">
        <v>148</v>
      </c>
      <c r="E117" s="2">
        <f>VLOOKUP( T_Aop[[#This Row],[Id]], T_Aop[], ID_Jezik + 9, 1)</f>
        <v>426</v>
      </c>
      <c r="F117" t="str">
        <f>REPT( "  ", T_Aop[[#This Row],[Aop nivo]]) &amp; VLOOKUP( T_Aop[[#This Row],[Id]], T_Aop[], ID_Jezik + 6, 1)</f>
        <v xml:space="preserve">        v) Kratkoročne obaveze po fer vrijednosti kroz bilans uspjeha</v>
      </c>
      <c r="G117" t="s">
        <v>4</v>
      </c>
      <c r="H117" t="s">
        <v>1076</v>
      </c>
      <c r="I117" t="s">
        <v>1077</v>
      </c>
      <c r="J117" s="275">
        <v>426</v>
      </c>
      <c r="K117" s="275">
        <v>426</v>
      </c>
      <c r="L117" s="275">
        <v>426</v>
      </c>
      <c r="M117" s="10"/>
      <c r="N117" s="10"/>
    </row>
    <row r="118" spans="1:14" x14ac:dyDescent="0.2">
      <c r="A118">
        <f t="shared" si="1"/>
        <v>117</v>
      </c>
      <c r="B118" t="s">
        <v>2039</v>
      </c>
      <c r="C118">
        <v>4</v>
      </c>
      <c r="D118">
        <v>149</v>
      </c>
      <c r="E118" s="2">
        <f>VLOOKUP( T_Aop[[#This Row],[Id]], T_Aop[], ID_Jezik + 9, 1)</f>
        <v>429</v>
      </c>
      <c r="F118" t="str">
        <f>REPT( "  ", T_Aop[[#This Row],[Aop nivo]]) &amp; VLOOKUP( T_Aop[[#This Row],[Id]], T_Aop[], ID_Jezik + 6, 1)</f>
        <v xml:space="preserve">        g) Ostale kratkoročne finansijske obaveze</v>
      </c>
      <c r="G118" t="s">
        <v>5</v>
      </c>
      <c r="H118" t="s">
        <v>1078</v>
      </c>
      <c r="I118" t="s">
        <v>1079</v>
      </c>
      <c r="J118" s="275">
        <v>429</v>
      </c>
      <c r="K118" s="275">
        <v>429</v>
      </c>
      <c r="L118" s="275">
        <v>429</v>
      </c>
      <c r="M118" s="10"/>
      <c r="N118" s="10"/>
    </row>
    <row r="119" spans="1:14" x14ac:dyDescent="0.2">
      <c r="A119">
        <f t="shared" si="1"/>
        <v>118</v>
      </c>
      <c r="B119" t="s">
        <v>2039</v>
      </c>
      <c r="C119">
        <v>3</v>
      </c>
      <c r="D119">
        <v>150</v>
      </c>
      <c r="E119" s="2">
        <f>VLOOKUP( T_Aop[[#This Row],[Id]], T_Aop[], ID_Jezik + 9, 1)</f>
        <v>43</v>
      </c>
      <c r="F119" t="str">
        <f>REPT( "  ", T_Aop[[#This Row],[Aop nivo]]) &amp; VLOOKUP( T_Aop[[#This Row],[Id]], T_Aop[], ID_Jezik + 6, 1)</f>
        <v xml:space="preserve">      2. Obaveze iz poslovanja (151 do 155)</v>
      </c>
      <c r="G119" t="s">
        <v>1080</v>
      </c>
      <c r="H119" t="s">
        <v>1081</v>
      </c>
      <c r="I119" t="s">
        <v>1082</v>
      </c>
      <c r="J119" s="275">
        <v>43</v>
      </c>
      <c r="K119" s="275">
        <v>43</v>
      </c>
      <c r="L119" s="275">
        <v>43</v>
      </c>
      <c r="M119" s="10"/>
      <c r="N119" s="10"/>
    </row>
    <row r="120" spans="1:14" x14ac:dyDescent="0.2">
      <c r="A120">
        <f t="shared" si="1"/>
        <v>119</v>
      </c>
      <c r="B120" t="s">
        <v>2039</v>
      </c>
      <c r="C120">
        <v>4</v>
      </c>
      <c r="D120">
        <v>151</v>
      </c>
      <c r="E120" s="2">
        <f>VLOOKUP( T_Aop[[#This Row],[Id]], T_Aop[], ID_Jezik + 9, 1)</f>
        <v>430</v>
      </c>
      <c r="F120" t="str">
        <f>REPT( "  ", T_Aop[[#This Row],[Aop nivo]]) &amp; VLOOKUP( T_Aop[[#This Row],[Id]], T_Aop[], ID_Jezik + 6, 1)</f>
        <v xml:space="preserve">        a) Primljeni avansi, depoziti i kaucije</v>
      </c>
      <c r="G120" t="s">
        <v>361</v>
      </c>
      <c r="H120" t="s">
        <v>1083</v>
      </c>
      <c r="I120" t="s">
        <v>65</v>
      </c>
      <c r="J120" s="275">
        <v>430</v>
      </c>
      <c r="K120" s="275">
        <v>430</v>
      </c>
      <c r="L120" s="275">
        <v>430</v>
      </c>
      <c r="M120" s="10"/>
      <c r="N120" s="10"/>
    </row>
    <row r="121" spans="1:14" x14ac:dyDescent="0.2">
      <c r="A121">
        <f t="shared" si="1"/>
        <v>120</v>
      </c>
      <c r="B121" t="s">
        <v>2039</v>
      </c>
      <c r="C121">
        <v>4</v>
      </c>
      <c r="D121">
        <v>152</v>
      </c>
      <c r="E121" s="2">
        <f>VLOOKUP( T_Aop[[#This Row],[Id]], T_Aop[], ID_Jezik + 9, 1)</f>
        <v>431</v>
      </c>
      <c r="F121" t="str">
        <f>REPT( "  ", T_Aop[[#This Row],[Aop nivo]]) &amp; VLOOKUP( T_Aop[[#This Row],[Id]], T_Aop[], ID_Jezik + 6, 1)</f>
        <v xml:space="preserve">        b) Dobavljači - povezana pravna lica</v>
      </c>
      <c r="G121" t="s">
        <v>92</v>
      </c>
      <c r="H121" t="s">
        <v>1084</v>
      </c>
      <c r="I121" t="s">
        <v>214</v>
      </c>
      <c r="J121" s="275">
        <v>431</v>
      </c>
      <c r="K121" s="275">
        <v>431</v>
      </c>
      <c r="L121" s="275">
        <v>431</v>
      </c>
      <c r="M121" s="10"/>
      <c r="N121" s="10"/>
    </row>
    <row r="122" spans="1:14" x14ac:dyDescent="0.2">
      <c r="A122">
        <f t="shared" si="1"/>
        <v>121</v>
      </c>
      <c r="B122" t="s">
        <v>2039</v>
      </c>
      <c r="C122">
        <v>4</v>
      </c>
      <c r="D122">
        <v>153</v>
      </c>
      <c r="E122" s="2" t="str">
        <f>VLOOKUP( T_Aop[[#This Row],[Id]], T_Aop[], ID_Jezik + 9, 1)</f>
        <v>432, 433, 434</v>
      </c>
      <c r="F122" t="str">
        <f>REPT( "  ", T_Aop[[#This Row],[Aop nivo]]) &amp; VLOOKUP( T_Aop[[#This Row],[Id]], T_Aop[], ID_Jezik + 6, 1)</f>
        <v xml:space="preserve">        v) Dobavljači u zemlji</v>
      </c>
      <c r="G122" t="s">
        <v>1085</v>
      </c>
      <c r="H122" t="s">
        <v>1086</v>
      </c>
      <c r="I122" t="s">
        <v>1087</v>
      </c>
      <c r="J122" s="275" t="s">
        <v>1740</v>
      </c>
      <c r="K122" s="275" t="s">
        <v>1740</v>
      </c>
      <c r="L122" s="275" t="s">
        <v>1740</v>
      </c>
      <c r="M122" s="10"/>
      <c r="N122" s="10"/>
    </row>
    <row r="123" spans="1:14" x14ac:dyDescent="0.2">
      <c r="A123">
        <f t="shared" si="1"/>
        <v>122</v>
      </c>
      <c r="B123" t="s">
        <v>2039</v>
      </c>
      <c r="C123">
        <v>4</v>
      </c>
      <c r="D123">
        <v>154</v>
      </c>
      <c r="E123" s="2">
        <f>VLOOKUP( T_Aop[[#This Row],[Id]], T_Aop[], ID_Jezik + 9, 1)</f>
        <v>435</v>
      </c>
      <c r="F123" t="str">
        <f>REPT( "  ", T_Aop[[#This Row],[Aop nivo]]) &amp; VLOOKUP( T_Aop[[#This Row],[Id]], T_Aop[], ID_Jezik + 6, 1)</f>
        <v xml:space="preserve">        g) Dobavljači iz inostranstva</v>
      </c>
      <c r="G123" t="s">
        <v>1088</v>
      </c>
      <c r="H123" t="s">
        <v>1089</v>
      </c>
      <c r="I123" t="s">
        <v>1090</v>
      </c>
      <c r="J123" s="275">
        <v>435</v>
      </c>
      <c r="K123" s="275">
        <v>435</v>
      </c>
      <c r="L123" s="275">
        <v>435</v>
      </c>
      <c r="M123" s="10"/>
      <c r="N123" s="10"/>
    </row>
    <row r="124" spans="1:14" x14ac:dyDescent="0.2">
      <c r="A124">
        <f t="shared" si="1"/>
        <v>123</v>
      </c>
      <c r="B124" t="s">
        <v>2039</v>
      </c>
      <c r="C124">
        <v>4</v>
      </c>
      <c r="D124">
        <v>155</v>
      </c>
      <c r="E124" s="2">
        <f>VLOOKUP( T_Aop[[#This Row],[Id]], T_Aop[], ID_Jezik + 9, 1)</f>
        <v>439</v>
      </c>
      <c r="F124" t="str">
        <f>REPT( "  ", T_Aop[[#This Row],[Aop nivo]]) &amp; VLOOKUP( T_Aop[[#This Row],[Id]], T_Aop[], ID_Jezik + 6, 1)</f>
        <v xml:space="preserve">        d) Ostale obaveze iz poslovanja</v>
      </c>
      <c r="G124" t="s">
        <v>1091</v>
      </c>
      <c r="H124" t="s">
        <v>1092</v>
      </c>
      <c r="I124" t="s">
        <v>1093</v>
      </c>
      <c r="J124" s="275">
        <v>439</v>
      </c>
      <c r="K124" s="275">
        <v>439</v>
      </c>
      <c r="L124" s="275">
        <v>439</v>
      </c>
      <c r="M124" s="10"/>
      <c r="N124" s="10"/>
    </row>
    <row r="125" spans="1:14" x14ac:dyDescent="0.2">
      <c r="A125">
        <f t="shared" si="1"/>
        <v>124</v>
      </c>
      <c r="B125" t="s">
        <v>2039</v>
      </c>
      <c r="C125">
        <v>3</v>
      </c>
      <c r="D125">
        <v>156</v>
      </c>
      <c r="E125" s="2" t="str">
        <f>VLOOKUP( T_Aop[[#This Row],[Id]], T_Aop[], ID_Jezik + 9, 1)</f>
        <v>440 do 449</v>
      </c>
      <c r="F125" t="str">
        <f>REPT( "  ", T_Aop[[#This Row],[Aop nivo]]) &amp; VLOOKUP( T_Aop[[#This Row],[Id]], T_Aop[], ID_Jezik + 6, 1)</f>
        <v xml:space="preserve">      3. Obaveze iz specifičnih poslova</v>
      </c>
      <c r="G125" t="s">
        <v>8</v>
      </c>
      <c r="H125" t="s">
        <v>1094</v>
      </c>
      <c r="I125" t="s">
        <v>1095</v>
      </c>
      <c r="J125" s="275" t="s">
        <v>369</v>
      </c>
      <c r="K125" s="275" t="s">
        <v>1741</v>
      </c>
      <c r="L125" s="275" t="s">
        <v>80</v>
      </c>
      <c r="M125" s="10"/>
      <c r="N125" s="10"/>
    </row>
    <row r="126" spans="1:14" x14ac:dyDescent="0.2">
      <c r="A126">
        <f t="shared" si="1"/>
        <v>125</v>
      </c>
      <c r="B126" t="s">
        <v>2039</v>
      </c>
      <c r="C126">
        <v>3</v>
      </c>
      <c r="D126">
        <v>157</v>
      </c>
      <c r="E126" s="2" t="str">
        <f>VLOOKUP( T_Aop[[#This Row],[Id]], T_Aop[], ID_Jezik + 9, 1)</f>
        <v>450 do 458</v>
      </c>
      <c r="F126" t="str">
        <f>REPT( "  ", T_Aop[[#This Row],[Aop nivo]]) &amp; VLOOKUP( T_Aop[[#This Row],[Id]], T_Aop[], ID_Jezik + 6, 1)</f>
        <v xml:space="preserve">      4. Obaveze za zarade i naknade zarada</v>
      </c>
      <c r="G126" t="s">
        <v>362</v>
      </c>
      <c r="H126" t="s">
        <v>1096</v>
      </c>
      <c r="I126" t="s">
        <v>1097</v>
      </c>
      <c r="J126" s="275" t="s">
        <v>370</v>
      </c>
      <c r="K126" s="275" t="s">
        <v>1742</v>
      </c>
      <c r="L126" s="275" t="s">
        <v>81</v>
      </c>
      <c r="M126" s="10"/>
      <c r="N126" s="10"/>
    </row>
    <row r="127" spans="1:14" x14ac:dyDescent="0.2">
      <c r="A127">
        <f t="shared" si="1"/>
        <v>126</v>
      </c>
      <c r="B127" t="s">
        <v>2039</v>
      </c>
      <c r="C127">
        <v>3</v>
      </c>
      <c r="D127">
        <v>158</v>
      </c>
      <c r="E127" s="2" t="str">
        <f>VLOOKUP( T_Aop[[#This Row],[Id]], T_Aop[], ID_Jezik + 9, 1)</f>
        <v>460 do 469</v>
      </c>
      <c r="F127" t="str">
        <f>REPT( "  ", T_Aop[[#This Row],[Aop nivo]]) &amp; VLOOKUP( T_Aop[[#This Row],[Id]], T_Aop[], ID_Jezik + 6, 1)</f>
        <v xml:space="preserve">      5. Druge obaveze</v>
      </c>
      <c r="G127" t="s">
        <v>363</v>
      </c>
      <c r="H127" t="s">
        <v>1098</v>
      </c>
      <c r="I127" t="s">
        <v>1099</v>
      </c>
      <c r="J127" s="275" t="s">
        <v>371</v>
      </c>
      <c r="K127" s="275" t="s">
        <v>1743</v>
      </c>
      <c r="L127" s="275" t="s">
        <v>82</v>
      </c>
      <c r="M127" s="10"/>
      <c r="N127" s="10"/>
    </row>
    <row r="128" spans="1:14" x14ac:dyDescent="0.2">
      <c r="A128">
        <f t="shared" si="1"/>
        <v>127</v>
      </c>
      <c r="B128" t="s">
        <v>2039</v>
      </c>
      <c r="C128">
        <v>3</v>
      </c>
      <c r="D128">
        <v>159</v>
      </c>
      <c r="E128" s="2" t="str">
        <f>VLOOKUP( T_Aop[[#This Row],[Id]], T_Aop[], ID_Jezik + 9, 1)</f>
        <v>470 do 479</v>
      </c>
      <c r="F128" t="str">
        <f>REPT( "  ", T_Aop[[#This Row],[Aop nivo]]) &amp; VLOOKUP( T_Aop[[#This Row],[Id]], T_Aop[], ID_Jezik + 6, 1)</f>
        <v xml:space="preserve">      6. Porez na dodatu vrijednost</v>
      </c>
      <c r="G128" t="s">
        <v>364</v>
      </c>
      <c r="H128" t="s">
        <v>1100</v>
      </c>
      <c r="I128" t="s">
        <v>1101</v>
      </c>
      <c r="J128" s="275" t="s">
        <v>372</v>
      </c>
      <c r="K128" s="275" t="s">
        <v>1744</v>
      </c>
      <c r="L128" s="275" t="s">
        <v>83</v>
      </c>
      <c r="M128" s="10"/>
      <c r="N128" s="10"/>
    </row>
    <row r="129" spans="1:14" x14ac:dyDescent="0.2">
      <c r="A129">
        <f t="shared" si="1"/>
        <v>128</v>
      </c>
      <c r="B129" t="s">
        <v>2039</v>
      </c>
      <c r="C129">
        <v>3</v>
      </c>
      <c r="D129">
        <v>160</v>
      </c>
      <c r="E129" s="2" t="str">
        <f>VLOOKUP( T_Aop[[#This Row],[Id]], T_Aop[], ID_Jezik + 9, 1)</f>
        <v>48, osim 481</v>
      </c>
      <c r="F129" t="str">
        <f>REPT( "  ", T_Aop[[#This Row],[Aop nivo]]) &amp; VLOOKUP( T_Aop[[#This Row],[Id]], T_Aop[], ID_Jezik + 6, 1)</f>
        <v xml:space="preserve">      7. Obaveze za ostale poreze, doprinose i druge dažbine</v>
      </c>
      <c r="G129" t="s">
        <v>365</v>
      </c>
      <c r="H129" t="s">
        <v>1102</v>
      </c>
      <c r="I129" t="s">
        <v>1103</v>
      </c>
      <c r="J129" s="275" t="s">
        <v>1745</v>
      </c>
      <c r="K129" s="275" t="s">
        <v>1746</v>
      </c>
      <c r="L129" s="275" t="s">
        <v>1747</v>
      </c>
      <c r="M129" s="10"/>
      <c r="N129" s="10"/>
    </row>
    <row r="130" spans="1:14" x14ac:dyDescent="0.2">
      <c r="A130">
        <f t="shared" ref="A130:A193" si="2">ROW()-ROW($A$1)</f>
        <v>129</v>
      </c>
      <c r="B130" t="s">
        <v>2039</v>
      </c>
      <c r="C130">
        <v>3</v>
      </c>
      <c r="D130">
        <v>161</v>
      </c>
      <c r="E130" s="2">
        <f>VLOOKUP( T_Aop[[#This Row],[Id]], T_Aop[], ID_Jezik + 9, 1)</f>
        <v>481</v>
      </c>
      <c r="F130" t="str">
        <f>REPT( "  ", T_Aop[[#This Row],[Aop nivo]]) &amp; VLOOKUP( T_Aop[[#This Row],[Id]], T_Aop[], ID_Jezik + 6, 1)</f>
        <v xml:space="preserve">      8. Obaveze za porez na dobitak</v>
      </c>
      <c r="G130" t="s">
        <v>366</v>
      </c>
      <c r="H130" t="s">
        <v>1104</v>
      </c>
      <c r="I130" t="s">
        <v>1105</v>
      </c>
      <c r="J130" s="275">
        <v>481</v>
      </c>
      <c r="K130" s="275">
        <v>481</v>
      </c>
      <c r="L130" s="275">
        <v>481</v>
      </c>
      <c r="M130" s="10"/>
      <c r="N130" s="10"/>
    </row>
    <row r="131" spans="1:14" x14ac:dyDescent="0.2">
      <c r="A131">
        <f t="shared" si="2"/>
        <v>130</v>
      </c>
      <c r="B131" t="s">
        <v>2039</v>
      </c>
      <c r="C131">
        <v>3</v>
      </c>
      <c r="D131">
        <v>162</v>
      </c>
      <c r="E131" s="2" t="str">
        <f>VLOOKUP( T_Aop[[#This Row],[Id]], T_Aop[], ID_Jezik + 9, 1)</f>
        <v>49, osim 495</v>
      </c>
      <c r="F131" t="str">
        <f>REPT( "  ", T_Aop[[#This Row],[Aop nivo]]) &amp; VLOOKUP( T_Aop[[#This Row],[Id]], T_Aop[], ID_Jezik + 6, 1)</f>
        <v xml:space="preserve">      9. Pasivna vremenska razgraničenja i kratkoročna rezervisanja</v>
      </c>
      <c r="G131" t="s">
        <v>1106</v>
      </c>
      <c r="H131" t="s">
        <v>1107</v>
      </c>
      <c r="I131" t="s">
        <v>1108</v>
      </c>
      <c r="J131" s="275" t="s">
        <v>373</v>
      </c>
      <c r="K131" s="275" t="s">
        <v>1748</v>
      </c>
      <c r="L131" s="275" t="s">
        <v>85</v>
      </c>
      <c r="M131" s="10"/>
      <c r="N131" s="10"/>
    </row>
    <row r="132" spans="1:14" x14ac:dyDescent="0.2">
      <c r="A132">
        <f t="shared" si="2"/>
        <v>131</v>
      </c>
      <c r="B132" t="s">
        <v>2039</v>
      </c>
      <c r="C132">
        <v>3</v>
      </c>
      <c r="D132">
        <v>163</v>
      </c>
      <c r="E132" s="2">
        <f>VLOOKUP( T_Aop[[#This Row],[Id]], T_Aop[], ID_Jezik + 9, 1)</f>
        <v>495</v>
      </c>
      <c r="F132" t="str">
        <f>REPT( "  ", T_Aop[[#This Row],[Aop nivo]]) &amp; VLOOKUP( T_Aop[[#This Row],[Id]], T_Aop[], ID_Jezik + 6, 1)</f>
        <v xml:space="preserve">      10. Odložene poreske obaveze</v>
      </c>
      <c r="G132" t="s">
        <v>6</v>
      </c>
      <c r="H132" t="s">
        <v>1109</v>
      </c>
      <c r="I132" t="s">
        <v>1110</v>
      </c>
      <c r="J132" s="275">
        <v>495</v>
      </c>
      <c r="K132" s="275">
        <v>495</v>
      </c>
      <c r="L132" s="275">
        <v>495</v>
      </c>
      <c r="M132" s="10"/>
      <c r="N132" s="10"/>
    </row>
    <row r="133" spans="1:14" x14ac:dyDescent="0.2">
      <c r="A133">
        <f t="shared" si="2"/>
        <v>132</v>
      </c>
      <c r="B133" t="s">
        <v>2039</v>
      </c>
      <c r="C133">
        <v>1</v>
      </c>
      <c r="D133">
        <v>164</v>
      </c>
      <c r="E133" s="2">
        <f>VLOOKUP( T_Aop[[#This Row],[Id]], T_Aop[], ID_Jezik + 9, 1)</f>
        <v>0</v>
      </c>
      <c r="F133" t="str">
        <f>REPT( "  ", T_Aop[[#This Row],[Aop nivo]]) &amp; VLOOKUP( T_Aop[[#This Row],[Id]], T_Aop[], ID_Jezik + 6, 1)</f>
        <v xml:space="preserve">  G. POSLOVNA PASIVA (101 + 126 + 135)</v>
      </c>
      <c r="G133" t="s">
        <v>1111</v>
      </c>
      <c r="H133" t="s">
        <v>1112</v>
      </c>
      <c r="I133" t="s">
        <v>1113</v>
      </c>
      <c r="J133" s="275"/>
      <c r="K133" s="275"/>
      <c r="L133" s="275"/>
      <c r="M133" s="10">
        <v>1</v>
      </c>
      <c r="N133" s="10"/>
    </row>
    <row r="134" spans="1:14" x14ac:dyDescent="0.2">
      <c r="A134">
        <f t="shared" si="2"/>
        <v>133</v>
      </c>
      <c r="B134" t="s">
        <v>2039</v>
      </c>
      <c r="C134">
        <v>1</v>
      </c>
      <c r="D134">
        <v>165</v>
      </c>
      <c r="E134" s="2" t="str">
        <f>VLOOKUP( T_Aop[[#This Row],[Id]], T_Aop[], ID_Jezik + 9, 1)</f>
        <v>890 do 898</v>
      </c>
      <c r="F134" t="str">
        <f>REPT( "  ", T_Aop[[#This Row],[Aop nivo]]) &amp; VLOOKUP( T_Aop[[#This Row],[Id]], T_Aop[], ID_Jezik + 6, 1)</f>
        <v xml:space="preserve">  D. VANBILANSNA PASIVA</v>
      </c>
      <c r="G134" t="s">
        <v>7</v>
      </c>
      <c r="H134" t="s">
        <v>1114</v>
      </c>
      <c r="I134" t="s">
        <v>100</v>
      </c>
      <c r="J134" s="275" t="s">
        <v>374</v>
      </c>
      <c r="K134" s="275" t="s">
        <v>1749</v>
      </c>
      <c r="L134" s="275" t="s">
        <v>84</v>
      </c>
      <c r="M134" s="10">
        <v>1</v>
      </c>
      <c r="N134" s="10"/>
    </row>
    <row r="135" spans="1:14" x14ac:dyDescent="0.2">
      <c r="A135">
        <f t="shared" si="2"/>
        <v>134</v>
      </c>
      <c r="B135" t="s">
        <v>2039</v>
      </c>
      <c r="C135">
        <v>1</v>
      </c>
      <c r="D135">
        <v>166</v>
      </c>
      <c r="E135" s="2">
        <f>VLOOKUP( T_Aop[[#This Row],[Id]], T_Aop[], ID_Jezik + 9, 1)</f>
        <v>0</v>
      </c>
      <c r="F135" t="str">
        <f>REPT( "  ", T_Aop[[#This Row],[Aop nivo]]) &amp; VLOOKUP( T_Aop[[#This Row],[Id]], T_Aop[], ID_Jezik + 6, 1)</f>
        <v xml:space="preserve">  Đ. UKUPNA PASIVA (164 + 165)</v>
      </c>
      <c r="G135" t="s">
        <v>1115</v>
      </c>
      <c r="H135" t="s">
        <v>1116</v>
      </c>
      <c r="I135" t="s">
        <v>1117</v>
      </c>
      <c r="J135" s="275"/>
      <c r="K135" s="275"/>
      <c r="L135" s="275"/>
      <c r="M135" s="10">
        <v>1</v>
      </c>
      <c r="N135" s="10"/>
    </row>
    <row r="136" spans="1:14" x14ac:dyDescent="0.2">
      <c r="A136">
        <f t="shared" si="2"/>
        <v>135</v>
      </c>
      <c r="B136" t="s">
        <v>541</v>
      </c>
      <c r="C136">
        <v>0</v>
      </c>
      <c r="E136" s="2">
        <f>VLOOKUP( T_Aop[[#This Row],[Id]], T_Aop[], ID_Jezik + 9, 1)</f>
        <v>0</v>
      </c>
      <c r="F136" t="str">
        <f>REPT( "  ", T_Aop[[#This Row],[Aop nivo]]) &amp; VLOOKUP( T_Aop[[#This Row],[Id]], T_Aop[], ID_Jezik + 6, 1)</f>
        <v>A. POSLOVNI PRIHODI I RASHODI</v>
      </c>
      <c r="G136" t="s">
        <v>9</v>
      </c>
      <c r="H136" t="s">
        <v>1118</v>
      </c>
      <c r="I136" t="s">
        <v>215</v>
      </c>
      <c r="J136" s="275"/>
      <c r="K136" s="275"/>
      <c r="L136" s="275"/>
      <c r="M136" s="10">
        <v>1</v>
      </c>
      <c r="N136" s="10"/>
    </row>
    <row r="137" spans="1:14" x14ac:dyDescent="0.2">
      <c r="A137">
        <f t="shared" si="2"/>
        <v>136</v>
      </c>
      <c r="B137" t="s">
        <v>541</v>
      </c>
      <c r="C137">
        <v>2</v>
      </c>
      <c r="D137">
        <v>201</v>
      </c>
      <c r="E137" s="2">
        <f>VLOOKUP( T_Aop[[#This Row],[Id]], T_Aop[], ID_Jezik + 9, 1)</f>
        <v>0</v>
      </c>
      <c r="F137" t="str">
        <f>REPT( "  ", T_Aop[[#This Row],[Aop nivo]]) &amp; VLOOKUP( T_Aop[[#This Row],[Id]], T_Aop[], ID_Jezik + 6, 1)</f>
        <v xml:space="preserve">    I - POSLOVNI PRIHODI (202 + 206 + 210 + 211 - 212 + 213 - 214 + 215)</v>
      </c>
      <c r="G137" t="s">
        <v>1119</v>
      </c>
      <c r="H137" t="s">
        <v>1120</v>
      </c>
      <c r="I137" t="s">
        <v>1121</v>
      </c>
      <c r="J137" s="275"/>
      <c r="K137" s="275"/>
      <c r="L137" s="275"/>
      <c r="M137" s="10">
        <v>1</v>
      </c>
      <c r="N137" s="10"/>
    </row>
    <row r="138" spans="1:14" x14ac:dyDescent="0.2">
      <c r="A138">
        <f t="shared" si="2"/>
        <v>137</v>
      </c>
      <c r="B138" t="s">
        <v>541</v>
      </c>
      <c r="C138">
        <v>3</v>
      </c>
      <c r="D138">
        <v>202</v>
      </c>
      <c r="E138" s="2">
        <f>VLOOKUP( T_Aop[[#This Row],[Id]], T_Aop[], ID_Jezik + 9, 1)</f>
        <v>60</v>
      </c>
      <c r="F138" t="str">
        <f>REPT( "  ", T_Aop[[#This Row],[Aop nivo]]) &amp; VLOOKUP( T_Aop[[#This Row],[Id]], T_Aop[], ID_Jezik + 6, 1)</f>
        <v xml:space="preserve">      1. Prihodi od prodaje robe (203 do 205)</v>
      </c>
      <c r="G138" t="s">
        <v>255</v>
      </c>
      <c r="H138" t="s">
        <v>1122</v>
      </c>
      <c r="I138" t="s">
        <v>1123</v>
      </c>
      <c r="J138" s="275">
        <v>60</v>
      </c>
      <c r="K138" s="275">
        <v>60</v>
      </c>
      <c r="L138" s="275">
        <v>60</v>
      </c>
      <c r="M138" s="10"/>
      <c r="N138" s="10"/>
    </row>
    <row r="139" spans="1:14" x14ac:dyDescent="0.2">
      <c r="A139">
        <f t="shared" si="2"/>
        <v>138</v>
      </c>
      <c r="B139" t="s">
        <v>541</v>
      </c>
      <c r="C139">
        <v>4</v>
      </c>
      <c r="D139">
        <v>203</v>
      </c>
      <c r="E139" s="2">
        <f>VLOOKUP( T_Aop[[#This Row],[Id]], T_Aop[], ID_Jezik + 9, 1)</f>
        <v>600</v>
      </c>
      <c r="F139" t="str">
        <f>REPT( "  ", T_Aop[[#This Row],[Aop nivo]]) &amp; VLOOKUP( T_Aop[[#This Row],[Id]], T_Aop[], ID_Jezik + 6, 1)</f>
        <v xml:space="preserve">        a) Prihodi od prodaje robe povezanim pravnim licima</v>
      </c>
      <c r="G139" t="s">
        <v>256</v>
      </c>
      <c r="H139" t="s">
        <v>1124</v>
      </c>
      <c r="I139" t="s">
        <v>216</v>
      </c>
      <c r="J139" s="275">
        <v>600</v>
      </c>
      <c r="K139" s="275">
        <v>600</v>
      </c>
      <c r="L139" s="275">
        <v>600</v>
      </c>
      <c r="M139" s="10"/>
      <c r="N139" s="10"/>
    </row>
    <row r="140" spans="1:14" x14ac:dyDescent="0.2">
      <c r="A140">
        <f t="shared" si="2"/>
        <v>139</v>
      </c>
      <c r="B140" t="s">
        <v>541</v>
      </c>
      <c r="C140">
        <v>4</v>
      </c>
      <c r="D140">
        <v>204</v>
      </c>
      <c r="E140" s="2" t="str">
        <f>VLOOKUP( T_Aop[[#This Row],[Id]], T_Aop[], ID_Jezik + 9, 1)</f>
        <v>601, 602, 603</v>
      </c>
      <c r="F140" t="str">
        <f>REPT( "  ", T_Aop[[#This Row],[Aop nivo]]) &amp; VLOOKUP( T_Aop[[#This Row],[Id]], T_Aop[], ID_Jezik + 6, 1)</f>
        <v xml:space="preserve">        b) Prihodi od prodaje robe na domaćem tržištu</v>
      </c>
      <c r="G140" t="s">
        <v>257</v>
      </c>
      <c r="H140" t="s">
        <v>1125</v>
      </c>
      <c r="I140" t="s">
        <v>233</v>
      </c>
      <c r="J140" s="275" t="s">
        <v>1750</v>
      </c>
      <c r="K140" s="275" t="s">
        <v>1750</v>
      </c>
      <c r="L140" s="275" t="s">
        <v>1750</v>
      </c>
      <c r="M140" s="10"/>
      <c r="N140" s="10"/>
    </row>
    <row r="141" spans="1:14" x14ac:dyDescent="0.2">
      <c r="A141">
        <f t="shared" si="2"/>
        <v>140</v>
      </c>
      <c r="B141" t="s">
        <v>541</v>
      </c>
      <c r="C141">
        <v>4</v>
      </c>
      <c r="D141">
        <v>205</v>
      </c>
      <c r="E141" s="2">
        <f>VLOOKUP( T_Aop[[#This Row],[Id]], T_Aop[], ID_Jezik + 9, 1)</f>
        <v>604</v>
      </c>
      <c r="F141" t="str">
        <f>REPT( "  ", T_Aop[[#This Row],[Aop nivo]]) &amp; VLOOKUP( T_Aop[[#This Row],[Id]], T_Aop[], ID_Jezik + 6, 1)</f>
        <v xml:space="preserve">        v) Prihodi od prodaje robe na inostranom tržištu</v>
      </c>
      <c r="G141" t="s">
        <v>258</v>
      </c>
      <c r="H141" t="s">
        <v>1126</v>
      </c>
      <c r="I141" t="s">
        <v>1127</v>
      </c>
      <c r="J141" s="275">
        <v>604</v>
      </c>
      <c r="K141" s="275">
        <v>604</v>
      </c>
      <c r="L141" s="275">
        <v>604</v>
      </c>
      <c r="M141" s="10"/>
      <c r="N141" s="10"/>
    </row>
    <row r="142" spans="1:14" x14ac:dyDescent="0.2">
      <c r="A142">
        <f t="shared" si="2"/>
        <v>141</v>
      </c>
      <c r="B142" t="s">
        <v>541</v>
      </c>
      <c r="C142">
        <v>3</v>
      </c>
      <c r="D142">
        <v>206</v>
      </c>
      <c r="E142" s="2">
        <f>VLOOKUP( T_Aop[[#This Row],[Id]], T_Aop[], ID_Jezik + 9, 1)</f>
        <v>61</v>
      </c>
      <c r="F142" t="str">
        <f>REPT( "  ", T_Aop[[#This Row],[Aop nivo]]) &amp; VLOOKUP( T_Aop[[#This Row],[Id]], T_Aop[], ID_Jezik + 6, 1)</f>
        <v xml:space="preserve">      2. Prihodi od prodaje učinaka (207 do 209)</v>
      </c>
      <c r="G142" t="s">
        <v>19</v>
      </c>
      <c r="H142" t="s">
        <v>1128</v>
      </c>
      <c r="I142" t="s">
        <v>1129</v>
      </c>
      <c r="J142" s="275">
        <v>61</v>
      </c>
      <c r="K142" s="275">
        <v>61</v>
      </c>
      <c r="L142" s="275">
        <v>61</v>
      </c>
      <c r="M142" s="10"/>
      <c r="N142" s="10"/>
    </row>
    <row r="143" spans="1:14" x14ac:dyDescent="0.2">
      <c r="A143">
        <f t="shared" si="2"/>
        <v>142</v>
      </c>
      <c r="B143" t="s">
        <v>541</v>
      </c>
      <c r="C143">
        <v>4</v>
      </c>
      <c r="D143">
        <v>207</v>
      </c>
      <c r="E143" s="2">
        <f>VLOOKUP( T_Aop[[#This Row],[Id]], T_Aop[], ID_Jezik + 9, 1)</f>
        <v>610</v>
      </c>
      <c r="F143" t="str">
        <f>REPT( "  ", T_Aop[[#This Row],[Aop nivo]]) &amp; VLOOKUP( T_Aop[[#This Row],[Id]], T_Aop[], ID_Jezik + 6, 1)</f>
        <v xml:space="preserve">        a) Prihodi od prodaje učinaka povezanim pravnim licima</v>
      </c>
      <c r="G143" t="s">
        <v>20</v>
      </c>
      <c r="H143" t="s">
        <v>1130</v>
      </c>
      <c r="I143" t="s">
        <v>217</v>
      </c>
      <c r="J143" s="275">
        <v>610</v>
      </c>
      <c r="K143" s="275">
        <v>610</v>
      </c>
      <c r="L143" s="275">
        <v>610</v>
      </c>
      <c r="M143" s="10"/>
      <c r="N143" s="10"/>
    </row>
    <row r="144" spans="1:14" x14ac:dyDescent="0.2">
      <c r="A144">
        <f t="shared" si="2"/>
        <v>143</v>
      </c>
      <c r="B144" t="s">
        <v>541</v>
      </c>
      <c r="C144">
        <v>4</v>
      </c>
      <c r="D144">
        <v>208</v>
      </c>
      <c r="E144" s="2" t="str">
        <f>VLOOKUP( T_Aop[[#This Row],[Id]], T_Aop[], ID_Jezik + 9, 1)</f>
        <v>611, 612, 613</v>
      </c>
      <c r="F144" t="str">
        <f>REPT( "  ", T_Aop[[#This Row],[Aop nivo]]) &amp; VLOOKUP( T_Aop[[#This Row],[Id]], T_Aop[], ID_Jezik + 6, 1)</f>
        <v xml:space="preserve">        b) Prihodi od prodaje učinaka na domaćem tržištu</v>
      </c>
      <c r="G144" t="s">
        <v>21</v>
      </c>
      <c r="H144" t="s">
        <v>1131</v>
      </c>
      <c r="I144" t="s">
        <v>135</v>
      </c>
      <c r="J144" s="275" t="s">
        <v>1751</v>
      </c>
      <c r="K144" s="275" t="s">
        <v>1751</v>
      </c>
      <c r="L144" s="275" t="s">
        <v>1751</v>
      </c>
      <c r="M144" s="10"/>
      <c r="N144" s="10"/>
    </row>
    <row r="145" spans="1:14" x14ac:dyDescent="0.2">
      <c r="A145">
        <f t="shared" si="2"/>
        <v>144</v>
      </c>
      <c r="B145" t="s">
        <v>541</v>
      </c>
      <c r="C145">
        <v>4</v>
      </c>
      <c r="D145">
        <v>209</v>
      </c>
      <c r="E145" s="2">
        <f>VLOOKUP( T_Aop[[#This Row],[Id]], T_Aop[], ID_Jezik + 9, 1)</f>
        <v>614</v>
      </c>
      <c r="F145" t="str">
        <f>REPT( "  ", T_Aop[[#This Row],[Aop nivo]]) &amp; VLOOKUP( T_Aop[[#This Row],[Id]], T_Aop[], ID_Jezik + 6, 1)</f>
        <v xml:space="preserve">        v) Prihodi od prodaje učinaka na inostranom tržištu</v>
      </c>
      <c r="G145" t="s">
        <v>23</v>
      </c>
      <c r="H145" t="s">
        <v>1132</v>
      </c>
      <c r="I145" t="s">
        <v>1133</v>
      </c>
      <c r="J145" s="275">
        <v>614</v>
      </c>
      <c r="K145" s="275">
        <v>614</v>
      </c>
      <c r="L145" s="275">
        <v>614</v>
      </c>
      <c r="M145" s="10"/>
      <c r="N145" s="10"/>
    </row>
    <row r="146" spans="1:14" x14ac:dyDescent="0.2">
      <c r="A146">
        <f t="shared" si="2"/>
        <v>145</v>
      </c>
      <c r="B146" t="s">
        <v>541</v>
      </c>
      <c r="C146">
        <v>3</v>
      </c>
      <c r="D146">
        <v>210</v>
      </c>
      <c r="E146" s="2">
        <f>VLOOKUP( T_Aop[[#This Row],[Id]], T_Aop[], ID_Jezik + 9, 1)</f>
        <v>62</v>
      </c>
      <c r="F146" t="str">
        <f>REPT( "  ", T_Aop[[#This Row],[Aop nivo]]) &amp; VLOOKUP( T_Aop[[#This Row],[Id]], T_Aop[], ID_Jezik + 6, 1)</f>
        <v xml:space="preserve">      3. Prihodi od aktiviranja ili potrošnje robe i učinaka</v>
      </c>
      <c r="G146" t="s">
        <v>57</v>
      </c>
      <c r="H146" t="s">
        <v>1134</v>
      </c>
      <c r="I146" t="s">
        <v>1135</v>
      </c>
      <c r="J146" s="275">
        <v>62</v>
      </c>
      <c r="K146" s="275">
        <v>62</v>
      </c>
      <c r="L146" s="275">
        <v>62</v>
      </c>
      <c r="M146" s="10"/>
      <c r="N146" s="10"/>
    </row>
    <row r="147" spans="1:14" x14ac:dyDescent="0.2">
      <c r="A147">
        <f t="shared" si="2"/>
        <v>146</v>
      </c>
      <c r="B147" t="s">
        <v>541</v>
      </c>
      <c r="C147">
        <v>3</v>
      </c>
      <c r="D147">
        <v>211</v>
      </c>
      <c r="E147" s="2">
        <f>VLOOKUP( T_Aop[[#This Row],[Id]], T_Aop[], ID_Jezik + 9, 1)</f>
        <v>630</v>
      </c>
      <c r="F147" t="str">
        <f>REPT( "  ", T_Aop[[#This Row],[Aop nivo]]) &amp; VLOOKUP( T_Aop[[#This Row],[Id]], T_Aop[], ID_Jezik + 6, 1)</f>
        <v xml:space="preserve">      4. Povećanje vrijednosti zaliha učinaka</v>
      </c>
      <c r="G147" t="s">
        <v>1919</v>
      </c>
      <c r="H147" t="s">
        <v>1921</v>
      </c>
      <c r="I147" t="s">
        <v>1136</v>
      </c>
      <c r="J147" s="275">
        <v>630</v>
      </c>
      <c r="K147" s="275">
        <v>630</v>
      </c>
      <c r="L147" s="275">
        <v>630</v>
      </c>
      <c r="M147" s="10"/>
      <c r="N147" s="10"/>
    </row>
    <row r="148" spans="1:14" x14ac:dyDescent="0.2">
      <c r="A148">
        <f t="shared" si="2"/>
        <v>147</v>
      </c>
      <c r="B148" t="s">
        <v>541</v>
      </c>
      <c r="C148">
        <v>3</v>
      </c>
      <c r="D148">
        <v>212</v>
      </c>
      <c r="E148" s="2">
        <f>VLOOKUP( T_Aop[[#This Row],[Id]], T_Aop[], ID_Jezik + 9, 1)</f>
        <v>631</v>
      </c>
      <c r="F148" t="str">
        <f>REPT( "  ", T_Aop[[#This Row],[Aop nivo]]) &amp; VLOOKUP( T_Aop[[#This Row],[Id]], T_Aop[], ID_Jezik + 6, 1)</f>
        <v xml:space="preserve">      5. Smanjenje vrijednosti zaliha učinaka</v>
      </c>
      <c r="G148" t="s">
        <v>22</v>
      </c>
      <c r="H148" t="s">
        <v>1137</v>
      </c>
      <c r="I148" t="s">
        <v>1138</v>
      </c>
      <c r="J148" s="275">
        <v>631</v>
      </c>
      <c r="K148" s="275">
        <v>631</v>
      </c>
      <c r="L148" s="275">
        <v>631</v>
      </c>
      <c r="M148" s="10"/>
      <c r="N148" s="10"/>
    </row>
    <row r="149" spans="1:14" x14ac:dyDescent="0.2">
      <c r="A149">
        <f t="shared" si="2"/>
        <v>148</v>
      </c>
      <c r="B149" t="s">
        <v>541</v>
      </c>
      <c r="C149">
        <v>3</v>
      </c>
      <c r="D149">
        <v>213</v>
      </c>
      <c r="E149" s="2" t="str">
        <f>VLOOKUP( T_Aop[[#This Row],[Id]], T_Aop[], ID_Jezik + 9, 1)</f>
        <v>640, 641</v>
      </c>
      <c r="F149" t="str">
        <f>REPT( "  ", T_Aop[[#This Row],[Aop nivo]]) &amp; VLOOKUP( T_Aop[[#This Row],[Id]], T_Aop[], ID_Jezik + 6, 1)</f>
        <v xml:space="preserve">      6. Povećanje vrijednosti investicionih nekretnina i bioloških sredstava koja se ne amortizuju</v>
      </c>
      <c r="G149" t="s">
        <v>1920</v>
      </c>
      <c r="H149" t="s">
        <v>1922</v>
      </c>
      <c r="I149" t="s">
        <v>1139</v>
      </c>
      <c r="J149" s="275" t="s">
        <v>1752</v>
      </c>
      <c r="K149" s="275" t="s">
        <v>1752</v>
      </c>
      <c r="L149" s="275" t="s">
        <v>1752</v>
      </c>
      <c r="M149" s="10"/>
      <c r="N149" s="10"/>
    </row>
    <row r="150" spans="1:14" x14ac:dyDescent="0.2">
      <c r="A150">
        <f t="shared" si="2"/>
        <v>149</v>
      </c>
      <c r="B150" t="s">
        <v>541</v>
      </c>
      <c r="C150">
        <v>3</v>
      </c>
      <c r="D150">
        <v>214</v>
      </c>
      <c r="E150" s="2" t="str">
        <f>VLOOKUP( T_Aop[[#This Row],[Id]], T_Aop[], ID_Jezik + 9, 1)</f>
        <v>642, 643</v>
      </c>
      <c r="F150" t="str">
        <f>REPT( "  ", T_Aop[[#This Row],[Aop nivo]]) &amp; VLOOKUP( T_Aop[[#This Row],[Id]], T_Aop[], ID_Jezik + 6, 1)</f>
        <v xml:space="preserve">      7. Smanjenje vrijednosti investicionih nekretnina i bioloških sredstava koja se ne amortizuju</v>
      </c>
      <c r="G150" t="s">
        <v>18</v>
      </c>
      <c r="H150" t="s">
        <v>1140</v>
      </c>
      <c r="I150" t="s">
        <v>1141</v>
      </c>
      <c r="J150" s="275" t="s">
        <v>1753</v>
      </c>
      <c r="K150" s="275" t="s">
        <v>1753</v>
      </c>
      <c r="L150" s="275" t="s">
        <v>1753</v>
      </c>
      <c r="M150" s="10"/>
      <c r="N150" s="10"/>
    </row>
    <row r="151" spans="1:14" x14ac:dyDescent="0.2">
      <c r="A151">
        <f t="shared" si="2"/>
        <v>150</v>
      </c>
      <c r="B151" t="s">
        <v>541</v>
      </c>
      <c r="C151">
        <v>3</v>
      </c>
      <c r="D151">
        <v>215</v>
      </c>
      <c r="E151" s="2" t="str">
        <f>VLOOKUP( T_Aop[[#This Row],[Id]], T_Aop[], ID_Jezik + 9, 1)</f>
        <v>650 do 659</v>
      </c>
      <c r="F151" t="str">
        <f>REPT( "  ", T_Aop[[#This Row],[Aop nivo]]) &amp; VLOOKUP( T_Aop[[#This Row],[Id]], T_Aop[], ID_Jezik + 6, 1)</f>
        <v xml:space="preserve">      8. Ostali poslovni prihodi</v>
      </c>
      <c r="G151" t="s">
        <v>11</v>
      </c>
      <c r="H151" t="s">
        <v>1142</v>
      </c>
      <c r="I151" t="s">
        <v>1143</v>
      </c>
      <c r="J151" s="275" t="s">
        <v>10</v>
      </c>
      <c r="K151" s="275" t="s">
        <v>1754</v>
      </c>
      <c r="L151" s="275" t="s">
        <v>86</v>
      </c>
      <c r="M151" s="10"/>
      <c r="N151" s="10"/>
    </row>
    <row r="152" spans="1:14" x14ac:dyDescent="0.2">
      <c r="A152">
        <f t="shared" si="2"/>
        <v>151</v>
      </c>
      <c r="B152" t="s">
        <v>541</v>
      </c>
      <c r="C152">
        <v>2</v>
      </c>
      <c r="D152">
        <v>216</v>
      </c>
      <c r="E152" s="2">
        <f>VLOOKUP( T_Aop[[#This Row],[Id]], T_Aop[], ID_Jezik + 9, 1)</f>
        <v>0</v>
      </c>
      <c r="F152" t="str">
        <f>REPT( "  ", T_Aop[[#This Row],[Aop nivo]]) &amp; VLOOKUP( T_Aop[[#This Row],[Id]], T_Aop[], ID_Jezik + 6, 1)</f>
        <v xml:space="preserve">    II - POSLOVNI RASHODI (217 + 218 + 219 + 222 + 223 + 226 + 227 + 228)</v>
      </c>
      <c r="G152" t="s">
        <v>1144</v>
      </c>
      <c r="H152" t="s">
        <v>1145</v>
      </c>
      <c r="I152" t="s">
        <v>1146</v>
      </c>
      <c r="J152" s="275"/>
      <c r="K152" s="275"/>
      <c r="L152" s="275"/>
      <c r="M152" s="10">
        <v>1</v>
      </c>
      <c r="N152" s="10"/>
    </row>
    <row r="153" spans="1:14" x14ac:dyDescent="0.2">
      <c r="A153">
        <f t="shared" si="2"/>
        <v>152</v>
      </c>
      <c r="B153" t="s">
        <v>541</v>
      </c>
      <c r="C153">
        <v>3</v>
      </c>
      <c r="D153">
        <v>217</v>
      </c>
      <c r="E153" s="2" t="str">
        <f>VLOOKUP( T_Aop[[#This Row],[Id]], T_Aop[], ID_Jezik + 9, 1)</f>
        <v>500 do 502</v>
      </c>
      <c r="F153" t="str">
        <f>REPT( "  ", T_Aop[[#This Row],[Aop nivo]]) &amp; VLOOKUP( T_Aop[[#This Row],[Id]], T_Aop[], ID_Jezik + 6, 1)</f>
        <v xml:space="preserve">      1. Nabavna vrijednost prodate robe</v>
      </c>
      <c r="G153" t="s">
        <v>259</v>
      </c>
      <c r="H153" t="s">
        <v>1147</v>
      </c>
      <c r="I153" t="s">
        <v>1148</v>
      </c>
      <c r="J153" s="275" t="s">
        <v>12</v>
      </c>
      <c r="K153" s="275" t="s">
        <v>1755</v>
      </c>
      <c r="L153" s="275" t="s">
        <v>87</v>
      </c>
      <c r="M153" s="10"/>
      <c r="N153" s="10"/>
    </row>
    <row r="154" spans="1:14" x14ac:dyDescent="0.2">
      <c r="A154">
        <f t="shared" si="2"/>
        <v>153</v>
      </c>
      <c r="B154" t="s">
        <v>541</v>
      </c>
      <c r="C154">
        <v>3</v>
      </c>
      <c r="D154">
        <v>218</v>
      </c>
      <c r="E154" s="2" t="str">
        <f>VLOOKUP( T_Aop[[#This Row],[Id]], T_Aop[], ID_Jezik + 9, 1)</f>
        <v>510 do 513</v>
      </c>
      <c r="F154" t="str">
        <f>REPT( "  ", T_Aop[[#This Row],[Aop nivo]]) &amp; VLOOKUP( T_Aop[[#This Row],[Id]], T_Aop[], ID_Jezik + 6, 1)</f>
        <v xml:space="preserve">      2. Troškovi materijala</v>
      </c>
      <c r="G154" t="s">
        <v>14</v>
      </c>
      <c r="H154" t="s">
        <v>1149</v>
      </c>
      <c r="I154" t="s">
        <v>1150</v>
      </c>
      <c r="J154" s="275" t="s">
        <v>13</v>
      </c>
      <c r="K154" s="275" t="s">
        <v>1756</v>
      </c>
      <c r="L154" s="275" t="s">
        <v>88</v>
      </c>
      <c r="M154" s="10"/>
      <c r="N154" s="10"/>
    </row>
    <row r="155" spans="1:14" x14ac:dyDescent="0.2">
      <c r="A155">
        <f t="shared" si="2"/>
        <v>154</v>
      </c>
      <c r="B155" t="s">
        <v>541</v>
      </c>
      <c r="C155">
        <v>3</v>
      </c>
      <c r="D155">
        <v>219</v>
      </c>
      <c r="E155" s="2">
        <f>VLOOKUP( T_Aop[[#This Row],[Id]], T_Aop[], ID_Jezik + 9, 1)</f>
        <v>52</v>
      </c>
      <c r="F155" t="str">
        <f>REPT( "  ", T_Aop[[#This Row],[Aop nivo]]) &amp; VLOOKUP( T_Aop[[#This Row],[Id]], T_Aop[], ID_Jezik + 6, 1)</f>
        <v xml:space="preserve">      3. Troškovi zarada, naknada zarada i ostalih ličnih rashoda (220 + 221)</v>
      </c>
      <c r="G155" t="s">
        <v>1151</v>
      </c>
      <c r="H155" t="s">
        <v>1152</v>
      </c>
      <c r="I155" t="s">
        <v>1153</v>
      </c>
      <c r="J155" s="275">
        <v>52</v>
      </c>
      <c r="K155" s="275">
        <v>52</v>
      </c>
      <c r="L155" s="275">
        <v>52</v>
      </c>
      <c r="M155" s="10"/>
      <c r="N155" s="10"/>
    </row>
    <row r="156" spans="1:14" x14ac:dyDescent="0.2">
      <c r="A156">
        <f t="shared" si="2"/>
        <v>155</v>
      </c>
      <c r="B156" t="s">
        <v>541</v>
      </c>
      <c r="C156">
        <v>4</v>
      </c>
      <c r="D156">
        <v>220</v>
      </c>
      <c r="E156" s="2" t="str">
        <f>VLOOKUP( T_Aop[[#This Row],[Id]], T_Aop[], ID_Jezik + 9, 1)</f>
        <v>520 do 523</v>
      </c>
      <c r="F156" t="str">
        <f>REPT( "  ", T_Aop[[#This Row],[Aop nivo]]) &amp; VLOOKUP( T_Aop[[#This Row],[Id]], T_Aop[], ID_Jezik + 6, 1)</f>
        <v xml:space="preserve">        a) Troškovi bruto zarada i bruto naknada zarada</v>
      </c>
      <c r="G156" t="s">
        <v>260</v>
      </c>
      <c r="H156" t="s">
        <v>1154</v>
      </c>
      <c r="I156" t="s">
        <v>218</v>
      </c>
      <c r="J156" s="275" t="s">
        <v>1757</v>
      </c>
      <c r="K156" s="275" t="s">
        <v>1758</v>
      </c>
      <c r="L156" s="275" t="s">
        <v>1759</v>
      </c>
      <c r="M156" s="10"/>
      <c r="N156" s="10"/>
    </row>
    <row r="157" spans="1:14" x14ac:dyDescent="0.2">
      <c r="A157">
        <f t="shared" si="2"/>
        <v>156</v>
      </c>
      <c r="B157" t="s">
        <v>541</v>
      </c>
      <c r="C157">
        <v>4</v>
      </c>
      <c r="D157">
        <v>221</v>
      </c>
      <c r="E157" s="2" t="str">
        <f>VLOOKUP( T_Aop[[#This Row],[Id]], T_Aop[], ID_Jezik + 9, 1)</f>
        <v>524 do 529</v>
      </c>
      <c r="F157" t="str">
        <f>REPT( "  ", T_Aop[[#This Row],[Aop nivo]]) &amp; VLOOKUP( T_Aop[[#This Row],[Id]], T_Aop[], ID_Jezik + 6, 1)</f>
        <v xml:space="preserve">        b) Ostali lični rashodi</v>
      </c>
      <c r="G157" t="s">
        <v>261</v>
      </c>
      <c r="H157" t="s">
        <v>1155</v>
      </c>
      <c r="I157" t="s">
        <v>219</v>
      </c>
      <c r="J157" s="275" t="s">
        <v>1760</v>
      </c>
      <c r="K157" s="275" t="s">
        <v>1761</v>
      </c>
      <c r="L157" s="275" t="s">
        <v>1762</v>
      </c>
      <c r="M157" s="10"/>
      <c r="N157" s="10"/>
    </row>
    <row r="158" spans="1:14" x14ac:dyDescent="0.2">
      <c r="A158">
        <f t="shared" si="2"/>
        <v>157</v>
      </c>
      <c r="B158" t="s">
        <v>541</v>
      </c>
      <c r="C158">
        <v>3</v>
      </c>
      <c r="D158">
        <v>222</v>
      </c>
      <c r="E158" s="2" t="str">
        <f>VLOOKUP( T_Aop[[#This Row],[Id]], T_Aop[], ID_Jezik + 9, 1)</f>
        <v>530 do 539</v>
      </c>
      <c r="F158" t="str">
        <f>REPT( "  ", T_Aop[[#This Row],[Aop nivo]]) &amp; VLOOKUP( T_Aop[[#This Row],[Id]], T_Aop[], ID_Jezik + 6, 1)</f>
        <v xml:space="preserve">      4. Troškovi proizvodnih usluga</v>
      </c>
      <c r="G158" t="s">
        <v>16</v>
      </c>
      <c r="H158" t="s">
        <v>1156</v>
      </c>
      <c r="I158" t="s">
        <v>1157</v>
      </c>
      <c r="J158" s="275" t="s">
        <v>15</v>
      </c>
      <c r="K158" s="275" t="s">
        <v>1763</v>
      </c>
      <c r="L158" s="275" t="s">
        <v>89</v>
      </c>
      <c r="M158" s="10"/>
      <c r="N158" s="10"/>
    </row>
    <row r="159" spans="1:14" x14ac:dyDescent="0.2">
      <c r="A159">
        <f t="shared" si="2"/>
        <v>158</v>
      </c>
      <c r="B159" t="s">
        <v>541</v>
      </c>
      <c r="C159">
        <v>3</v>
      </c>
      <c r="D159">
        <v>223</v>
      </c>
      <c r="E159" s="2">
        <f>VLOOKUP( T_Aop[[#This Row],[Id]], T_Aop[], ID_Jezik + 9, 1)</f>
        <v>54</v>
      </c>
      <c r="F159" t="str">
        <f>REPT( "  ", T_Aop[[#This Row],[Aop nivo]]) &amp; VLOOKUP( T_Aop[[#This Row],[Id]], T_Aop[], ID_Jezik + 6, 1)</f>
        <v xml:space="preserve">      5. Troškovi amortizacije i rezervisanja (224 + 225)</v>
      </c>
      <c r="G159" t="s">
        <v>1158</v>
      </c>
      <c r="H159" t="s">
        <v>1159</v>
      </c>
      <c r="I159" t="s">
        <v>1160</v>
      </c>
      <c r="J159" s="275">
        <v>54</v>
      </c>
      <c r="K159" s="275">
        <v>54</v>
      </c>
      <c r="L159" s="275">
        <v>54</v>
      </c>
      <c r="M159" s="10"/>
      <c r="N159" s="10"/>
    </row>
    <row r="160" spans="1:14" x14ac:dyDescent="0.2">
      <c r="A160">
        <f t="shared" si="2"/>
        <v>159</v>
      </c>
      <c r="B160" t="s">
        <v>541</v>
      </c>
      <c r="C160">
        <v>4</v>
      </c>
      <c r="D160">
        <v>224</v>
      </c>
      <c r="E160" s="2">
        <f>VLOOKUP( T_Aop[[#This Row],[Id]], T_Aop[], ID_Jezik + 9, 1)</f>
        <v>540</v>
      </c>
      <c r="F160" t="str">
        <f>REPT( "  ", T_Aop[[#This Row],[Aop nivo]]) &amp; VLOOKUP( T_Aop[[#This Row],[Id]], T_Aop[], ID_Jezik + 6, 1)</f>
        <v xml:space="preserve">        a) Troškovi amortizacije</v>
      </c>
      <c r="G160" t="s">
        <v>17</v>
      </c>
      <c r="H160" t="s">
        <v>1161</v>
      </c>
      <c r="I160" t="s">
        <v>220</v>
      </c>
      <c r="J160" s="275">
        <v>540</v>
      </c>
      <c r="K160" s="275">
        <v>540</v>
      </c>
      <c r="L160" s="275">
        <v>540</v>
      </c>
      <c r="M160" s="10"/>
      <c r="N160" s="10"/>
    </row>
    <row r="161" spans="1:14" x14ac:dyDescent="0.2">
      <c r="A161">
        <f t="shared" si="2"/>
        <v>160</v>
      </c>
      <c r="B161" t="s">
        <v>541</v>
      </c>
      <c r="C161">
        <v>4</v>
      </c>
      <c r="D161">
        <v>225</v>
      </c>
      <c r="E161" s="2">
        <f>VLOOKUP( T_Aop[[#This Row],[Id]], T_Aop[], ID_Jezik + 9, 1)</f>
        <v>541</v>
      </c>
      <c r="F161" t="str">
        <f>REPT( "  ", T_Aop[[#This Row],[Aop nivo]]) &amp; VLOOKUP( T_Aop[[#This Row],[Id]], T_Aop[], ID_Jezik + 6, 1)</f>
        <v xml:space="preserve">        b) Troškovi rezervisanja</v>
      </c>
      <c r="G161" t="s">
        <v>24</v>
      </c>
      <c r="H161" t="s">
        <v>1162</v>
      </c>
      <c r="I161" t="s">
        <v>221</v>
      </c>
      <c r="J161" s="275">
        <v>541</v>
      </c>
      <c r="K161" s="275">
        <v>541</v>
      </c>
      <c r="L161" s="275">
        <v>541</v>
      </c>
      <c r="M161" s="10"/>
      <c r="N161" s="10"/>
    </row>
    <row r="162" spans="1:14" ht="25.5" x14ac:dyDescent="0.2">
      <c r="A162">
        <f t="shared" si="2"/>
        <v>161</v>
      </c>
      <c r="B162" t="s">
        <v>541</v>
      </c>
      <c r="C162">
        <v>3</v>
      </c>
      <c r="D162">
        <v>226</v>
      </c>
      <c r="E162" s="2" t="str">
        <f>VLOOKUP( T_Aop[[#This Row],[Id]], T_Aop[], ID_Jezik + 9, 1)</f>
        <v>55, osim 555 i 556</v>
      </c>
      <c r="F162" t="str">
        <f>REPT( "  ", T_Aop[[#This Row],[Aop nivo]]) &amp; VLOOKUP( T_Aop[[#This Row],[Id]], T_Aop[], ID_Jezik + 6, 1)</f>
        <v xml:space="preserve">      6. Nematerijalni troškovi (bez poreza i doprinosa)</v>
      </c>
      <c r="G162" t="s">
        <v>27</v>
      </c>
      <c r="H162" t="s">
        <v>1163</v>
      </c>
      <c r="I162" t="s">
        <v>1164</v>
      </c>
      <c r="J162" s="275" t="s">
        <v>1764</v>
      </c>
      <c r="K162" s="275" t="s">
        <v>1765</v>
      </c>
      <c r="L162" s="275" t="s">
        <v>1766</v>
      </c>
      <c r="M162" s="10"/>
      <c r="N162" s="10"/>
    </row>
    <row r="163" spans="1:14" x14ac:dyDescent="0.2">
      <c r="A163">
        <f t="shared" si="2"/>
        <v>162</v>
      </c>
      <c r="B163" t="s">
        <v>541</v>
      </c>
      <c r="C163">
        <v>3</v>
      </c>
      <c r="D163">
        <v>227</v>
      </c>
      <c r="E163" s="2">
        <f>VLOOKUP( T_Aop[[#This Row],[Id]], T_Aop[], ID_Jezik + 9, 1)</f>
        <v>555</v>
      </c>
      <c r="F163" t="str">
        <f>REPT( "  ", T_Aop[[#This Row],[Aop nivo]]) &amp; VLOOKUP( T_Aop[[#This Row],[Id]], T_Aop[], ID_Jezik + 6, 1)</f>
        <v xml:space="preserve">      7. Troškovi poreza</v>
      </c>
      <c r="G163" t="s">
        <v>25</v>
      </c>
      <c r="H163" t="s">
        <v>1165</v>
      </c>
      <c r="I163" t="s">
        <v>1166</v>
      </c>
      <c r="J163" s="275">
        <v>555</v>
      </c>
      <c r="K163" s="275">
        <v>555</v>
      </c>
      <c r="L163" s="275">
        <v>555</v>
      </c>
      <c r="M163" s="10"/>
      <c r="N163" s="10"/>
    </row>
    <row r="164" spans="1:14" x14ac:dyDescent="0.2">
      <c r="A164">
        <f t="shared" si="2"/>
        <v>163</v>
      </c>
      <c r="B164" t="s">
        <v>541</v>
      </c>
      <c r="C164">
        <v>3</v>
      </c>
      <c r="D164">
        <v>228</v>
      </c>
      <c r="E164" s="2">
        <f>VLOOKUP( T_Aop[[#This Row],[Id]], T_Aop[], ID_Jezik + 9, 1)</f>
        <v>556</v>
      </c>
      <c r="F164" t="str">
        <f>REPT( "  ", T_Aop[[#This Row],[Aop nivo]]) &amp; VLOOKUP( T_Aop[[#This Row],[Id]], T_Aop[], ID_Jezik + 6, 1)</f>
        <v xml:space="preserve">      8. Troškovi doprinosa</v>
      </c>
      <c r="G164" t="s">
        <v>26</v>
      </c>
      <c r="H164" t="s">
        <v>1167</v>
      </c>
      <c r="I164" t="s">
        <v>1168</v>
      </c>
      <c r="J164" s="275">
        <v>556</v>
      </c>
      <c r="K164" s="275">
        <v>556</v>
      </c>
      <c r="L164" s="275">
        <v>556</v>
      </c>
      <c r="M164" s="10"/>
      <c r="N164" s="10"/>
    </row>
    <row r="165" spans="1:14" x14ac:dyDescent="0.2">
      <c r="A165">
        <f t="shared" si="2"/>
        <v>164</v>
      </c>
      <c r="B165" t="s">
        <v>541</v>
      </c>
      <c r="C165">
        <v>1</v>
      </c>
      <c r="D165">
        <v>229</v>
      </c>
      <c r="E165" s="2">
        <f>VLOOKUP( T_Aop[[#This Row],[Id]], T_Aop[], ID_Jezik + 9, 1)</f>
        <v>0</v>
      </c>
      <c r="F165" t="str">
        <f>REPT( "  ", T_Aop[[#This Row],[Aop nivo]]) &amp; VLOOKUP( T_Aop[[#This Row],[Id]], T_Aop[], ID_Jezik + 6, 1)</f>
        <v xml:space="preserve">  B. POSLOVNI DOBITAK (201 - 216)</v>
      </c>
      <c r="G165" t="s">
        <v>1169</v>
      </c>
      <c r="H165" t="s">
        <v>1170</v>
      </c>
      <c r="I165" t="s">
        <v>1171</v>
      </c>
      <c r="J165" s="275"/>
      <c r="K165" s="275"/>
      <c r="L165" s="275"/>
      <c r="M165" s="10">
        <v>1</v>
      </c>
      <c r="N165" s="10"/>
    </row>
    <row r="166" spans="1:14" x14ac:dyDescent="0.2">
      <c r="A166">
        <f t="shared" si="2"/>
        <v>165</v>
      </c>
      <c r="B166" t="s">
        <v>541</v>
      </c>
      <c r="C166">
        <v>1</v>
      </c>
      <c r="D166">
        <v>230</v>
      </c>
      <c r="E166" s="2">
        <f>VLOOKUP( T_Aop[[#This Row],[Id]], T_Aop[], ID_Jezik + 9, 1)</f>
        <v>0</v>
      </c>
      <c r="F166" t="str">
        <f>REPT( "  ", T_Aop[[#This Row],[Aop nivo]]) &amp; VLOOKUP( T_Aop[[#This Row],[Id]], T_Aop[], ID_Jezik + 6, 1)</f>
        <v xml:space="preserve">  V. POSLOVNI GUBITAK (216 - 201)</v>
      </c>
      <c r="G166" t="s">
        <v>1172</v>
      </c>
      <c r="H166" t="s">
        <v>1173</v>
      </c>
      <c r="I166" t="s">
        <v>1174</v>
      </c>
      <c r="J166" s="275"/>
      <c r="K166" s="275"/>
      <c r="L166" s="275"/>
      <c r="M166" s="10">
        <v>1</v>
      </c>
      <c r="N166" s="10"/>
    </row>
    <row r="167" spans="1:14" x14ac:dyDescent="0.2">
      <c r="A167">
        <f t="shared" si="2"/>
        <v>166</v>
      </c>
      <c r="B167" t="s">
        <v>541</v>
      </c>
      <c r="C167">
        <v>0</v>
      </c>
      <c r="E167" s="2">
        <f>VLOOKUP( T_Aop[[#This Row],[Id]], T_Aop[], ID_Jezik + 9, 1)</f>
        <v>0</v>
      </c>
      <c r="F167" t="str">
        <f>REPT( "  ", T_Aop[[#This Row],[Aop nivo]]) &amp; VLOOKUP( T_Aop[[#This Row],[Id]], T_Aop[], ID_Jezik + 6, 1)</f>
        <v>G. FINANSIJSKI PRIHODI I RASHODI</v>
      </c>
      <c r="G167" t="s">
        <v>56</v>
      </c>
      <c r="H167" t="s">
        <v>1175</v>
      </c>
      <c r="I167" t="s">
        <v>97</v>
      </c>
      <c r="J167" s="275"/>
      <c r="K167" s="275"/>
      <c r="L167" s="275"/>
      <c r="M167" s="10">
        <v>1</v>
      </c>
      <c r="N167" s="10"/>
    </row>
    <row r="168" spans="1:14" x14ac:dyDescent="0.2">
      <c r="A168">
        <f t="shared" si="2"/>
        <v>167</v>
      </c>
      <c r="B168" t="s">
        <v>541</v>
      </c>
      <c r="C168">
        <v>2</v>
      </c>
      <c r="D168">
        <v>231</v>
      </c>
      <c r="E168" s="2">
        <f>VLOOKUP( T_Aop[[#This Row],[Id]], T_Aop[], ID_Jezik + 9, 1)</f>
        <v>66</v>
      </c>
      <c r="F168" t="str">
        <f>REPT( "  ", T_Aop[[#This Row],[Aop nivo]]) &amp; VLOOKUP( T_Aop[[#This Row],[Id]], T_Aop[], ID_Jezik + 6, 1)</f>
        <v xml:space="preserve">    I - FINANSIJSKI PRIHODI (232 do 237)</v>
      </c>
      <c r="G168" t="s">
        <v>1176</v>
      </c>
      <c r="H168" t="s">
        <v>1177</v>
      </c>
      <c r="I168" t="s">
        <v>1178</v>
      </c>
      <c r="J168" s="275">
        <v>66</v>
      </c>
      <c r="K168" s="275">
        <v>66</v>
      </c>
      <c r="L168" s="275">
        <v>66</v>
      </c>
      <c r="M168" s="10">
        <v>1</v>
      </c>
      <c r="N168" s="10"/>
    </row>
    <row r="169" spans="1:14" x14ac:dyDescent="0.2">
      <c r="A169">
        <f t="shared" si="2"/>
        <v>168</v>
      </c>
      <c r="B169" t="s">
        <v>541</v>
      </c>
      <c r="C169">
        <v>3</v>
      </c>
      <c r="D169">
        <v>232</v>
      </c>
      <c r="E169" s="2">
        <f>VLOOKUP( T_Aop[[#This Row],[Id]], T_Aop[], ID_Jezik + 9, 1)</f>
        <v>660</v>
      </c>
      <c r="F169" t="str">
        <f>REPT( "  ", T_Aop[[#This Row],[Aop nivo]]) &amp; VLOOKUP( T_Aop[[#This Row],[Id]], T_Aop[], ID_Jezik + 6, 1)</f>
        <v xml:space="preserve">      1. Finansijski prihodi od povezanih pravnih lica</v>
      </c>
      <c r="G169" t="s">
        <v>263</v>
      </c>
      <c r="H169" t="s">
        <v>1179</v>
      </c>
      <c r="I169" t="s">
        <v>1180</v>
      </c>
      <c r="J169" s="275">
        <v>660</v>
      </c>
      <c r="K169" s="275">
        <v>660</v>
      </c>
      <c r="L169" s="275">
        <v>660</v>
      </c>
      <c r="M169" s="10"/>
      <c r="N169" s="10"/>
    </row>
    <row r="170" spans="1:14" x14ac:dyDescent="0.2">
      <c r="A170">
        <f t="shared" si="2"/>
        <v>169</v>
      </c>
      <c r="B170" t="s">
        <v>541</v>
      </c>
      <c r="C170">
        <v>3</v>
      </c>
      <c r="D170">
        <v>233</v>
      </c>
      <c r="E170" s="2">
        <f>VLOOKUP( T_Aop[[#This Row],[Id]], T_Aop[], ID_Jezik + 9, 1)</f>
        <v>661</v>
      </c>
      <c r="F170" t="str">
        <f>REPT( "  ", T_Aop[[#This Row],[Aop nivo]]) &amp; VLOOKUP( T_Aop[[#This Row],[Id]], T_Aop[], ID_Jezik + 6, 1)</f>
        <v xml:space="preserve">      2. Prihodi od kamata</v>
      </c>
      <c r="G170" t="s">
        <v>264</v>
      </c>
      <c r="H170" t="s">
        <v>1181</v>
      </c>
      <c r="I170" t="s">
        <v>1182</v>
      </c>
      <c r="J170" s="275">
        <v>661</v>
      </c>
      <c r="K170" s="275">
        <v>661</v>
      </c>
      <c r="L170" s="275">
        <v>661</v>
      </c>
      <c r="M170" s="10"/>
      <c r="N170" s="10"/>
    </row>
    <row r="171" spans="1:14" x14ac:dyDescent="0.2">
      <c r="A171">
        <f t="shared" si="2"/>
        <v>170</v>
      </c>
      <c r="B171" t="s">
        <v>541</v>
      </c>
      <c r="C171">
        <v>3</v>
      </c>
      <c r="D171">
        <v>234</v>
      </c>
      <c r="E171" s="2">
        <f>VLOOKUP( T_Aop[[#This Row],[Id]], T_Aop[], ID_Jezik + 9, 1)</f>
        <v>662</v>
      </c>
      <c r="F171" t="str">
        <f>REPT( "  ", T_Aop[[#This Row],[Aop nivo]]) &amp; VLOOKUP( T_Aop[[#This Row],[Id]], T_Aop[], ID_Jezik + 6, 1)</f>
        <v xml:space="preserve">      3. Pozitivne kursne razlike</v>
      </c>
      <c r="G171" t="s">
        <v>265</v>
      </c>
      <c r="H171" t="s">
        <v>1183</v>
      </c>
      <c r="I171" t="s">
        <v>1184</v>
      </c>
      <c r="J171" s="275">
        <v>662</v>
      </c>
      <c r="K171" s="275">
        <v>662</v>
      </c>
      <c r="L171" s="275">
        <v>662</v>
      </c>
      <c r="M171" s="10"/>
      <c r="N171" s="10"/>
    </row>
    <row r="172" spans="1:14" x14ac:dyDescent="0.2">
      <c r="A172">
        <f t="shared" si="2"/>
        <v>171</v>
      </c>
      <c r="B172" t="s">
        <v>541</v>
      </c>
      <c r="C172">
        <v>3</v>
      </c>
      <c r="D172">
        <v>235</v>
      </c>
      <c r="E172" s="2">
        <f>VLOOKUP( T_Aop[[#This Row],[Id]], T_Aop[], ID_Jezik + 9, 1)</f>
        <v>663</v>
      </c>
      <c r="F172" t="str">
        <f>REPT( "  ", T_Aop[[#This Row],[Aop nivo]]) &amp; VLOOKUP( T_Aop[[#This Row],[Id]], T_Aop[], ID_Jezik + 6, 1)</f>
        <v xml:space="preserve">      4. Prihodi od efekata valutne klauzule</v>
      </c>
      <c r="G172" t="s">
        <v>28</v>
      </c>
      <c r="H172" t="s">
        <v>1185</v>
      </c>
      <c r="I172" t="s">
        <v>1186</v>
      </c>
      <c r="J172" s="275">
        <v>663</v>
      </c>
      <c r="K172" s="275">
        <v>663</v>
      </c>
      <c r="L172" s="275">
        <v>663</v>
      </c>
      <c r="M172" s="10"/>
      <c r="N172" s="10"/>
    </row>
    <row r="173" spans="1:14" x14ac:dyDescent="0.2">
      <c r="A173">
        <f t="shared" si="2"/>
        <v>172</v>
      </c>
      <c r="B173" t="s">
        <v>541</v>
      </c>
      <c r="C173">
        <v>3</v>
      </c>
      <c r="D173">
        <v>236</v>
      </c>
      <c r="E173" s="2">
        <f>VLOOKUP( T_Aop[[#This Row],[Id]], T_Aop[], ID_Jezik + 9, 1)</f>
        <v>664</v>
      </c>
      <c r="F173" t="str">
        <f>REPT( "  ", T_Aop[[#This Row],[Aop nivo]]) &amp; VLOOKUP( T_Aop[[#This Row],[Id]], T_Aop[], ID_Jezik + 6, 1)</f>
        <v xml:space="preserve">      5. Prihodi od učešća u dobitku zajedničkih ulaganja</v>
      </c>
      <c r="G173" t="s">
        <v>32</v>
      </c>
      <c r="H173" t="s">
        <v>1187</v>
      </c>
      <c r="I173" t="s">
        <v>1188</v>
      </c>
      <c r="J173" s="275">
        <v>664</v>
      </c>
      <c r="K173" s="275">
        <v>664</v>
      </c>
      <c r="L173" s="275">
        <v>664</v>
      </c>
      <c r="M173" s="10"/>
      <c r="N173" s="10"/>
    </row>
    <row r="174" spans="1:14" x14ac:dyDescent="0.2">
      <c r="A174">
        <f t="shared" si="2"/>
        <v>173</v>
      </c>
      <c r="B174" t="s">
        <v>541</v>
      </c>
      <c r="C174">
        <v>3</v>
      </c>
      <c r="D174">
        <v>237</v>
      </c>
      <c r="E174" s="2">
        <f>VLOOKUP( T_Aop[[#This Row],[Id]], T_Aop[], ID_Jezik + 9, 1)</f>
        <v>669</v>
      </c>
      <c r="F174" t="str">
        <f>REPT( "  ", T_Aop[[#This Row],[Aop nivo]]) &amp; VLOOKUP( T_Aop[[#This Row],[Id]], T_Aop[], ID_Jezik + 6, 1)</f>
        <v xml:space="preserve">      6. Ostali finansijski prihodi</v>
      </c>
      <c r="G174" t="s">
        <v>29</v>
      </c>
      <c r="H174" t="s">
        <v>1189</v>
      </c>
      <c r="I174" t="s">
        <v>1190</v>
      </c>
      <c r="J174" s="275">
        <v>669</v>
      </c>
      <c r="K174" s="275">
        <v>669</v>
      </c>
      <c r="L174" s="275">
        <v>669</v>
      </c>
      <c r="M174" s="10"/>
      <c r="N174" s="10"/>
    </row>
    <row r="175" spans="1:14" x14ac:dyDescent="0.2">
      <c r="A175">
        <f t="shared" si="2"/>
        <v>174</v>
      </c>
      <c r="B175" t="s">
        <v>541</v>
      </c>
      <c r="C175">
        <v>2</v>
      </c>
      <c r="D175">
        <v>238</v>
      </c>
      <c r="E175" s="2">
        <f>VLOOKUP( T_Aop[[#This Row],[Id]], T_Aop[], ID_Jezik + 9, 1)</f>
        <v>56</v>
      </c>
      <c r="F175" t="str">
        <f>REPT( "  ", T_Aop[[#This Row],[Aop nivo]]) &amp; VLOOKUP( T_Aop[[#This Row],[Id]], T_Aop[], ID_Jezik + 6, 1)</f>
        <v xml:space="preserve">    II - FINANSIJSKI RASHODI (239 do 243)</v>
      </c>
      <c r="G175" t="s">
        <v>1191</v>
      </c>
      <c r="H175" t="s">
        <v>1192</v>
      </c>
      <c r="I175" t="s">
        <v>1193</v>
      </c>
      <c r="J175" s="275">
        <v>56</v>
      </c>
      <c r="K175" s="275">
        <v>56</v>
      </c>
      <c r="L175" s="275">
        <v>56</v>
      </c>
      <c r="M175" s="10">
        <v>1</v>
      </c>
      <c r="N175" s="10"/>
    </row>
    <row r="176" spans="1:14" x14ac:dyDescent="0.2">
      <c r="A176">
        <f t="shared" si="2"/>
        <v>175</v>
      </c>
      <c r="B176" t="s">
        <v>541</v>
      </c>
      <c r="C176">
        <v>3</v>
      </c>
      <c r="D176">
        <v>239</v>
      </c>
      <c r="E176" s="2">
        <f>VLOOKUP( T_Aop[[#This Row],[Id]], T_Aop[], ID_Jezik + 9, 1)</f>
        <v>560</v>
      </c>
      <c r="F176" t="str">
        <f>REPT( "  ", T_Aop[[#This Row],[Aop nivo]]) &amp; VLOOKUP( T_Aop[[#This Row],[Id]], T_Aop[], ID_Jezik + 6, 1)</f>
        <v xml:space="preserve">      1. Finansijski rashodi po osnovu odnosa povezanih pravnih lica</v>
      </c>
      <c r="G176" t="s">
        <v>64</v>
      </c>
      <c r="H176" t="s">
        <v>1194</v>
      </c>
      <c r="I176" t="s">
        <v>1195</v>
      </c>
      <c r="J176" s="275">
        <v>560</v>
      </c>
      <c r="K176" s="275">
        <v>560</v>
      </c>
      <c r="L176" s="275">
        <v>560</v>
      </c>
      <c r="M176" s="10"/>
      <c r="N176" s="10"/>
    </row>
    <row r="177" spans="1:14" x14ac:dyDescent="0.2">
      <c r="A177">
        <f t="shared" si="2"/>
        <v>176</v>
      </c>
      <c r="B177" t="s">
        <v>541</v>
      </c>
      <c r="C177">
        <v>3</v>
      </c>
      <c r="D177">
        <v>240</v>
      </c>
      <c r="E177" s="2">
        <f>VLOOKUP( T_Aop[[#This Row],[Id]], T_Aop[], ID_Jezik + 9, 1)</f>
        <v>561</v>
      </c>
      <c r="F177" t="str">
        <f>REPT( "  ", T_Aop[[#This Row],[Aop nivo]]) &amp; VLOOKUP( T_Aop[[#This Row],[Id]], T_Aop[], ID_Jezik + 6, 1)</f>
        <v xml:space="preserve">      2. Rashodi kamata</v>
      </c>
      <c r="G177" t="s">
        <v>266</v>
      </c>
      <c r="H177" t="s">
        <v>1196</v>
      </c>
      <c r="I177" t="s">
        <v>1197</v>
      </c>
      <c r="J177" s="275">
        <v>561</v>
      </c>
      <c r="K177" s="275">
        <v>561</v>
      </c>
      <c r="L177" s="275">
        <v>561</v>
      </c>
      <c r="M177" s="10"/>
      <c r="N177" s="10"/>
    </row>
    <row r="178" spans="1:14" x14ac:dyDescent="0.2">
      <c r="A178">
        <f t="shared" si="2"/>
        <v>177</v>
      </c>
      <c r="B178" t="s">
        <v>541</v>
      </c>
      <c r="C178">
        <v>3</v>
      </c>
      <c r="D178">
        <v>241</v>
      </c>
      <c r="E178" s="2">
        <f>VLOOKUP( T_Aop[[#This Row],[Id]], T_Aop[], ID_Jezik + 9, 1)</f>
        <v>562</v>
      </c>
      <c r="F178" t="str">
        <f>REPT( "  ", T_Aop[[#This Row],[Aop nivo]]) &amp; VLOOKUP( T_Aop[[#This Row],[Id]], T_Aop[], ID_Jezik + 6, 1)</f>
        <v xml:space="preserve">      3. Negativne kursne razlike</v>
      </c>
      <c r="G178" t="s">
        <v>267</v>
      </c>
      <c r="H178" t="s">
        <v>1198</v>
      </c>
      <c r="I178" t="s">
        <v>1199</v>
      </c>
      <c r="J178" s="275">
        <v>562</v>
      </c>
      <c r="K178" s="275">
        <v>562</v>
      </c>
      <c r="L178" s="275">
        <v>562</v>
      </c>
      <c r="M178" s="10"/>
      <c r="N178" s="10"/>
    </row>
    <row r="179" spans="1:14" x14ac:dyDescent="0.2">
      <c r="A179">
        <f t="shared" si="2"/>
        <v>178</v>
      </c>
      <c r="B179" t="s">
        <v>541</v>
      </c>
      <c r="C179">
        <v>3</v>
      </c>
      <c r="D179">
        <v>242</v>
      </c>
      <c r="E179" s="2">
        <f>VLOOKUP( T_Aop[[#This Row],[Id]], T_Aop[], ID_Jezik + 9, 1)</f>
        <v>563</v>
      </c>
      <c r="F179" t="str">
        <f>REPT( "  ", T_Aop[[#This Row],[Aop nivo]]) &amp; VLOOKUP( T_Aop[[#This Row],[Id]], T_Aop[], ID_Jezik + 6, 1)</f>
        <v xml:space="preserve">      4. Rashodi po osnovu valutne klauzule</v>
      </c>
      <c r="G179" t="s">
        <v>30</v>
      </c>
      <c r="H179" t="s">
        <v>1200</v>
      </c>
      <c r="I179" t="s">
        <v>1201</v>
      </c>
      <c r="J179" s="275">
        <v>563</v>
      </c>
      <c r="K179" s="275">
        <v>563</v>
      </c>
      <c r="L179" s="275">
        <v>563</v>
      </c>
      <c r="M179" s="10"/>
      <c r="N179" s="10"/>
    </row>
    <row r="180" spans="1:14" x14ac:dyDescent="0.2">
      <c r="A180">
        <f t="shared" si="2"/>
        <v>179</v>
      </c>
      <c r="B180" t="s">
        <v>541</v>
      </c>
      <c r="C180">
        <v>3</v>
      </c>
      <c r="D180">
        <v>243</v>
      </c>
      <c r="E180" s="2">
        <f>VLOOKUP( T_Aop[[#This Row],[Id]], T_Aop[], ID_Jezik + 9, 1)</f>
        <v>569</v>
      </c>
      <c r="F180" t="str">
        <f>REPT( "  ", T_Aop[[#This Row],[Aop nivo]]) &amp; VLOOKUP( T_Aop[[#This Row],[Id]], T_Aop[], ID_Jezik + 6, 1)</f>
        <v xml:space="preserve">      5. Ostali finansijski rashodi</v>
      </c>
      <c r="G180" t="s">
        <v>31</v>
      </c>
      <c r="H180" t="s">
        <v>1202</v>
      </c>
      <c r="I180" t="s">
        <v>1203</v>
      </c>
      <c r="J180" s="275">
        <v>569</v>
      </c>
      <c r="K180" s="275">
        <v>569</v>
      </c>
      <c r="L180" s="275">
        <v>569</v>
      </c>
      <c r="M180" s="10"/>
      <c r="N180" s="10"/>
    </row>
    <row r="181" spans="1:14" x14ac:dyDescent="0.2">
      <c r="A181">
        <f t="shared" si="2"/>
        <v>180</v>
      </c>
      <c r="B181" t="s">
        <v>541</v>
      </c>
      <c r="C181">
        <v>1</v>
      </c>
      <c r="D181">
        <v>244</v>
      </c>
      <c r="E181" s="2">
        <f>VLOOKUP( T_Aop[[#This Row],[Id]], T_Aop[], ID_Jezik + 9, 1)</f>
        <v>0</v>
      </c>
      <c r="F181" t="str">
        <f>REPT( "  ", T_Aop[[#This Row],[Aop nivo]]) &amp; VLOOKUP( T_Aop[[#This Row],[Id]], T_Aop[], ID_Jezik + 6, 1)</f>
        <v xml:space="preserve">  D. DOBITAK REDOVNE AKTIVNOSTI (229 + 231 - 238) ili (231 - 238 - 230)</v>
      </c>
      <c r="G181" t="s">
        <v>1204</v>
      </c>
      <c r="H181" t="s">
        <v>1205</v>
      </c>
      <c r="I181" t="s">
        <v>1206</v>
      </c>
      <c r="J181" s="275"/>
      <c r="K181" s="275"/>
      <c r="L181" s="275"/>
      <c r="M181" s="10">
        <v>1</v>
      </c>
      <c r="N181" s="10"/>
    </row>
    <row r="182" spans="1:14" x14ac:dyDescent="0.2">
      <c r="A182">
        <f t="shared" si="2"/>
        <v>181</v>
      </c>
      <c r="B182" t="s">
        <v>541</v>
      </c>
      <c r="C182">
        <v>1</v>
      </c>
      <c r="D182">
        <v>245</v>
      </c>
      <c r="E182" s="2">
        <f>VLOOKUP( T_Aop[[#This Row],[Id]], T_Aop[], ID_Jezik + 9, 1)</f>
        <v>0</v>
      </c>
      <c r="F182" t="str">
        <f>REPT( "  ", T_Aop[[#This Row],[Aop nivo]]) &amp; VLOOKUP( T_Aop[[#This Row],[Id]], T_Aop[], ID_Jezik + 6, 1)</f>
        <v xml:space="preserve">  Đ. GUBITAK REDOVNE AKTIVNOSTI (230 + 238 - 231) ili (238 - 229 - 231)</v>
      </c>
      <c r="G182" t="s">
        <v>1207</v>
      </c>
      <c r="H182" t="s">
        <v>1208</v>
      </c>
      <c r="I182" t="s">
        <v>1209</v>
      </c>
      <c r="J182" s="275"/>
      <c r="K182" s="275"/>
      <c r="L182" s="275"/>
      <c r="M182" s="10">
        <v>1</v>
      </c>
      <c r="N182" s="10"/>
    </row>
    <row r="183" spans="1:14" x14ac:dyDescent="0.2">
      <c r="A183">
        <f t="shared" si="2"/>
        <v>182</v>
      </c>
      <c r="B183" t="s">
        <v>541</v>
      </c>
      <c r="C183">
        <v>0</v>
      </c>
      <c r="E183" s="2">
        <f>VLOOKUP( T_Aop[[#This Row],[Id]], T_Aop[], ID_Jezik + 9, 1)</f>
        <v>0</v>
      </c>
      <c r="F183" t="str">
        <f>REPT( "  ", T_Aop[[#This Row],[Aop nivo]]) &amp; VLOOKUP( T_Aop[[#This Row],[Id]], T_Aop[], ID_Jezik + 6, 1)</f>
        <v>E. OSTALI PRIHODI I RASHODI</v>
      </c>
      <c r="G183" t="s">
        <v>33</v>
      </c>
      <c r="H183" t="s">
        <v>1210</v>
      </c>
      <c r="I183" t="s">
        <v>98</v>
      </c>
      <c r="J183" s="275"/>
      <c r="K183" s="275"/>
      <c r="L183" s="275"/>
      <c r="M183" s="10">
        <v>1</v>
      </c>
      <c r="N183" s="10"/>
    </row>
    <row r="184" spans="1:14" x14ac:dyDescent="0.2">
      <c r="A184">
        <f t="shared" si="2"/>
        <v>183</v>
      </c>
      <c r="B184" t="s">
        <v>541</v>
      </c>
      <c r="C184">
        <v>2</v>
      </c>
      <c r="D184">
        <v>246</v>
      </c>
      <c r="E184" s="2">
        <f>VLOOKUP( T_Aop[[#This Row],[Id]], T_Aop[], ID_Jezik + 9, 1)</f>
        <v>67</v>
      </c>
      <c r="F184" t="str">
        <f>REPT( "  ", T_Aop[[#This Row],[Aop nivo]]) &amp; VLOOKUP( T_Aop[[#This Row],[Id]], T_Aop[], ID_Jezik + 6, 1)</f>
        <v xml:space="preserve">    I - OSTALI PRIHODI (247 do 256)</v>
      </c>
      <c r="G184" t="s">
        <v>1211</v>
      </c>
      <c r="H184" t="s">
        <v>1212</v>
      </c>
      <c r="I184" t="s">
        <v>1213</v>
      </c>
      <c r="J184" s="275">
        <v>67</v>
      </c>
      <c r="K184" s="275">
        <v>67</v>
      </c>
      <c r="L184" s="275">
        <v>67</v>
      </c>
      <c r="M184" s="10">
        <v>1</v>
      </c>
      <c r="N184" s="10"/>
    </row>
    <row r="185" spans="1:14" x14ac:dyDescent="0.2">
      <c r="A185">
        <f t="shared" si="2"/>
        <v>184</v>
      </c>
      <c r="B185" t="s">
        <v>541</v>
      </c>
      <c r="C185">
        <v>3</v>
      </c>
      <c r="D185">
        <v>247</v>
      </c>
      <c r="E185" s="2">
        <f>VLOOKUP( T_Aop[[#This Row],[Id]], T_Aop[], ID_Jezik + 9, 1)</f>
        <v>670</v>
      </c>
      <c r="F185" t="str">
        <f>REPT( "  ", T_Aop[[#This Row],[Aop nivo]]) &amp; VLOOKUP( T_Aop[[#This Row],[Id]], T_Aop[], ID_Jezik + 6, 1)</f>
        <v xml:space="preserve">      1. Dobici po osnovu prodaje nematerijalnih sredstava, nekretnina, postrojenja i opreme</v>
      </c>
      <c r="G185" t="s">
        <v>1214</v>
      </c>
      <c r="H185" t="s">
        <v>1215</v>
      </c>
      <c r="I185" t="s">
        <v>1216</v>
      </c>
      <c r="J185" s="275">
        <v>670</v>
      </c>
      <c r="K185" s="275">
        <v>670</v>
      </c>
      <c r="L185" s="275">
        <v>670</v>
      </c>
      <c r="M185" s="10"/>
      <c r="N185" s="10"/>
    </row>
    <row r="186" spans="1:14" x14ac:dyDescent="0.2">
      <c r="A186">
        <f t="shared" si="2"/>
        <v>185</v>
      </c>
      <c r="B186" t="s">
        <v>541</v>
      </c>
      <c r="C186">
        <v>3</v>
      </c>
      <c r="D186">
        <v>248</v>
      </c>
      <c r="E186" s="2">
        <f>VLOOKUP( T_Aop[[#This Row],[Id]], T_Aop[], ID_Jezik + 9, 1)</f>
        <v>671</v>
      </c>
      <c r="F186" t="str">
        <f>REPT( "  ", T_Aop[[#This Row],[Aop nivo]]) &amp; VLOOKUP( T_Aop[[#This Row],[Id]], T_Aop[], ID_Jezik + 6, 1)</f>
        <v xml:space="preserve">      2. Dobici po osnovu prodaje investicionih nekretnina</v>
      </c>
      <c r="G186" t="s">
        <v>34</v>
      </c>
      <c r="H186" t="s">
        <v>1217</v>
      </c>
      <c r="I186" t="s">
        <v>1218</v>
      </c>
      <c r="J186" s="275">
        <v>671</v>
      </c>
      <c r="K186" s="275">
        <v>671</v>
      </c>
      <c r="L186" s="275">
        <v>671</v>
      </c>
      <c r="M186" s="10"/>
      <c r="N186" s="10"/>
    </row>
    <row r="187" spans="1:14" x14ac:dyDescent="0.2">
      <c r="A187">
        <f t="shared" si="2"/>
        <v>186</v>
      </c>
      <c r="B187" t="s">
        <v>541</v>
      </c>
      <c r="C187">
        <v>3</v>
      </c>
      <c r="D187">
        <v>249</v>
      </c>
      <c r="E187" s="2">
        <f>VLOOKUP( T_Aop[[#This Row],[Id]], T_Aop[], ID_Jezik + 9, 1)</f>
        <v>672</v>
      </c>
      <c r="F187" t="str">
        <f>REPT( "  ", T_Aop[[#This Row],[Aop nivo]]) &amp; VLOOKUP( T_Aop[[#This Row],[Id]], T_Aop[], ID_Jezik + 6, 1)</f>
        <v xml:space="preserve">      3. Dobici po osnovu prodaje bioloških sredstava</v>
      </c>
      <c r="G187" t="s">
        <v>35</v>
      </c>
      <c r="H187" t="s">
        <v>1219</v>
      </c>
      <c r="I187" t="s">
        <v>1220</v>
      </c>
      <c r="J187" s="275">
        <v>672</v>
      </c>
      <c r="K187" s="275">
        <v>672</v>
      </c>
      <c r="L187" s="275">
        <v>672</v>
      </c>
      <c r="M187" s="10"/>
      <c r="N187" s="10"/>
    </row>
    <row r="188" spans="1:14" x14ac:dyDescent="0.2">
      <c r="A188">
        <f t="shared" si="2"/>
        <v>187</v>
      </c>
      <c r="B188" t="s">
        <v>541</v>
      </c>
      <c r="C188">
        <v>3</v>
      </c>
      <c r="D188">
        <v>250</v>
      </c>
      <c r="E188" s="2">
        <f>VLOOKUP( T_Aop[[#This Row],[Id]], T_Aop[], ID_Jezik + 9, 1)</f>
        <v>673</v>
      </c>
      <c r="F188" t="str">
        <f>REPT( "  ", T_Aop[[#This Row],[Aop nivo]]) &amp; VLOOKUP( T_Aop[[#This Row],[Id]], T_Aop[], ID_Jezik + 6, 1)</f>
        <v xml:space="preserve">      4. Dobici po osnovu prodaje sredstava obustavljenog poslovanja</v>
      </c>
      <c r="G188" t="s">
        <v>36</v>
      </c>
      <c r="H188" t="s">
        <v>1221</v>
      </c>
      <c r="I188" t="s">
        <v>1222</v>
      </c>
      <c r="J188" s="275">
        <v>673</v>
      </c>
      <c r="K188" s="275">
        <v>673</v>
      </c>
      <c r="L188" s="275">
        <v>673</v>
      </c>
      <c r="M188" s="10"/>
      <c r="N188" s="10"/>
    </row>
    <row r="189" spans="1:14" x14ac:dyDescent="0.2">
      <c r="A189">
        <f t="shared" si="2"/>
        <v>188</v>
      </c>
      <c r="B189" t="s">
        <v>541</v>
      </c>
      <c r="C189">
        <v>3</v>
      </c>
      <c r="D189">
        <v>251</v>
      </c>
      <c r="E189" s="2">
        <f>VLOOKUP( T_Aop[[#This Row],[Id]], T_Aop[], ID_Jezik + 9, 1)</f>
        <v>674</v>
      </c>
      <c r="F189" t="str">
        <f>REPT( "  ", T_Aop[[#This Row],[Aop nivo]]) &amp; VLOOKUP( T_Aop[[#This Row],[Id]], T_Aop[], ID_Jezik + 6, 1)</f>
        <v xml:space="preserve">      5. Dobici po osnovu prodaje učešća u kapitalu i HOV</v>
      </c>
      <c r="G189" t="s">
        <v>1223</v>
      </c>
      <c r="H189" t="s">
        <v>1224</v>
      </c>
      <c r="I189" t="s">
        <v>1225</v>
      </c>
      <c r="J189" s="275">
        <v>674</v>
      </c>
      <c r="K189" s="275">
        <v>674</v>
      </c>
      <c r="L189" s="275">
        <v>674</v>
      </c>
      <c r="M189" s="10"/>
      <c r="N189" s="10"/>
    </row>
    <row r="190" spans="1:14" x14ac:dyDescent="0.2">
      <c r="A190">
        <f t="shared" si="2"/>
        <v>189</v>
      </c>
      <c r="B190" t="s">
        <v>541</v>
      </c>
      <c r="C190">
        <v>3</v>
      </c>
      <c r="D190">
        <v>252</v>
      </c>
      <c r="E190" s="2">
        <f>VLOOKUP( T_Aop[[#This Row],[Id]], T_Aop[], ID_Jezik + 9, 1)</f>
        <v>675</v>
      </c>
      <c r="F190" t="str">
        <f>REPT( "  ", T_Aop[[#This Row],[Aop nivo]]) &amp; VLOOKUP( T_Aop[[#This Row],[Id]], T_Aop[], ID_Jezik + 6, 1)</f>
        <v xml:space="preserve">      6. Dobici po osnovu prodaje materijala</v>
      </c>
      <c r="G190" t="s">
        <v>37</v>
      </c>
      <c r="H190" t="s">
        <v>1226</v>
      </c>
      <c r="I190" t="s">
        <v>1227</v>
      </c>
      <c r="J190" s="275">
        <v>675</v>
      </c>
      <c r="K190" s="275">
        <v>675</v>
      </c>
      <c r="L190" s="275">
        <v>675</v>
      </c>
      <c r="M190" s="10"/>
      <c r="N190" s="10"/>
    </row>
    <row r="191" spans="1:14" x14ac:dyDescent="0.2">
      <c r="A191">
        <f t="shared" si="2"/>
        <v>190</v>
      </c>
      <c r="B191" t="s">
        <v>541</v>
      </c>
      <c r="C191">
        <v>3</v>
      </c>
      <c r="D191">
        <v>253</v>
      </c>
      <c r="E191" s="2">
        <f>VLOOKUP( T_Aop[[#This Row],[Id]], T_Aop[], ID_Jezik + 9, 1)</f>
        <v>676</v>
      </c>
      <c r="F191" t="str">
        <f>REPT( "  ", T_Aop[[#This Row],[Aop nivo]]) &amp; VLOOKUP( T_Aop[[#This Row],[Id]], T_Aop[], ID_Jezik + 6, 1)</f>
        <v xml:space="preserve">      7. Viškovi, izuzimajući viškove zaliha učinaka</v>
      </c>
      <c r="G191" t="s">
        <v>43</v>
      </c>
      <c r="H191" t="s">
        <v>1228</v>
      </c>
      <c r="I191" t="s">
        <v>1229</v>
      </c>
      <c r="J191" s="275">
        <v>676</v>
      </c>
      <c r="K191" s="275">
        <v>676</v>
      </c>
      <c r="L191" s="275">
        <v>676</v>
      </c>
      <c r="M191" s="10"/>
      <c r="N191" s="10"/>
    </row>
    <row r="192" spans="1:14" x14ac:dyDescent="0.2">
      <c r="A192">
        <f t="shared" si="2"/>
        <v>191</v>
      </c>
      <c r="B192" t="s">
        <v>541</v>
      </c>
      <c r="C192">
        <v>3</v>
      </c>
      <c r="D192">
        <v>254</v>
      </c>
      <c r="E192" s="2">
        <f>VLOOKUP( T_Aop[[#This Row],[Id]], T_Aop[], ID_Jezik + 9, 1)</f>
        <v>677</v>
      </c>
      <c r="F192" t="str">
        <f>REPT( "  ", T_Aop[[#This Row],[Aop nivo]]) &amp; VLOOKUP( T_Aop[[#This Row],[Id]], T_Aop[], ID_Jezik + 6, 1)</f>
        <v xml:space="preserve">      8. Naplaćena otpisana potraživanja</v>
      </c>
      <c r="G192" t="s">
        <v>262</v>
      </c>
      <c r="H192" t="s">
        <v>1230</v>
      </c>
      <c r="I192" t="s">
        <v>1231</v>
      </c>
      <c r="J192" s="275">
        <v>677</v>
      </c>
      <c r="K192" s="275">
        <v>677</v>
      </c>
      <c r="L192" s="275">
        <v>677</v>
      </c>
      <c r="M192" s="10"/>
      <c r="N192" s="10"/>
    </row>
    <row r="193" spans="1:14" x14ac:dyDescent="0.2">
      <c r="A193">
        <f t="shared" si="2"/>
        <v>192</v>
      </c>
      <c r="B193" t="s">
        <v>541</v>
      </c>
      <c r="C193">
        <v>3</v>
      </c>
      <c r="D193">
        <v>255</v>
      </c>
      <c r="E193" s="2">
        <f>VLOOKUP( T_Aop[[#This Row],[Id]], T_Aop[], ID_Jezik + 9, 1)</f>
        <v>678</v>
      </c>
      <c r="F193" t="str">
        <f>REPT( "  ", T_Aop[[#This Row],[Aop nivo]]) &amp; VLOOKUP( T_Aop[[#This Row],[Id]], T_Aop[], ID_Jezik + 6, 1)</f>
        <v xml:space="preserve">      9. Prihodi po osnovu ugovorene zaštite od rizika, koji ne ispunjavaju uslove da se iskažu u okviru revalorizacionih rezervi</v>
      </c>
      <c r="G193" t="s">
        <v>38</v>
      </c>
      <c r="H193" t="s">
        <v>1232</v>
      </c>
      <c r="I193" t="s">
        <v>1233</v>
      </c>
      <c r="J193" s="275">
        <v>678</v>
      </c>
      <c r="K193" s="275">
        <v>678</v>
      </c>
      <c r="L193" s="275">
        <v>678</v>
      </c>
      <c r="M193" s="10"/>
      <c r="N193" s="10">
        <v>1</v>
      </c>
    </row>
    <row r="194" spans="1:14" x14ac:dyDescent="0.2">
      <c r="A194">
        <f t="shared" ref="A194:A257" si="3">ROW()-ROW($A$1)</f>
        <v>193</v>
      </c>
      <c r="B194" t="s">
        <v>541</v>
      </c>
      <c r="C194">
        <v>3</v>
      </c>
      <c r="D194">
        <v>256</v>
      </c>
      <c r="E194" s="2">
        <f>VLOOKUP( T_Aop[[#This Row],[Id]], T_Aop[], ID_Jezik + 9, 1)</f>
        <v>679</v>
      </c>
      <c r="F194" t="str">
        <f>REPT( "  ", T_Aop[[#This Row],[Aop nivo]]) &amp; VLOOKUP( T_Aop[[#This Row],[Id]], T_Aop[], ID_Jezik + 6, 1)</f>
        <v xml:space="preserve">      10. Prihodi od smanjenja obaveza, ukidanja neiskorišćenih dugoročnih rezervisanja i ostali nepomenuti prihodi</v>
      </c>
      <c r="G194" t="s">
        <v>1234</v>
      </c>
      <c r="H194" t="s">
        <v>1235</v>
      </c>
      <c r="I194" t="s">
        <v>1236</v>
      </c>
      <c r="J194" s="275">
        <v>679</v>
      </c>
      <c r="K194" s="275">
        <v>679</v>
      </c>
      <c r="L194" s="275">
        <v>679</v>
      </c>
      <c r="M194" s="10"/>
      <c r="N194" s="10">
        <v>1</v>
      </c>
    </row>
    <row r="195" spans="1:14" x14ac:dyDescent="0.2">
      <c r="A195">
        <f t="shared" si="3"/>
        <v>194</v>
      </c>
      <c r="B195" t="s">
        <v>541</v>
      </c>
      <c r="C195">
        <v>2</v>
      </c>
      <c r="D195">
        <v>257</v>
      </c>
      <c r="E195" s="2">
        <f>VLOOKUP( T_Aop[[#This Row],[Id]], T_Aop[], ID_Jezik + 9, 1)</f>
        <v>57</v>
      </c>
      <c r="F195" t="str">
        <f>REPT( "  ", T_Aop[[#This Row],[Aop nivo]]) &amp; VLOOKUP( T_Aop[[#This Row],[Id]], T_Aop[], ID_Jezik + 6, 1)</f>
        <v xml:space="preserve">    II - OSTALI RASHODI (258 do 267)</v>
      </c>
      <c r="G195" t="s">
        <v>1237</v>
      </c>
      <c r="H195" t="s">
        <v>1238</v>
      </c>
      <c r="I195" t="s">
        <v>1239</v>
      </c>
      <c r="J195" s="275">
        <v>57</v>
      </c>
      <c r="K195" s="275">
        <v>57</v>
      </c>
      <c r="L195" s="275">
        <v>57</v>
      </c>
      <c r="M195" s="10">
        <v>1</v>
      </c>
      <c r="N195" s="10"/>
    </row>
    <row r="196" spans="1:14" x14ac:dyDescent="0.2">
      <c r="A196">
        <f t="shared" si="3"/>
        <v>195</v>
      </c>
      <c r="B196" t="s">
        <v>541</v>
      </c>
      <c r="C196">
        <v>3</v>
      </c>
      <c r="D196">
        <v>258</v>
      </c>
      <c r="E196" s="2">
        <f>VLOOKUP( T_Aop[[#This Row],[Id]], T_Aop[], ID_Jezik + 9, 1)</f>
        <v>570</v>
      </c>
      <c r="F196" t="str">
        <f>REPT( "  ", T_Aop[[#This Row],[Aop nivo]]) &amp; VLOOKUP( T_Aop[[#This Row],[Id]], T_Aop[], ID_Jezik + 6, 1)</f>
        <v xml:space="preserve">      1. Gubici po osnovu prodaje i rashodovanja nematerijalnih sredstava, nekretnina, postrojenja i opreme</v>
      </c>
      <c r="G196" t="s">
        <v>1240</v>
      </c>
      <c r="H196" t="s">
        <v>1241</v>
      </c>
      <c r="I196" t="s">
        <v>1242</v>
      </c>
      <c r="J196" s="275">
        <v>570</v>
      </c>
      <c r="K196" s="275">
        <v>570</v>
      </c>
      <c r="L196" s="275">
        <v>570</v>
      </c>
      <c r="M196" s="10"/>
      <c r="N196" s="10"/>
    </row>
    <row r="197" spans="1:14" x14ac:dyDescent="0.2">
      <c r="A197">
        <f t="shared" si="3"/>
        <v>196</v>
      </c>
      <c r="B197" t="s">
        <v>541</v>
      </c>
      <c r="C197">
        <v>3</v>
      </c>
      <c r="D197">
        <v>259</v>
      </c>
      <c r="E197" s="2">
        <f>VLOOKUP( T_Aop[[#This Row],[Id]], T_Aop[], ID_Jezik + 9, 1)</f>
        <v>571</v>
      </c>
      <c r="F197" t="str">
        <f>REPT( "  ", T_Aop[[#This Row],[Aop nivo]]) &amp; VLOOKUP( T_Aop[[#This Row],[Id]], T_Aop[], ID_Jezik + 6, 1)</f>
        <v xml:space="preserve">      2. Gubici po osnovu prodaje i rashodovanja investicionih nekretnina</v>
      </c>
      <c r="G197" t="s">
        <v>39</v>
      </c>
      <c r="H197" t="s">
        <v>1243</v>
      </c>
      <c r="I197" t="s">
        <v>1244</v>
      </c>
      <c r="J197" s="275">
        <v>571</v>
      </c>
      <c r="K197" s="275">
        <v>571</v>
      </c>
      <c r="L197" s="275">
        <v>571</v>
      </c>
      <c r="M197" s="10"/>
      <c r="N197" s="10"/>
    </row>
    <row r="198" spans="1:14" x14ac:dyDescent="0.2">
      <c r="A198">
        <f t="shared" si="3"/>
        <v>197</v>
      </c>
      <c r="B198" t="s">
        <v>541</v>
      </c>
      <c r="C198">
        <v>3</v>
      </c>
      <c r="D198">
        <v>260</v>
      </c>
      <c r="E198" s="2">
        <f>VLOOKUP( T_Aop[[#This Row],[Id]], T_Aop[], ID_Jezik + 9, 1)</f>
        <v>572</v>
      </c>
      <c r="F198" t="str">
        <f>REPT( "  ", T_Aop[[#This Row],[Aop nivo]]) &amp; VLOOKUP( T_Aop[[#This Row],[Id]], T_Aop[], ID_Jezik + 6, 1)</f>
        <v xml:space="preserve">      3. Gubici po osnovu prodaje i rashodovanja bioloških sredstava</v>
      </c>
      <c r="G198" t="s">
        <v>40</v>
      </c>
      <c r="H198" t="s">
        <v>1245</v>
      </c>
      <c r="I198" t="s">
        <v>1246</v>
      </c>
      <c r="J198" s="275">
        <v>572</v>
      </c>
      <c r="K198" s="275">
        <v>572</v>
      </c>
      <c r="L198" s="275">
        <v>572</v>
      </c>
      <c r="M198" s="10"/>
      <c r="N198" s="10"/>
    </row>
    <row r="199" spans="1:14" x14ac:dyDescent="0.2">
      <c r="A199">
        <f t="shared" si="3"/>
        <v>198</v>
      </c>
      <c r="B199" t="s">
        <v>541</v>
      </c>
      <c r="C199">
        <v>3</v>
      </c>
      <c r="D199">
        <v>261</v>
      </c>
      <c r="E199" s="2">
        <f>VLOOKUP( T_Aop[[#This Row],[Id]], T_Aop[], ID_Jezik + 9, 1)</f>
        <v>573</v>
      </c>
      <c r="F199" t="str">
        <f>REPT( "  ", T_Aop[[#This Row],[Aop nivo]]) &amp; VLOOKUP( T_Aop[[#This Row],[Id]], T_Aop[], ID_Jezik + 6, 1)</f>
        <v xml:space="preserve">      4. Gubici po osnovu prodaje sredstava obustavljenog poslovanja</v>
      </c>
      <c r="G199" t="s">
        <v>41</v>
      </c>
      <c r="H199" t="s">
        <v>1247</v>
      </c>
      <c r="I199" t="s">
        <v>1248</v>
      </c>
      <c r="J199" s="275">
        <v>573</v>
      </c>
      <c r="K199" s="275">
        <v>573</v>
      </c>
      <c r="L199" s="275">
        <v>573</v>
      </c>
      <c r="M199" s="10"/>
      <c r="N199" s="10"/>
    </row>
    <row r="200" spans="1:14" x14ac:dyDescent="0.2">
      <c r="A200">
        <f t="shared" si="3"/>
        <v>199</v>
      </c>
      <c r="B200" t="s">
        <v>541</v>
      </c>
      <c r="C200">
        <v>3</v>
      </c>
      <c r="D200">
        <v>262</v>
      </c>
      <c r="E200" s="2">
        <f>VLOOKUP( T_Aop[[#This Row],[Id]], T_Aop[], ID_Jezik + 9, 1)</f>
        <v>574</v>
      </c>
      <c r="F200" t="str">
        <f>REPT( "  ", T_Aop[[#This Row],[Aop nivo]]) &amp; VLOOKUP( T_Aop[[#This Row],[Id]], T_Aop[], ID_Jezik + 6, 1)</f>
        <v xml:space="preserve">      5. Gubici po osnovu prodaje učešća u kapitalu i HOV</v>
      </c>
      <c r="G200" t="s">
        <v>1249</v>
      </c>
      <c r="H200" t="s">
        <v>1250</v>
      </c>
      <c r="I200" t="s">
        <v>1251</v>
      </c>
      <c r="J200" s="275">
        <v>574</v>
      </c>
      <c r="K200" s="275">
        <v>574</v>
      </c>
      <c r="L200" s="275">
        <v>574</v>
      </c>
      <c r="M200" s="10"/>
      <c r="N200" s="10"/>
    </row>
    <row r="201" spans="1:14" x14ac:dyDescent="0.2">
      <c r="A201">
        <f t="shared" si="3"/>
        <v>200</v>
      </c>
      <c r="B201" t="s">
        <v>541</v>
      </c>
      <c r="C201">
        <v>3</v>
      </c>
      <c r="D201">
        <v>263</v>
      </c>
      <c r="E201" s="2">
        <f>VLOOKUP( T_Aop[[#This Row],[Id]], T_Aop[], ID_Jezik + 9, 1)</f>
        <v>575</v>
      </c>
      <c r="F201" t="str">
        <f>REPT( "  ", T_Aop[[#This Row],[Aop nivo]]) &amp; VLOOKUP( T_Aop[[#This Row],[Id]], T_Aop[], ID_Jezik + 6, 1)</f>
        <v xml:space="preserve">      6. Gubici po osnovu prodaje materijala</v>
      </c>
      <c r="G201" t="s">
        <v>1923</v>
      </c>
      <c r="H201" t="s">
        <v>1924</v>
      </c>
      <c r="I201" t="s">
        <v>1252</v>
      </c>
      <c r="J201" s="275">
        <v>575</v>
      </c>
      <c r="K201" s="275">
        <v>575</v>
      </c>
      <c r="L201" s="275">
        <v>575</v>
      </c>
      <c r="M201" s="10"/>
      <c r="N201" s="10"/>
    </row>
    <row r="202" spans="1:14" x14ac:dyDescent="0.2">
      <c r="A202">
        <f t="shared" si="3"/>
        <v>201</v>
      </c>
      <c r="B202" t="s">
        <v>541</v>
      </c>
      <c r="C202">
        <v>3</v>
      </c>
      <c r="D202">
        <v>264</v>
      </c>
      <c r="E202" s="2">
        <f>VLOOKUP( T_Aop[[#This Row],[Id]], T_Aop[], ID_Jezik + 9, 1)</f>
        <v>576</v>
      </c>
      <c r="F202" t="str">
        <f>REPT( "  ", T_Aop[[#This Row],[Aop nivo]]) &amp; VLOOKUP( T_Aop[[#This Row],[Id]], T_Aop[], ID_Jezik + 6, 1)</f>
        <v xml:space="preserve">      7. Manjkovi, izuzimajući manjkove zaliha učinaka</v>
      </c>
      <c r="G202" t="s">
        <v>44</v>
      </c>
      <c r="H202" t="s">
        <v>1253</v>
      </c>
      <c r="I202" t="s">
        <v>1254</v>
      </c>
      <c r="J202" s="275">
        <v>576</v>
      </c>
      <c r="K202" s="275">
        <v>576</v>
      </c>
      <c r="L202" s="275">
        <v>576</v>
      </c>
      <c r="M202" s="10"/>
      <c r="N202" s="10"/>
    </row>
    <row r="203" spans="1:14" x14ac:dyDescent="0.2">
      <c r="A203">
        <f t="shared" si="3"/>
        <v>202</v>
      </c>
      <c r="B203" t="s">
        <v>541</v>
      </c>
      <c r="C203">
        <v>3</v>
      </c>
      <c r="D203">
        <v>265</v>
      </c>
      <c r="E203" s="2">
        <f>VLOOKUP( T_Aop[[#This Row],[Id]], T_Aop[], ID_Jezik + 9, 1)</f>
        <v>577</v>
      </c>
      <c r="F203" t="str">
        <f>REPT( "  ", T_Aop[[#This Row],[Aop nivo]]) &amp; VLOOKUP( T_Aop[[#This Row],[Id]], T_Aop[], ID_Jezik + 6, 1)</f>
        <v xml:space="preserve">      8. Rashodi po osnovu zaštite od rizika koji ne ispunjavaju uslove da se iskažu u okviru revalorizacionih rezervi</v>
      </c>
      <c r="G203" t="s">
        <v>1255</v>
      </c>
      <c r="H203" t="s">
        <v>1256</v>
      </c>
      <c r="I203" t="s">
        <v>1257</v>
      </c>
      <c r="J203" s="275">
        <v>577</v>
      </c>
      <c r="K203" s="275">
        <v>577</v>
      </c>
      <c r="L203" s="275">
        <v>577</v>
      </c>
      <c r="M203" s="10"/>
      <c r="N203" s="10">
        <v>1</v>
      </c>
    </row>
    <row r="204" spans="1:14" x14ac:dyDescent="0.2">
      <c r="A204">
        <f t="shared" si="3"/>
        <v>203</v>
      </c>
      <c r="B204" t="s">
        <v>541</v>
      </c>
      <c r="C204">
        <v>3</v>
      </c>
      <c r="D204">
        <v>266</v>
      </c>
      <c r="E204" s="2">
        <f>VLOOKUP( T_Aop[[#This Row],[Id]], T_Aop[], ID_Jezik + 9, 1)</f>
        <v>578</v>
      </c>
      <c r="F204" t="str">
        <f>REPT( "  ", T_Aop[[#This Row],[Aop nivo]]) &amp; VLOOKUP( T_Aop[[#This Row],[Id]], T_Aop[], ID_Jezik + 6, 1)</f>
        <v xml:space="preserve">      9. Rashodi po osnovu ispravke vrijednosti i otpisa potraživanja</v>
      </c>
      <c r="G204" t="s">
        <v>55</v>
      </c>
      <c r="H204" t="s">
        <v>1258</v>
      </c>
      <c r="I204" t="s">
        <v>1259</v>
      </c>
      <c r="J204" s="275">
        <v>578</v>
      </c>
      <c r="K204" s="275">
        <v>578</v>
      </c>
      <c r="L204" s="275">
        <v>578</v>
      </c>
      <c r="M204" s="10"/>
      <c r="N204" s="10"/>
    </row>
    <row r="205" spans="1:14" x14ac:dyDescent="0.2">
      <c r="A205">
        <f t="shared" si="3"/>
        <v>204</v>
      </c>
      <c r="B205" t="s">
        <v>541</v>
      </c>
      <c r="C205">
        <v>3</v>
      </c>
      <c r="D205">
        <v>267</v>
      </c>
      <c r="E205" s="2">
        <f>VLOOKUP( T_Aop[[#This Row],[Id]], T_Aop[], ID_Jezik + 9, 1)</f>
        <v>579</v>
      </c>
      <c r="F205" t="str">
        <f>REPT( "  ", T_Aop[[#This Row],[Aop nivo]]) &amp; VLOOKUP( T_Aop[[#This Row],[Id]], T_Aop[], ID_Jezik + 6, 1)</f>
        <v xml:space="preserve">      10. Rashodi po osnovu rashodovanja zaliha materijala i robe i ostali rashodi</v>
      </c>
      <c r="G205" t="s">
        <v>42</v>
      </c>
      <c r="H205" t="s">
        <v>1260</v>
      </c>
      <c r="I205" t="s">
        <v>1261</v>
      </c>
      <c r="J205" s="275">
        <v>579</v>
      </c>
      <c r="K205" s="275">
        <v>579</v>
      </c>
      <c r="L205" s="275">
        <v>579</v>
      </c>
      <c r="M205" s="10"/>
      <c r="N205" s="10"/>
    </row>
    <row r="206" spans="1:14" x14ac:dyDescent="0.2">
      <c r="A206">
        <f t="shared" si="3"/>
        <v>205</v>
      </c>
      <c r="B206" t="s">
        <v>541</v>
      </c>
      <c r="C206">
        <v>1</v>
      </c>
      <c r="D206">
        <v>268</v>
      </c>
      <c r="E206" s="2">
        <f>VLOOKUP( T_Aop[[#This Row],[Id]], T_Aop[], ID_Jezik + 9, 1)</f>
        <v>0</v>
      </c>
      <c r="F206" t="str">
        <f>REPT( "  ", T_Aop[[#This Row],[Aop nivo]]) &amp; VLOOKUP( T_Aop[[#This Row],[Id]], T_Aop[], ID_Jezik + 6, 1)</f>
        <v xml:space="preserve">  Ž. DOBITAK PO OSNOVU OSTALIH PRIHODA I RASHODA (246 - 257)</v>
      </c>
      <c r="G206" t="s">
        <v>1262</v>
      </c>
      <c r="H206" t="s">
        <v>1263</v>
      </c>
      <c r="I206" t="s">
        <v>1264</v>
      </c>
      <c r="J206" s="275"/>
      <c r="K206" s="275"/>
      <c r="L206" s="275"/>
      <c r="M206" s="10">
        <v>1</v>
      </c>
      <c r="N206" s="10"/>
    </row>
    <row r="207" spans="1:14" x14ac:dyDescent="0.2">
      <c r="A207">
        <f t="shared" si="3"/>
        <v>206</v>
      </c>
      <c r="B207" t="s">
        <v>541</v>
      </c>
      <c r="C207">
        <v>1</v>
      </c>
      <c r="D207">
        <v>269</v>
      </c>
      <c r="E207" s="2">
        <f>VLOOKUP( T_Aop[[#This Row],[Id]], T_Aop[], ID_Jezik + 9, 1)</f>
        <v>0</v>
      </c>
      <c r="F207" t="str">
        <f>REPT( "  ", T_Aop[[#This Row],[Aop nivo]]) &amp; VLOOKUP( T_Aop[[#This Row],[Id]], T_Aop[], ID_Jezik + 6, 1)</f>
        <v xml:space="preserve">  Z. GUBITAK PO OSNOVU OSTALIH PRIHODA I RASHODA (257 - 246)</v>
      </c>
      <c r="G207" t="s">
        <v>1265</v>
      </c>
      <c r="H207" t="s">
        <v>1266</v>
      </c>
      <c r="I207" t="s">
        <v>1267</v>
      </c>
      <c r="J207" s="275"/>
      <c r="K207" s="275"/>
      <c r="L207" s="275"/>
      <c r="M207" s="10">
        <v>1</v>
      </c>
      <c r="N207" s="10"/>
    </row>
    <row r="208" spans="1:14" x14ac:dyDescent="0.2">
      <c r="A208">
        <f t="shared" si="3"/>
        <v>207</v>
      </c>
      <c r="B208" t="s">
        <v>541</v>
      </c>
      <c r="C208">
        <v>0</v>
      </c>
      <c r="E208" s="2">
        <f>VLOOKUP( T_Aop[[#This Row],[Id]], T_Aop[], ID_Jezik + 9, 1)</f>
        <v>0</v>
      </c>
      <c r="F208" t="str">
        <f>REPT( "  ", T_Aop[[#This Row],[Aop nivo]]) &amp; VLOOKUP( T_Aop[[#This Row],[Id]], T_Aop[], ID_Jezik + 6, 1)</f>
        <v>I. PRIHODI I RASHODI OD USKLAĐIVANJA VRIJEDNOSTI IMOVINE</v>
      </c>
      <c r="G208" t="s">
        <v>45</v>
      </c>
      <c r="H208" t="s">
        <v>1268</v>
      </c>
      <c r="I208" t="s">
        <v>99</v>
      </c>
      <c r="J208" s="275"/>
      <c r="K208" s="275"/>
      <c r="L208" s="275"/>
      <c r="M208" s="10">
        <v>1</v>
      </c>
      <c r="N208" s="10"/>
    </row>
    <row r="209" spans="1:14" x14ac:dyDescent="0.2">
      <c r="A209">
        <f t="shared" si="3"/>
        <v>208</v>
      </c>
      <c r="B209" t="s">
        <v>541</v>
      </c>
      <c r="C209">
        <v>2</v>
      </c>
      <c r="D209">
        <v>270</v>
      </c>
      <c r="E209" s="2">
        <f>VLOOKUP( T_Aop[[#This Row],[Id]], T_Aop[], ID_Jezik + 9, 1)</f>
        <v>68</v>
      </c>
      <c r="F209" t="str">
        <f>REPT( "  ", T_Aop[[#This Row],[Aop nivo]]) &amp; VLOOKUP( T_Aop[[#This Row],[Id]], T_Aop[], ID_Jezik + 6, 1)</f>
        <v xml:space="preserve">    I - PRIHODI OD USKLAĐIVANJA VRIJEDNOSTI IMOVINE (271 do 279)</v>
      </c>
      <c r="G209" t="s">
        <v>1269</v>
      </c>
      <c r="H209" t="s">
        <v>1270</v>
      </c>
      <c r="I209" t="s">
        <v>1271</v>
      </c>
      <c r="J209" s="275">
        <v>68</v>
      </c>
      <c r="K209" s="275">
        <v>68</v>
      </c>
      <c r="L209" s="275">
        <v>68</v>
      </c>
      <c r="M209" s="10">
        <v>1</v>
      </c>
      <c r="N209" s="10"/>
    </row>
    <row r="210" spans="1:14" x14ac:dyDescent="0.2">
      <c r="A210">
        <f t="shared" si="3"/>
        <v>209</v>
      </c>
      <c r="B210" t="s">
        <v>541</v>
      </c>
      <c r="C210">
        <v>3</v>
      </c>
      <c r="D210">
        <v>271</v>
      </c>
      <c r="E210" s="2">
        <f>VLOOKUP( T_Aop[[#This Row],[Id]], T_Aop[], ID_Jezik + 9, 1)</f>
        <v>680</v>
      </c>
      <c r="F210" t="str">
        <f>REPT( "  ", T_Aop[[#This Row],[Aop nivo]]) &amp; VLOOKUP( T_Aop[[#This Row],[Id]], T_Aop[], ID_Jezik + 6, 1)</f>
        <v xml:space="preserve">      1. Prihodi od usklađivanja vrijednosti nematerijalnih sredstava</v>
      </c>
      <c r="G210" t="s">
        <v>1272</v>
      </c>
      <c r="H210" t="s">
        <v>1273</v>
      </c>
      <c r="I210" t="s">
        <v>1274</v>
      </c>
      <c r="J210" s="275">
        <v>680</v>
      </c>
      <c r="K210" s="275">
        <v>680</v>
      </c>
      <c r="L210" s="275">
        <v>680</v>
      </c>
      <c r="M210" s="10"/>
      <c r="N210" s="10"/>
    </row>
    <row r="211" spans="1:14" x14ac:dyDescent="0.2">
      <c r="A211">
        <f t="shared" si="3"/>
        <v>210</v>
      </c>
      <c r="B211" t="s">
        <v>541</v>
      </c>
      <c r="C211">
        <v>3</v>
      </c>
      <c r="D211">
        <v>272</v>
      </c>
      <c r="E211" s="2">
        <f>VLOOKUP( T_Aop[[#This Row],[Id]], T_Aop[], ID_Jezik + 9, 1)</f>
        <v>681</v>
      </c>
      <c r="F211" t="str">
        <f>REPT( "  ", T_Aop[[#This Row],[Aop nivo]]) &amp; VLOOKUP( T_Aop[[#This Row],[Id]], T_Aop[], ID_Jezik + 6, 1)</f>
        <v xml:space="preserve">      2. Prihodi od usklađivanja vrijednosti nekretnina, postrojenja i opreme</v>
      </c>
      <c r="G211" t="s">
        <v>46</v>
      </c>
      <c r="H211" t="s">
        <v>1275</v>
      </c>
      <c r="I211" t="s">
        <v>1276</v>
      </c>
      <c r="J211" s="275">
        <v>681</v>
      </c>
      <c r="K211" s="275">
        <v>681</v>
      </c>
      <c r="L211" s="275">
        <v>681</v>
      </c>
      <c r="M211" s="10"/>
      <c r="N211" s="10"/>
    </row>
    <row r="212" spans="1:14" x14ac:dyDescent="0.2">
      <c r="A212">
        <f t="shared" si="3"/>
        <v>211</v>
      </c>
      <c r="B212" t="s">
        <v>541</v>
      </c>
      <c r="C212">
        <v>3</v>
      </c>
      <c r="D212">
        <v>273</v>
      </c>
      <c r="E212" s="2">
        <f>VLOOKUP( T_Aop[[#This Row],[Id]], T_Aop[], ID_Jezik + 9, 1)</f>
        <v>682</v>
      </c>
      <c r="F212" t="str">
        <f>REPT( "  ", T_Aop[[#This Row],[Aop nivo]]) &amp; VLOOKUP( T_Aop[[#This Row],[Id]], T_Aop[], ID_Jezik + 6, 1)</f>
        <v xml:space="preserve">      3. Prihodi od usklađivanja vrijednosti investicionih nekretnina za koje se obračunava amortizacija</v>
      </c>
      <c r="G212" t="s">
        <v>47</v>
      </c>
      <c r="H212" t="s">
        <v>1277</v>
      </c>
      <c r="I212" t="s">
        <v>1278</v>
      </c>
      <c r="J212" s="275">
        <v>682</v>
      </c>
      <c r="K212" s="275">
        <v>682</v>
      </c>
      <c r="L212" s="275">
        <v>682</v>
      </c>
      <c r="M212" s="10"/>
      <c r="N212" s="10"/>
    </row>
    <row r="213" spans="1:14" x14ac:dyDescent="0.2">
      <c r="A213">
        <f t="shared" si="3"/>
        <v>212</v>
      </c>
      <c r="B213" t="s">
        <v>541</v>
      </c>
      <c r="C213">
        <v>3</v>
      </c>
      <c r="D213">
        <v>274</v>
      </c>
      <c r="E213" s="2">
        <f>VLOOKUP( T_Aop[[#This Row],[Id]], T_Aop[], ID_Jezik + 9, 1)</f>
        <v>683</v>
      </c>
      <c r="F213" t="str">
        <f>REPT( "  ", T_Aop[[#This Row],[Aop nivo]]) &amp; VLOOKUP( T_Aop[[#This Row],[Id]], T_Aop[], ID_Jezik + 6, 1)</f>
        <v xml:space="preserve">      4. Prihodi od usklađivanja vrijednosti bioloških sredstava za koje se obračunava amortizacija</v>
      </c>
      <c r="G213" t="s">
        <v>1279</v>
      </c>
      <c r="H213" t="s">
        <v>1280</v>
      </c>
      <c r="I213" t="s">
        <v>1281</v>
      </c>
      <c r="J213" s="275">
        <v>683</v>
      </c>
      <c r="K213" s="275">
        <v>683</v>
      </c>
      <c r="L213" s="275">
        <v>683</v>
      </c>
      <c r="M213" s="10"/>
      <c r="N213" s="10"/>
    </row>
    <row r="214" spans="1:14" x14ac:dyDescent="0.2">
      <c r="A214">
        <f t="shared" si="3"/>
        <v>213</v>
      </c>
      <c r="B214" t="s">
        <v>541</v>
      </c>
      <c r="C214">
        <v>3</v>
      </c>
      <c r="D214">
        <v>275</v>
      </c>
      <c r="E214" s="2">
        <f>VLOOKUP( T_Aop[[#This Row],[Id]], T_Aop[], ID_Jezik + 9, 1)</f>
        <v>684</v>
      </c>
      <c r="F214" t="str">
        <f>REPT( "  ", T_Aop[[#This Row],[Aop nivo]]) &amp; VLOOKUP( T_Aop[[#This Row],[Id]], T_Aop[], ID_Jezik + 6, 1)</f>
        <v xml:space="preserve">      5. Prihodi od usklađivanja vrijednosti dugoročnih finansijskih plasmana i finansijskih sredstava raspoloživih za prodaju</v>
      </c>
      <c r="G214" t="s">
        <v>1282</v>
      </c>
      <c r="H214" t="s">
        <v>1283</v>
      </c>
      <c r="I214" t="s">
        <v>1284</v>
      </c>
      <c r="J214" s="275">
        <v>684</v>
      </c>
      <c r="K214" s="275">
        <v>684</v>
      </c>
      <c r="L214" s="275">
        <v>684</v>
      </c>
      <c r="M214" s="10"/>
      <c r="N214" s="10">
        <v>1</v>
      </c>
    </row>
    <row r="215" spans="1:14" x14ac:dyDescent="0.2">
      <c r="A215">
        <f t="shared" si="3"/>
        <v>214</v>
      </c>
      <c r="B215" t="s">
        <v>541</v>
      </c>
      <c r="C215">
        <v>3</v>
      </c>
      <c r="D215">
        <v>276</v>
      </c>
      <c r="E215" s="2">
        <f>VLOOKUP( T_Aop[[#This Row],[Id]], T_Aop[], ID_Jezik + 9, 1)</f>
        <v>685</v>
      </c>
      <c r="F215" t="str">
        <f>REPT( "  ", T_Aop[[#This Row],[Aop nivo]]) &amp; VLOOKUP( T_Aop[[#This Row],[Id]], T_Aop[], ID_Jezik + 6, 1)</f>
        <v xml:space="preserve">      6. Prihodi od usklađivanja vrijednosti zaliha materijala i robe</v>
      </c>
      <c r="G215" t="s">
        <v>48</v>
      </c>
      <c r="H215" t="s">
        <v>1285</v>
      </c>
      <c r="I215" t="s">
        <v>1286</v>
      </c>
      <c r="J215" s="275">
        <v>685</v>
      </c>
      <c r="K215" s="275">
        <v>685</v>
      </c>
      <c r="L215" s="275">
        <v>685</v>
      </c>
      <c r="M215" s="10"/>
      <c r="N215" s="10"/>
    </row>
    <row r="216" spans="1:14" x14ac:dyDescent="0.2">
      <c r="A216">
        <f t="shared" si="3"/>
        <v>215</v>
      </c>
      <c r="B216" t="s">
        <v>541</v>
      </c>
      <c r="C216">
        <v>3</v>
      </c>
      <c r="D216">
        <v>277</v>
      </c>
      <c r="E216" s="2">
        <f>VLOOKUP( T_Aop[[#This Row],[Id]], T_Aop[], ID_Jezik + 9, 1)</f>
        <v>686</v>
      </c>
      <c r="F216" t="str">
        <f>REPT( "  ", T_Aop[[#This Row],[Aop nivo]]) &amp; VLOOKUP( T_Aop[[#This Row],[Id]], T_Aop[], ID_Jezik + 6, 1)</f>
        <v xml:space="preserve">      7. Prihodi od usklađivanja vrijednosti kratkoročnih finansijskih plasmana</v>
      </c>
      <c r="G216" t="s">
        <v>49</v>
      </c>
      <c r="H216" t="s">
        <v>1287</v>
      </c>
      <c r="I216" t="s">
        <v>1288</v>
      </c>
      <c r="J216" s="275">
        <v>686</v>
      </c>
      <c r="K216" s="275">
        <v>686</v>
      </c>
      <c r="L216" s="275">
        <v>686</v>
      </c>
      <c r="M216" s="10"/>
      <c r="N216" s="10"/>
    </row>
    <row r="217" spans="1:14" x14ac:dyDescent="0.2">
      <c r="A217">
        <f t="shared" si="3"/>
        <v>216</v>
      </c>
      <c r="B217" t="s">
        <v>541</v>
      </c>
      <c r="C217">
        <v>3</v>
      </c>
      <c r="D217">
        <v>278</v>
      </c>
      <c r="E217" s="2">
        <f>VLOOKUP( T_Aop[[#This Row],[Id]], T_Aop[], ID_Jezik + 9, 1)</f>
        <v>687</v>
      </c>
      <c r="F217" t="str">
        <f>REPT( "  ", T_Aop[[#This Row],[Aop nivo]]) &amp; VLOOKUP( T_Aop[[#This Row],[Id]], T_Aop[], ID_Jezik + 6, 1)</f>
        <v xml:space="preserve">      8. Prihodi od usklađivanja vrijednosti kapitala (negativni Goodwill)</v>
      </c>
      <c r="G217" t="s">
        <v>1289</v>
      </c>
      <c r="H217" t="s">
        <v>1290</v>
      </c>
      <c r="I217" t="s">
        <v>1291</v>
      </c>
      <c r="J217" s="275">
        <v>687</v>
      </c>
      <c r="K217" s="275">
        <v>687</v>
      </c>
      <c r="L217" s="275">
        <v>687</v>
      </c>
      <c r="M217" s="10"/>
      <c r="N217" s="10"/>
    </row>
    <row r="218" spans="1:14" x14ac:dyDescent="0.2">
      <c r="A218">
        <f t="shared" si="3"/>
        <v>217</v>
      </c>
      <c r="B218" t="s">
        <v>541</v>
      </c>
      <c r="C218">
        <v>3</v>
      </c>
      <c r="D218">
        <v>279</v>
      </c>
      <c r="E218" s="2">
        <f>VLOOKUP( T_Aop[[#This Row],[Id]], T_Aop[], ID_Jezik + 9, 1)</f>
        <v>689</v>
      </c>
      <c r="F218" t="str">
        <f>REPT( "  ", T_Aop[[#This Row],[Aop nivo]]) &amp; VLOOKUP( T_Aop[[#This Row],[Id]], T_Aop[], ID_Jezik + 6, 1)</f>
        <v xml:space="preserve">      9. Prihodi od usklađivanja vrijednosti ostale imovine</v>
      </c>
      <c r="G218" t="s">
        <v>50</v>
      </c>
      <c r="H218" t="s">
        <v>1292</v>
      </c>
      <c r="I218" t="s">
        <v>1293</v>
      </c>
      <c r="J218" s="275">
        <v>689</v>
      </c>
      <c r="K218" s="275">
        <v>689</v>
      </c>
      <c r="L218" s="275">
        <v>689</v>
      </c>
      <c r="M218" s="10"/>
      <c r="N218" s="10"/>
    </row>
    <row r="219" spans="1:14" x14ac:dyDescent="0.2">
      <c r="A219">
        <f t="shared" si="3"/>
        <v>218</v>
      </c>
      <c r="B219" t="s">
        <v>541</v>
      </c>
      <c r="C219">
        <v>2</v>
      </c>
      <c r="D219">
        <v>280</v>
      </c>
      <c r="E219" s="2">
        <f>VLOOKUP( T_Aop[[#This Row],[Id]], T_Aop[], ID_Jezik + 9, 1)</f>
        <v>58</v>
      </c>
      <c r="F219" t="str">
        <f>REPT( "  ", T_Aop[[#This Row],[Aop nivo]]) &amp; VLOOKUP( T_Aop[[#This Row],[Id]], T_Aop[], ID_Jezik + 6, 1)</f>
        <v xml:space="preserve">    II - RASHODI OD USKLAĐIVANJA VRIJEDNOSTI IMOVINE (281 do 289)</v>
      </c>
      <c r="G219" t="s">
        <v>1294</v>
      </c>
      <c r="H219" t="s">
        <v>1295</v>
      </c>
      <c r="I219" t="s">
        <v>1296</v>
      </c>
      <c r="J219" s="275">
        <v>58</v>
      </c>
      <c r="K219" s="275">
        <v>58</v>
      </c>
      <c r="L219" s="275">
        <v>58</v>
      </c>
      <c r="M219" s="10">
        <v>1</v>
      </c>
      <c r="N219" s="10"/>
    </row>
    <row r="220" spans="1:14" x14ac:dyDescent="0.2">
      <c r="A220">
        <f t="shared" si="3"/>
        <v>219</v>
      </c>
      <c r="B220" t="s">
        <v>541</v>
      </c>
      <c r="C220">
        <v>3</v>
      </c>
      <c r="D220">
        <v>281</v>
      </c>
      <c r="E220" s="2">
        <f>VLOOKUP( T_Aop[[#This Row],[Id]], T_Aop[], ID_Jezik + 9, 1)</f>
        <v>580</v>
      </c>
      <c r="F220" t="str">
        <f>REPT( "  ", T_Aop[[#This Row],[Aop nivo]]) &amp; VLOOKUP( T_Aop[[#This Row],[Id]], T_Aop[], ID_Jezik + 6, 1)</f>
        <v xml:space="preserve">      1. Obezvrjeđenje nematerijalnih sredstava</v>
      </c>
      <c r="G220" t="s">
        <v>1297</v>
      </c>
      <c r="H220" t="s">
        <v>1298</v>
      </c>
      <c r="I220" t="s">
        <v>1299</v>
      </c>
      <c r="J220" s="275">
        <v>580</v>
      </c>
      <c r="K220" s="275">
        <v>580</v>
      </c>
      <c r="L220" s="275">
        <v>580</v>
      </c>
      <c r="M220" s="10"/>
      <c r="N220" s="10"/>
    </row>
    <row r="221" spans="1:14" x14ac:dyDescent="0.2">
      <c r="A221">
        <f t="shared" si="3"/>
        <v>220</v>
      </c>
      <c r="B221" t="s">
        <v>541</v>
      </c>
      <c r="C221">
        <v>3</v>
      </c>
      <c r="D221">
        <v>282</v>
      </c>
      <c r="E221" s="2">
        <f>VLOOKUP( T_Aop[[#This Row],[Id]], T_Aop[], ID_Jezik + 9, 1)</f>
        <v>581</v>
      </c>
      <c r="F221" t="str">
        <f>REPT( "  ", T_Aop[[#This Row],[Aop nivo]]) &amp; VLOOKUP( T_Aop[[#This Row],[Id]], T_Aop[], ID_Jezik + 6, 1)</f>
        <v xml:space="preserve">      2. Obezvrjeđenje nekretnina, postrojenja i opreme</v>
      </c>
      <c r="G221" t="s">
        <v>138</v>
      </c>
      <c r="H221" t="s">
        <v>1300</v>
      </c>
      <c r="I221" t="s">
        <v>1301</v>
      </c>
      <c r="J221" s="275">
        <v>581</v>
      </c>
      <c r="K221" s="275">
        <v>581</v>
      </c>
      <c r="L221" s="275">
        <v>581</v>
      </c>
      <c r="M221" s="10"/>
      <c r="N221" s="10"/>
    </row>
    <row r="222" spans="1:14" x14ac:dyDescent="0.2">
      <c r="A222">
        <f t="shared" si="3"/>
        <v>221</v>
      </c>
      <c r="B222" t="s">
        <v>541</v>
      </c>
      <c r="C222">
        <v>3</v>
      </c>
      <c r="D222">
        <v>283</v>
      </c>
      <c r="E222" s="2">
        <f>VLOOKUP( T_Aop[[#This Row],[Id]], T_Aop[], ID_Jezik + 9, 1)</f>
        <v>582</v>
      </c>
      <c r="F222" t="str">
        <f>REPT( "  ", T_Aop[[#This Row],[Aop nivo]]) &amp; VLOOKUP( T_Aop[[#This Row],[Id]], T_Aop[], ID_Jezik + 6, 1)</f>
        <v xml:space="preserve">      3. Obezvrjeđenje investicionih nekretnina za koje se obračunava amortizacija</v>
      </c>
      <c r="G222" t="s">
        <v>139</v>
      </c>
      <c r="H222" t="s">
        <v>1302</v>
      </c>
      <c r="I222" t="s">
        <v>1303</v>
      </c>
      <c r="J222" s="275">
        <v>582</v>
      </c>
      <c r="K222" s="275">
        <v>582</v>
      </c>
      <c r="L222" s="275">
        <v>582</v>
      </c>
      <c r="M222" s="10"/>
      <c r="N222" s="10"/>
    </row>
    <row r="223" spans="1:14" x14ac:dyDescent="0.2">
      <c r="A223">
        <f t="shared" si="3"/>
        <v>222</v>
      </c>
      <c r="B223" t="s">
        <v>541</v>
      </c>
      <c r="C223">
        <v>3</v>
      </c>
      <c r="D223">
        <v>284</v>
      </c>
      <c r="E223" s="2">
        <f>VLOOKUP( T_Aop[[#This Row],[Id]], T_Aop[], ID_Jezik + 9, 1)</f>
        <v>583</v>
      </c>
      <c r="F223" t="str">
        <f>REPT( "  ", T_Aop[[#This Row],[Aop nivo]]) &amp; VLOOKUP( T_Aop[[#This Row],[Id]], T_Aop[], ID_Jezik + 6, 1)</f>
        <v xml:space="preserve">      4. Obezvrjeđenje bioloških sredstava za koja se obračunava amortizacija</v>
      </c>
      <c r="G223" t="s">
        <v>1304</v>
      </c>
      <c r="H223" t="s">
        <v>1305</v>
      </c>
      <c r="I223" t="s">
        <v>1306</v>
      </c>
      <c r="J223" s="275">
        <v>583</v>
      </c>
      <c r="K223" s="275">
        <v>583</v>
      </c>
      <c r="L223" s="275">
        <v>583</v>
      </c>
      <c r="M223" s="10"/>
      <c r="N223" s="10"/>
    </row>
    <row r="224" spans="1:14" x14ac:dyDescent="0.2">
      <c r="A224">
        <f t="shared" si="3"/>
        <v>223</v>
      </c>
      <c r="B224" t="s">
        <v>541</v>
      </c>
      <c r="C224">
        <v>3</v>
      </c>
      <c r="D224">
        <v>285</v>
      </c>
      <c r="E224" s="2">
        <f>VLOOKUP( T_Aop[[#This Row],[Id]], T_Aop[], ID_Jezik + 9, 1)</f>
        <v>584</v>
      </c>
      <c r="F224" t="str">
        <f>REPT( "  ", T_Aop[[#This Row],[Aop nivo]]) &amp; VLOOKUP( T_Aop[[#This Row],[Id]], T_Aop[], ID_Jezik + 6, 1)</f>
        <v xml:space="preserve">      5. Obezvrjeđenje dugoročnih finansijskih plasmana i finansijskih sredstava raspoloživih za prodaju</v>
      </c>
      <c r="G224" t="s">
        <v>140</v>
      </c>
      <c r="H224" t="s">
        <v>1307</v>
      </c>
      <c r="I224" t="s">
        <v>1308</v>
      </c>
      <c r="J224" s="275">
        <v>584</v>
      </c>
      <c r="K224" s="275">
        <v>584</v>
      </c>
      <c r="L224" s="275">
        <v>584</v>
      </c>
      <c r="M224" s="10"/>
      <c r="N224" s="10"/>
    </row>
    <row r="225" spans="1:14" x14ac:dyDescent="0.2">
      <c r="A225">
        <f t="shared" si="3"/>
        <v>224</v>
      </c>
      <c r="B225" t="s">
        <v>541</v>
      </c>
      <c r="C225">
        <v>3</v>
      </c>
      <c r="D225">
        <v>286</v>
      </c>
      <c r="E225" s="2">
        <f>VLOOKUP( T_Aop[[#This Row],[Id]], T_Aop[], ID_Jezik + 9, 1)</f>
        <v>585</v>
      </c>
      <c r="F225" t="str">
        <f>REPT( "  ", T_Aop[[#This Row],[Aop nivo]]) &amp; VLOOKUP( T_Aop[[#This Row],[Id]], T_Aop[], ID_Jezik + 6, 1)</f>
        <v xml:space="preserve">      6. Obezvrjeđenje zaliha materijala i robe</v>
      </c>
      <c r="G225" t="s">
        <v>141</v>
      </c>
      <c r="H225" t="s">
        <v>1309</v>
      </c>
      <c r="I225" t="s">
        <v>1310</v>
      </c>
      <c r="J225" s="275">
        <v>585</v>
      </c>
      <c r="K225" s="275">
        <v>585</v>
      </c>
      <c r="L225" s="275">
        <v>585</v>
      </c>
      <c r="M225" s="10"/>
      <c r="N225" s="10"/>
    </row>
    <row r="226" spans="1:14" x14ac:dyDescent="0.2">
      <c r="A226">
        <f t="shared" si="3"/>
        <v>225</v>
      </c>
      <c r="B226" t="s">
        <v>541</v>
      </c>
      <c r="C226">
        <v>3</v>
      </c>
      <c r="D226">
        <v>287</v>
      </c>
      <c r="E226" s="2">
        <f>VLOOKUP( T_Aop[[#This Row],[Id]], T_Aop[], ID_Jezik + 9, 1)</f>
        <v>586</v>
      </c>
      <c r="F226" t="str">
        <f>REPT( "  ", T_Aop[[#This Row],[Aop nivo]]) &amp; VLOOKUP( T_Aop[[#This Row],[Id]], T_Aop[], ID_Jezik + 6, 1)</f>
        <v xml:space="preserve">      7. Obezvrjeđenje kratkoročnih finansijskih plasmana</v>
      </c>
      <c r="G226" t="s">
        <v>142</v>
      </c>
      <c r="H226" t="s">
        <v>1311</v>
      </c>
      <c r="I226" t="s">
        <v>1312</v>
      </c>
      <c r="J226" s="275">
        <v>586</v>
      </c>
      <c r="K226" s="275">
        <v>586</v>
      </c>
      <c r="L226" s="275">
        <v>586</v>
      </c>
      <c r="M226" s="10"/>
      <c r="N226" s="10"/>
    </row>
    <row r="227" spans="1:14" x14ac:dyDescent="0.2">
      <c r="A227">
        <f t="shared" si="3"/>
        <v>226</v>
      </c>
      <c r="B227" t="s">
        <v>541</v>
      </c>
      <c r="C227">
        <v>3</v>
      </c>
      <c r="D227">
        <v>288</v>
      </c>
      <c r="E227" s="2">
        <f>VLOOKUP( T_Aop[[#This Row],[Id]], T_Aop[], ID_Jezik + 9, 1)</f>
        <v>588</v>
      </c>
      <c r="F227" t="str">
        <f>REPT( "  ", T_Aop[[#This Row],[Aop nivo]]) &amp; VLOOKUP( T_Aop[[#This Row],[Id]], T_Aop[], ID_Jezik + 6, 1)</f>
        <v xml:space="preserve">      8. Obezvrjeđenje potraživanja primjenom indirektne metode utvrđivanja otpisa potraživanja</v>
      </c>
      <c r="G227" t="s">
        <v>1925</v>
      </c>
      <c r="H227" t="s">
        <v>1926</v>
      </c>
      <c r="I227" t="s">
        <v>1313</v>
      </c>
      <c r="J227" s="275">
        <v>588</v>
      </c>
      <c r="K227" s="275">
        <v>588</v>
      </c>
      <c r="L227" s="275">
        <v>588</v>
      </c>
      <c r="M227" s="10"/>
      <c r="N227" s="10"/>
    </row>
    <row r="228" spans="1:14" x14ac:dyDescent="0.2">
      <c r="A228">
        <f t="shared" si="3"/>
        <v>227</v>
      </c>
      <c r="B228" t="s">
        <v>541</v>
      </c>
      <c r="C228">
        <v>3</v>
      </c>
      <c r="D228">
        <v>289</v>
      </c>
      <c r="E228" s="2">
        <f>VLOOKUP( T_Aop[[#This Row],[Id]], T_Aop[], ID_Jezik + 9, 1)</f>
        <v>589</v>
      </c>
      <c r="F228" t="str">
        <f>REPT( "  ", T_Aop[[#This Row],[Aop nivo]]) &amp; VLOOKUP( T_Aop[[#This Row],[Id]], T_Aop[], ID_Jezik + 6, 1)</f>
        <v xml:space="preserve">      9. Obezvrjeđenje ostale imovine</v>
      </c>
      <c r="G228" t="s">
        <v>1314</v>
      </c>
      <c r="H228" t="s">
        <v>1315</v>
      </c>
      <c r="I228" t="s">
        <v>1316</v>
      </c>
      <c r="J228" s="275">
        <v>589</v>
      </c>
      <c r="K228" s="275">
        <v>589</v>
      </c>
      <c r="L228" s="275">
        <v>589</v>
      </c>
      <c r="M228" s="10"/>
      <c r="N228" s="10"/>
    </row>
    <row r="229" spans="1:14" x14ac:dyDescent="0.2">
      <c r="A229">
        <f t="shared" si="3"/>
        <v>228</v>
      </c>
      <c r="B229" t="s">
        <v>541</v>
      </c>
      <c r="C229">
        <v>1</v>
      </c>
      <c r="D229">
        <v>290</v>
      </c>
      <c r="E229" s="2">
        <f>VLOOKUP( T_Aop[[#This Row],[Id]], T_Aop[], ID_Jezik + 9, 1)</f>
        <v>0</v>
      </c>
      <c r="F229" t="str">
        <f>REPT( "  ", T_Aop[[#This Row],[Aop nivo]]) &amp; VLOOKUP( T_Aop[[#This Row],[Id]], T_Aop[], ID_Jezik + 6, 1)</f>
        <v xml:space="preserve">  J. DOBITAK PO OSNOVU USKLAĐIVANJA VRIJEDNOSTI IMOVINE (270 - 280)</v>
      </c>
      <c r="G229" t="s">
        <v>1317</v>
      </c>
      <c r="H229" t="s">
        <v>1318</v>
      </c>
      <c r="I229" t="s">
        <v>1319</v>
      </c>
      <c r="J229" s="275"/>
      <c r="K229" s="275"/>
      <c r="L229" s="275"/>
      <c r="M229" s="10">
        <v>1</v>
      </c>
      <c r="N229" s="10"/>
    </row>
    <row r="230" spans="1:14" x14ac:dyDescent="0.2">
      <c r="A230">
        <f t="shared" si="3"/>
        <v>229</v>
      </c>
      <c r="B230" t="s">
        <v>541</v>
      </c>
      <c r="C230">
        <v>1</v>
      </c>
      <c r="D230">
        <v>291</v>
      </c>
      <c r="E230" s="2">
        <f>VLOOKUP( T_Aop[[#This Row],[Id]], T_Aop[], ID_Jezik + 9, 1)</f>
        <v>0</v>
      </c>
      <c r="F230" t="str">
        <f>REPT( "  ", T_Aop[[#This Row],[Aop nivo]]) &amp; VLOOKUP( T_Aop[[#This Row],[Id]], T_Aop[], ID_Jezik + 6, 1)</f>
        <v xml:space="preserve">  K. GUBITAK PO OSNOVU USKLAĐIVANJA VRIJEDNOSTI IMOVINE (280 - 270)</v>
      </c>
      <c r="G230" t="s">
        <v>1320</v>
      </c>
      <c r="H230" t="s">
        <v>1321</v>
      </c>
      <c r="I230" t="s">
        <v>1322</v>
      </c>
      <c r="J230" s="275"/>
      <c r="K230" s="275"/>
      <c r="L230" s="275"/>
      <c r="M230" s="10">
        <v>1</v>
      </c>
      <c r="N230" s="10"/>
    </row>
    <row r="231" spans="1:14" x14ac:dyDescent="0.2">
      <c r="A231">
        <f t="shared" si="3"/>
        <v>230</v>
      </c>
      <c r="B231" t="s">
        <v>541</v>
      </c>
      <c r="C231">
        <v>1</v>
      </c>
      <c r="D231">
        <v>292</v>
      </c>
      <c r="E231" s="2" t="str">
        <f>VLOOKUP( T_Aop[[#This Row],[Id]], T_Aop[], ID_Jezik + 9, 1)</f>
        <v>690, 691</v>
      </c>
      <c r="F231" t="str">
        <f>REPT( "  ", T_Aop[[#This Row],[Aop nivo]]) &amp; VLOOKUP( T_Aop[[#This Row],[Id]], T_Aop[], ID_Jezik + 6, 1)</f>
        <v xml:space="preserve">  L. PRIHODI PO OSNOVU PROMJENE RAČUNOVODSTVENIH POLITIKA I ISPRAVKE GREŠAKA IZ RANIJIH GODINA</v>
      </c>
      <c r="G231" t="s">
        <v>143</v>
      </c>
      <c r="H231" t="s">
        <v>1323</v>
      </c>
      <c r="I231" t="s">
        <v>1324</v>
      </c>
      <c r="J231" s="275" t="s">
        <v>1767</v>
      </c>
      <c r="K231" s="275" t="s">
        <v>1767</v>
      </c>
      <c r="L231" s="275" t="s">
        <v>1767</v>
      </c>
      <c r="M231" s="10">
        <v>1</v>
      </c>
      <c r="N231" s="10">
        <v>1</v>
      </c>
    </row>
    <row r="232" spans="1:14" x14ac:dyDescent="0.2">
      <c r="A232">
        <f t="shared" si="3"/>
        <v>231</v>
      </c>
      <c r="B232" t="s">
        <v>541</v>
      </c>
      <c r="C232">
        <v>1</v>
      </c>
      <c r="D232">
        <v>293</v>
      </c>
      <c r="E232" s="2" t="str">
        <f>VLOOKUP( T_Aop[[#This Row],[Id]], T_Aop[], ID_Jezik + 9, 1)</f>
        <v>590, 591</v>
      </c>
      <c r="F232" t="str">
        <f>REPT( "  ", T_Aop[[#This Row],[Aop nivo]]) &amp; VLOOKUP( T_Aop[[#This Row],[Id]], T_Aop[], ID_Jezik + 6, 1)</f>
        <v xml:space="preserve">  LJ. RASHODI PO OSNOVU PROMJENE RAČUNOVODSTVENIH POLITIKA I ISPRAVKE GREŠAKA IZ RANIJIH GODINA</v>
      </c>
      <c r="G232" t="s">
        <v>144</v>
      </c>
      <c r="H232" t="s">
        <v>1325</v>
      </c>
      <c r="I232" t="s">
        <v>1326</v>
      </c>
      <c r="J232" s="275" t="s">
        <v>1768</v>
      </c>
      <c r="K232" s="275" t="s">
        <v>1768</v>
      </c>
      <c r="L232" s="275" t="s">
        <v>1768</v>
      </c>
      <c r="M232" s="10">
        <v>1</v>
      </c>
      <c r="N232" s="10">
        <v>1</v>
      </c>
    </row>
    <row r="233" spans="1:14" x14ac:dyDescent="0.2">
      <c r="A233">
        <f t="shared" si="3"/>
        <v>232</v>
      </c>
      <c r="B233" t="s">
        <v>541</v>
      </c>
      <c r="C233">
        <v>0</v>
      </c>
      <c r="E233" s="2">
        <f>VLOOKUP( T_Aop[[#This Row],[Id]], T_Aop[], ID_Jezik + 9, 1)</f>
        <v>0</v>
      </c>
      <c r="F233" t="str">
        <f>REPT( "  ", T_Aop[[#This Row],[Aop nivo]]) &amp; VLOOKUP( T_Aop[[#This Row],[Id]], T_Aop[], ID_Jezik + 6, 1)</f>
        <v>M. DOBITAK I GUBITAK PRIJE OPOREZIVANJA</v>
      </c>
      <c r="G233" t="s">
        <v>145</v>
      </c>
      <c r="H233" t="s">
        <v>1327</v>
      </c>
      <c r="I233" t="s">
        <v>1328</v>
      </c>
      <c r="J233" s="275"/>
      <c r="K233" s="275"/>
      <c r="L233" s="275"/>
      <c r="M233" s="10">
        <v>1</v>
      </c>
      <c r="N233" s="10"/>
    </row>
    <row r="234" spans="1:14" x14ac:dyDescent="0.2">
      <c r="A234">
        <f t="shared" si="3"/>
        <v>233</v>
      </c>
      <c r="B234" t="s">
        <v>541</v>
      </c>
      <c r="C234">
        <v>2</v>
      </c>
      <c r="D234">
        <v>294</v>
      </c>
      <c r="E234" s="2">
        <f>VLOOKUP( T_Aop[[#This Row],[Id]], T_Aop[], ID_Jezik + 9, 1)</f>
        <v>0</v>
      </c>
      <c r="F234" t="str">
        <f>REPT( "  ", T_Aop[[#This Row],[Aop nivo]]) &amp; VLOOKUP( T_Aop[[#This Row],[Id]], T_Aop[], ID_Jezik + 6, 1)</f>
        <v xml:space="preserve">    1. Dobitak prije oporezivanja (244 + 268 + 290 + 292 - 293 - 245 - 269 - 291)</v>
      </c>
      <c r="G234" t="s">
        <v>1329</v>
      </c>
      <c r="H234" t="s">
        <v>1330</v>
      </c>
      <c r="I234" t="s">
        <v>1331</v>
      </c>
      <c r="J234" s="275"/>
      <c r="K234" s="275"/>
      <c r="L234" s="275"/>
      <c r="M234" s="10"/>
      <c r="N234" s="10"/>
    </row>
    <row r="235" spans="1:14" x14ac:dyDescent="0.2">
      <c r="A235">
        <f t="shared" si="3"/>
        <v>234</v>
      </c>
      <c r="B235" t="s">
        <v>541</v>
      </c>
      <c r="C235">
        <v>2</v>
      </c>
      <c r="D235">
        <v>295</v>
      </c>
      <c r="E235" s="2">
        <f>VLOOKUP( T_Aop[[#This Row],[Id]], T_Aop[], ID_Jezik + 9, 1)</f>
        <v>0</v>
      </c>
      <c r="F235" t="str">
        <f>REPT( "  ", T_Aop[[#This Row],[Aop nivo]]) &amp; VLOOKUP( T_Aop[[#This Row],[Id]], T_Aop[], ID_Jezik + 6, 1)</f>
        <v xml:space="preserve">    2. Gubitak prije oporezivanja (245 + 269 + 291 + 293 - 292 - 244 - 268 - 290)</v>
      </c>
      <c r="G235" t="s">
        <v>1332</v>
      </c>
      <c r="H235" t="s">
        <v>1333</v>
      </c>
      <c r="I235" t="s">
        <v>1334</v>
      </c>
      <c r="J235" s="275"/>
      <c r="K235" s="275"/>
      <c r="L235" s="275"/>
      <c r="M235" s="10"/>
      <c r="N235" s="10"/>
    </row>
    <row r="236" spans="1:14" x14ac:dyDescent="0.2">
      <c r="A236">
        <f t="shared" si="3"/>
        <v>235</v>
      </c>
      <c r="B236" t="s">
        <v>541</v>
      </c>
      <c r="C236">
        <v>0</v>
      </c>
      <c r="E236" s="2">
        <f>VLOOKUP( T_Aop[[#This Row],[Id]], T_Aop[], ID_Jezik + 9, 1)</f>
        <v>0</v>
      </c>
      <c r="F236" t="str">
        <f>REPT( "  ", T_Aop[[#This Row],[Aop nivo]]) &amp; VLOOKUP( T_Aop[[#This Row],[Id]], T_Aop[], ID_Jezik + 6, 1)</f>
        <v>N. TEKUĆI I ODLOŽENI POREZ NA DOBIT</v>
      </c>
      <c r="G236" t="s">
        <v>146</v>
      </c>
      <c r="H236" t="s">
        <v>1335</v>
      </c>
      <c r="I236" t="s">
        <v>1336</v>
      </c>
      <c r="J236" s="275"/>
      <c r="K236" s="275"/>
      <c r="L236" s="275"/>
      <c r="M236" s="10">
        <v>1</v>
      </c>
      <c r="N236" s="10"/>
    </row>
    <row r="237" spans="1:14" x14ac:dyDescent="0.2">
      <c r="A237">
        <f t="shared" si="3"/>
        <v>236</v>
      </c>
      <c r="B237" t="s">
        <v>541</v>
      </c>
      <c r="C237" s="3">
        <v>2</v>
      </c>
      <c r="D237" s="3">
        <v>296</v>
      </c>
      <c r="E237" s="10">
        <f>VLOOKUP( T_Aop[[#This Row],[Id]], T_Aop[], ID_Jezik + 9, 1)</f>
        <v>721</v>
      </c>
      <c r="F237" t="str">
        <f>REPT( "  ", T_Aop[[#This Row],[Aop nivo]]) &amp; VLOOKUP( T_Aop[[#This Row],[Id]], T_Aop[], ID_Jezik + 6, 1)</f>
        <v xml:space="preserve">    1. Poreski rashodi perioda</v>
      </c>
      <c r="G237" t="s">
        <v>147</v>
      </c>
      <c r="H237" t="s">
        <v>1337</v>
      </c>
      <c r="I237" t="s">
        <v>1338</v>
      </c>
      <c r="J237" s="275">
        <v>721</v>
      </c>
      <c r="K237" s="275">
        <v>721</v>
      </c>
      <c r="L237" s="275">
        <v>721</v>
      </c>
      <c r="M237" s="10"/>
      <c r="N237" s="10"/>
    </row>
    <row r="238" spans="1:14" x14ac:dyDescent="0.2">
      <c r="A238">
        <f t="shared" si="3"/>
        <v>237</v>
      </c>
      <c r="B238" t="s">
        <v>541</v>
      </c>
      <c r="C238" s="3">
        <v>2</v>
      </c>
      <c r="D238" s="3">
        <v>297</v>
      </c>
      <c r="E238" s="10">
        <f>VLOOKUP( T_Aop[[#This Row],[Id]], T_Aop[], ID_Jezik + 9, 1)</f>
        <v>722</v>
      </c>
      <c r="F238" t="str">
        <f>REPT( "  ", T_Aop[[#This Row],[Aop nivo]]) &amp; VLOOKUP( T_Aop[[#This Row],[Id]], T_Aop[], ID_Jezik + 6, 1)</f>
        <v xml:space="preserve">    2. Odloženi poreski rashodi perioda</v>
      </c>
      <c r="G238" t="s">
        <v>148</v>
      </c>
      <c r="H238" t="s">
        <v>1339</v>
      </c>
      <c r="I238" t="s">
        <v>1340</v>
      </c>
      <c r="J238" s="275">
        <v>722</v>
      </c>
      <c r="K238" s="275">
        <v>722</v>
      </c>
      <c r="L238" s="275">
        <v>722</v>
      </c>
      <c r="M238" s="10"/>
      <c r="N238" s="10"/>
    </row>
    <row r="239" spans="1:14" x14ac:dyDescent="0.2">
      <c r="A239">
        <f t="shared" si="3"/>
        <v>238</v>
      </c>
      <c r="B239" t="s">
        <v>541</v>
      </c>
      <c r="C239">
        <v>2</v>
      </c>
      <c r="D239">
        <v>298</v>
      </c>
      <c r="E239" s="2">
        <f>VLOOKUP( T_Aop[[#This Row],[Id]], T_Aop[], ID_Jezik + 9, 1)</f>
        <v>723</v>
      </c>
      <c r="F239" t="str">
        <f>REPT( "  ", T_Aop[[#This Row],[Aop nivo]]) &amp; VLOOKUP( T_Aop[[#This Row],[Id]], T_Aop[], ID_Jezik + 6, 1)</f>
        <v xml:space="preserve">    3. Odloženi poreski prihodi perioda</v>
      </c>
      <c r="G239" t="s">
        <v>149</v>
      </c>
      <c r="H239" t="s">
        <v>1341</v>
      </c>
      <c r="I239" t="s">
        <v>1342</v>
      </c>
      <c r="J239" s="275">
        <v>723</v>
      </c>
      <c r="K239" s="275">
        <v>723</v>
      </c>
      <c r="L239" s="275">
        <v>723</v>
      </c>
      <c r="M239" s="10"/>
      <c r="N239" s="10"/>
    </row>
    <row r="240" spans="1:14" x14ac:dyDescent="0.2">
      <c r="A240">
        <f t="shared" si="3"/>
        <v>239</v>
      </c>
      <c r="B240" t="s">
        <v>541</v>
      </c>
      <c r="C240">
        <v>0</v>
      </c>
      <c r="D240" s="3"/>
      <c r="E240" s="2">
        <f>VLOOKUP( T_Aop[[#This Row],[Id]], T_Aop[], ID_Jezik + 9, 1)</f>
        <v>0</v>
      </c>
      <c r="F240" t="str">
        <f>REPT( "  ", T_Aop[[#This Row],[Aop nivo]]) &amp; VLOOKUP( T_Aop[[#This Row],[Id]], T_Aop[], ID_Jezik + 6, 1)</f>
        <v>NJ. NETO DOBITAK I NETO GUBITAK PERIODA</v>
      </c>
      <c r="G240" t="s">
        <v>150</v>
      </c>
      <c r="H240" t="s">
        <v>1343</v>
      </c>
      <c r="I240" t="s">
        <v>1344</v>
      </c>
      <c r="J240" s="275"/>
      <c r="K240" s="275"/>
      <c r="L240" s="275"/>
      <c r="M240" s="10">
        <v>1</v>
      </c>
      <c r="N240" s="10"/>
    </row>
    <row r="241" spans="1:14" x14ac:dyDescent="0.2">
      <c r="A241">
        <f t="shared" si="3"/>
        <v>240</v>
      </c>
      <c r="B241" t="s">
        <v>541</v>
      </c>
      <c r="C241">
        <v>2</v>
      </c>
      <c r="D241" s="3">
        <v>299</v>
      </c>
      <c r="E241" s="2">
        <f>VLOOKUP( T_Aop[[#This Row],[Id]], T_Aop[], ID_Jezik + 9, 1)</f>
        <v>0</v>
      </c>
      <c r="F241" t="str">
        <f>REPT( "  ", T_Aop[[#This Row],[Aop nivo]]) &amp; VLOOKUP( T_Aop[[#This Row],[Id]], T_Aop[], ID_Jezik + 6, 1)</f>
        <v xml:space="preserve">    1. Neto dobitak tekuće godine (294 - 295 - 296 - 297 + 298)</v>
      </c>
      <c r="G241" t="s">
        <v>1345</v>
      </c>
      <c r="H241" t="s">
        <v>1346</v>
      </c>
      <c r="I241" t="s">
        <v>1347</v>
      </c>
      <c r="J241" s="275"/>
      <c r="K241" s="275"/>
      <c r="L241" s="275"/>
      <c r="M241" s="10"/>
      <c r="N241" s="10"/>
    </row>
    <row r="242" spans="1:14" x14ac:dyDescent="0.2">
      <c r="A242">
        <f t="shared" si="3"/>
        <v>241</v>
      </c>
      <c r="B242" t="s">
        <v>541</v>
      </c>
      <c r="C242">
        <v>2</v>
      </c>
      <c r="D242">
        <v>300</v>
      </c>
      <c r="E242" s="2">
        <f>VLOOKUP( T_Aop[[#This Row],[Id]], T_Aop[], ID_Jezik + 9, 1)</f>
        <v>0</v>
      </c>
      <c r="F242" t="str">
        <f>REPT( "  ", T_Aop[[#This Row],[Aop nivo]]) &amp; VLOOKUP( T_Aop[[#This Row],[Id]], T_Aop[], ID_Jezik + 6, 1)</f>
        <v xml:space="preserve">    2. Neto gubitak tekuće godine (295 - 294 + 296 + 297 - 298)</v>
      </c>
      <c r="G242" t="s">
        <v>1348</v>
      </c>
      <c r="H242" t="s">
        <v>1349</v>
      </c>
      <c r="I242" t="s">
        <v>1350</v>
      </c>
      <c r="J242" s="275"/>
      <c r="K242" s="275"/>
      <c r="L242" s="275"/>
      <c r="M242" s="10"/>
      <c r="N242" s="10"/>
    </row>
    <row r="243" spans="1:14" x14ac:dyDescent="0.2">
      <c r="A243">
        <f t="shared" si="3"/>
        <v>242</v>
      </c>
      <c r="B243" t="s">
        <v>541</v>
      </c>
      <c r="C243">
        <v>0</v>
      </c>
      <c r="D243" s="3">
        <v>301</v>
      </c>
      <c r="E243" s="2">
        <f>VLOOKUP( T_Aop[[#This Row],[Id]], T_Aop[], ID_Jezik + 9, 1)</f>
        <v>0</v>
      </c>
      <c r="F243" t="str">
        <f>REPT( "  ", T_Aop[[#This Row],[Aop nivo]]) &amp; VLOOKUP( T_Aop[[#This Row],[Id]], T_Aop[], ID_Jezik + 6, 1)</f>
        <v>UKUPNI PRIHODI (201 + 231 + 246 + 270 + 292)</v>
      </c>
      <c r="G243" t="s">
        <v>1351</v>
      </c>
      <c r="H243" t="s">
        <v>1352</v>
      </c>
      <c r="I243" t="s">
        <v>1353</v>
      </c>
      <c r="J243" s="275"/>
      <c r="K243" s="275"/>
      <c r="L243" s="275"/>
      <c r="M243" s="10">
        <v>1</v>
      </c>
      <c r="N243" s="10"/>
    </row>
    <row r="244" spans="1:14" x14ac:dyDescent="0.2">
      <c r="A244">
        <f t="shared" si="3"/>
        <v>243</v>
      </c>
      <c r="B244" t="s">
        <v>541</v>
      </c>
      <c r="C244">
        <v>0</v>
      </c>
      <c r="D244" s="3">
        <v>302</v>
      </c>
      <c r="E244" s="2">
        <f>VLOOKUP( T_Aop[[#This Row],[Id]], T_Aop[], ID_Jezik + 9, 1)</f>
        <v>0</v>
      </c>
      <c r="F244" t="str">
        <f>REPT( "  ", T_Aop[[#This Row],[Aop nivo]]) &amp; VLOOKUP( T_Aop[[#This Row],[Id]], T_Aop[], ID_Jezik + 6, 1)</f>
        <v>UKUPNI RASHODI (216 + 238 + 257 + 280 + 293)</v>
      </c>
      <c r="G244" t="s">
        <v>1354</v>
      </c>
      <c r="H244" t="s">
        <v>1355</v>
      </c>
      <c r="I244" t="s">
        <v>1356</v>
      </c>
      <c r="J244" s="275"/>
      <c r="K244" s="275"/>
      <c r="L244" s="275"/>
      <c r="M244" s="10">
        <v>1</v>
      </c>
      <c r="N244" s="10"/>
    </row>
    <row r="245" spans="1:14" x14ac:dyDescent="0.2">
      <c r="A245">
        <f t="shared" si="3"/>
        <v>244</v>
      </c>
      <c r="B245" t="s">
        <v>541</v>
      </c>
      <c r="C245">
        <v>1</v>
      </c>
      <c r="D245">
        <v>303</v>
      </c>
      <c r="E245" s="2">
        <f>VLOOKUP( T_Aop[[#This Row],[Id]], T_Aop[], ID_Jezik + 9, 1)</f>
        <v>724</v>
      </c>
      <c r="F245" t="str">
        <f>REPT( "  ", T_Aop[[#This Row],[Aop nivo]]) &amp; VLOOKUP( T_Aop[[#This Row],[Id]], T_Aop[], ID_Jezik + 6, 1)</f>
        <v xml:space="preserve">  O. MEĐUDIVIDENDE I DRUGI VIDOVI RASPODJELE DOBITKA U TOKU PERIODA</v>
      </c>
      <c r="G245" t="s">
        <v>151</v>
      </c>
      <c r="H245" t="s">
        <v>1357</v>
      </c>
      <c r="I245" t="s">
        <v>1358</v>
      </c>
      <c r="J245" s="275">
        <v>724</v>
      </c>
      <c r="K245" s="275">
        <v>724</v>
      </c>
      <c r="L245" s="275">
        <v>724</v>
      </c>
      <c r="M245" s="10">
        <v>1</v>
      </c>
      <c r="N245" s="10"/>
    </row>
    <row r="246" spans="1:14" x14ac:dyDescent="0.2">
      <c r="A246">
        <f t="shared" si="3"/>
        <v>245</v>
      </c>
      <c r="B246" t="s">
        <v>541</v>
      </c>
      <c r="C246" s="3">
        <v>0</v>
      </c>
      <c r="D246" s="3">
        <v>304</v>
      </c>
      <c r="E246" s="10">
        <f>VLOOKUP( T_Aop[[#This Row],[Id]], T_Aop[], ID_Jezik + 9, 1)</f>
        <v>0</v>
      </c>
      <c r="F246" t="str">
        <f>REPT( "  ", T_Aop[[#This Row],[Aop nivo]]) &amp; VLOOKUP( T_Aop[[#This Row],[Id]], T_Aop[], ID_Jezik + 6, 1)</f>
        <v>Dio neto dobitka/gubitka koji pripada većinskim vlasnicima</v>
      </c>
      <c r="G246" t="s">
        <v>164</v>
      </c>
      <c r="H246" t="s">
        <v>1359</v>
      </c>
      <c r="I246" t="s">
        <v>198</v>
      </c>
      <c r="J246" s="275"/>
      <c r="K246" s="275"/>
      <c r="L246" s="275"/>
      <c r="M246" s="10"/>
      <c r="N246" s="10"/>
    </row>
    <row r="247" spans="1:14" x14ac:dyDescent="0.2">
      <c r="A247">
        <f t="shared" si="3"/>
        <v>246</v>
      </c>
      <c r="B247" t="s">
        <v>541</v>
      </c>
      <c r="C247">
        <v>0</v>
      </c>
      <c r="D247" s="3">
        <v>305</v>
      </c>
      <c r="E247" s="2">
        <f>VLOOKUP( T_Aop[[#This Row],[Id]], T_Aop[], ID_Jezik + 9, 1)</f>
        <v>0</v>
      </c>
      <c r="F247" t="str">
        <f>REPT( "  ", T_Aop[[#This Row],[Aop nivo]]) &amp; VLOOKUP( T_Aop[[#This Row],[Id]], T_Aop[], ID_Jezik + 6, 1)</f>
        <v>Dio neto dobitka/gubitka koji pripada manjinskim vlasnicima</v>
      </c>
      <c r="G247" t="s">
        <v>161</v>
      </c>
      <c r="H247" t="s">
        <v>1360</v>
      </c>
      <c r="I247" t="s">
        <v>199</v>
      </c>
      <c r="J247" s="275"/>
      <c r="K247" s="275"/>
      <c r="L247" s="275"/>
      <c r="M247" s="10"/>
      <c r="N247" s="10"/>
    </row>
    <row r="248" spans="1:14" x14ac:dyDescent="0.2">
      <c r="A248">
        <f t="shared" si="3"/>
        <v>247</v>
      </c>
      <c r="B248" t="s">
        <v>541</v>
      </c>
      <c r="C248">
        <v>0</v>
      </c>
      <c r="D248" s="3">
        <v>306</v>
      </c>
      <c r="E248" s="2">
        <f>VLOOKUP( T_Aop[[#This Row],[Id]], T_Aop[], ID_Jezik + 9, 1)</f>
        <v>0</v>
      </c>
      <c r="F248" s="13" t="str">
        <f>REPT( "  ", T_Aop[[#This Row],[Aop nivo]]) &amp; VLOOKUP( T_Aop[[#This Row],[Id]], T_Aop[], ID_Jezik + 6, 1)</f>
        <v>Obična zarada po akciji</v>
      </c>
      <c r="G248" s="13" t="s">
        <v>162</v>
      </c>
      <c r="H248" t="s">
        <v>1361</v>
      </c>
      <c r="I248" t="s">
        <v>197</v>
      </c>
      <c r="J248" s="275"/>
      <c r="K248" s="275"/>
      <c r="L248" s="275"/>
      <c r="M248" s="10"/>
      <c r="N248" s="10"/>
    </row>
    <row r="249" spans="1:14" x14ac:dyDescent="0.2">
      <c r="A249">
        <f t="shared" si="3"/>
        <v>248</v>
      </c>
      <c r="B249" t="s">
        <v>541</v>
      </c>
      <c r="C249">
        <v>0</v>
      </c>
      <c r="D249" s="3">
        <v>307</v>
      </c>
      <c r="E249" s="2">
        <f>VLOOKUP( T_Aop[[#This Row],[Id]], T_Aop[], ID_Jezik + 9, 1)</f>
        <v>0</v>
      </c>
      <c r="F249" t="str">
        <f>REPT( "  ", T_Aop[[#This Row],[Aop nivo]]) &amp; VLOOKUP( T_Aop[[#This Row],[Id]], T_Aop[], ID_Jezik + 6, 1)</f>
        <v>Razrijeđena zarada po akciji</v>
      </c>
      <c r="G249" t="s">
        <v>51</v>
      </c>
      <c r="H249" t="s">
        <v>1362</v>
      </c>
      <c r="I249" t="s">
        <v>136</v>
      </c>
      <c r="J249" s="275"/>
      <c r="K249" s="275"/>
      <c r="L249" s="275"/>
      <c r="M249" s="10"/>
      <c r="N249" s="10"/>
    </row>
    <row r="250" spans="1:14" x14ac:dyDescent="0.2">
      <c r="A250">
        <f t="shared" si="3"/>
        <v>249</v>
      </c>
      <c r="B250" t="s">
        <v>541</v>
      </c>
      <c r="C250">
        <v>0</v>
      </c>
      <c r="D250" s="3">
        <v>308</v>
      </c>
      <c r="E250" s="2">
        <f>VLOOKUP( T_Aop[[#This Row],[Id]], T_Aop[], ID_Jezik + 9, 1)</f>
        <v>0</v>
      </c>
      <c r="F250" t="str">
        <f>REPT( "  ", T_Aop[[#This Row],[Aop nivo]]) &amp; VLOOKUP( T_Aop[[#This Row],[Id]], T_Aop[], ID_Jezik + 6, 1)</f>
        <v>Prosječan broj zaposlenih po osnovu časova rada</v>
      </c>
      <c r="G250" t="s">
        <v>163</v>
      </c>
      <c r="H250" t="s">
        <v>1363</v>
      </c>
      <c r="I250" t="s">
        <v>200</v>
      </c>
      <c r="J250" s="275"/>
      <c r="K250" s="275"/>
      <c r="L250" s="275"/>
      <c r="M250" s="10"/>
      <c r="N250" s="10"/>
    </row>
    <row r="251" spans="1:14" x14ac:dyDescent="0.2">
      <c r="A251">
        <f t="shared" si="3"/>
        <v>250</v>
      </c>
      <c r="B251" t="s">
        <v>541</v>
      </c>
      <c r="C251">
        <v>0</v>
      </c>
      <c r="D251" s="3">
        <v>309</v>
      </c>
      <c r="E251" s="2">
        <f>VLOOKUP( T_Aop[[#This Row],[Id]], T_Aop[], ID_Jezik + 9, 1)</f>
        <v>0</v>
      </c>
      <c r="F251" t="str">
        <f>REPT( "  ", T_Aop[[#This Row],[Aop nivo]]) &amp; VLOOKUP( T_Aop[[#This Row],[Id]], T_Aop[], ID_Jezik + 6, 1)</f>
        <v>Prosječan broj zaposlenih po osnovu stanja na kraju mjeseca</v>
      </c>
      <c r="G251" t="s">
        <v>202</v>
      </c>
      <c r="H251" t="s">
        <v>1364</v>
      </c>
      <c r="I251" t="s">
        <v>201</v>
      </c>
      <c r="J251" s="275"/>
      <c r="K251" s="275"/>
      <c r="L251" s="275"/>
      <c r="M251" s="10"/>
      <c r="N251" s="10"/>
    </row>
    <row r="252" spans="1:14" x14ac:dyDescent="0.2">
      <c r="A252">
        <f t="shared" si="3"/>
        <v>251</v>
      </c>
      <c r="B252" t="s">
        <v>552</v>
      </c>
      <c r="C252">
        <v>0</v>
      </c>
      <c r="D252" s="3">
        <v>400</v>
      </c>
      <c r="E252" s="2">
        <f>VLOOKUP( T_Aop[[#This Row],[Id]], T_Aop[], ID_Jezik + 9, 1)</f>
        <v>0</v>
      </c>
      <c r="F252" t="str">
        <f>REPT( "  ", T_Aop[[#This Row],[Aop nivo]]) &amp; VLOOKUP( T_Aop[[#This Row],[Id]], T_Aop[], ID_Jezik + 6, 1)</f>
        <v>A. NETO DOBITAK ILI NETO GUBITAK PERIODA (299 ili 300)</v>
      </c>
      <c r="G252" t="s">
        <v>1365</v>
      </c>
      <c r="H252" t="s">
        <v>1366</v>
      </c>
      <c r="I252" t="s">
        <v>1367</v>
      </c>
      <c r="J252" s="275"/>
      <c r="K252" s="275"/>
      <c r="L252" s="275"/>
      <c r="M252" s="10">
        <v>1</v>
      </c>
      <c r="N252" s="10"/>
    </row>
    <row r="253" spans="1:14" x14ac:dyDescent="0.2">
      <c r="A253">
        <f t="shared" si="3"/>
        <v>252</v>
      </c>
      <c r="B253" t="s">
        <v>552</v>
      </c>
      <c r="C253">
        <v>1</v>
      </c>
      <c r="D253" s="3">
        <v>401</v>
      </c>
      <c r="E253" s="2">
        <f>VLOOKUP( T_Aop[[#This Row],[Id]], T_Aop[], ID_Jezik + 9, 1)</f>
        <v>0</v>
      </c>
      <c r="F253" t="str">
        <f>REPT( "  ", T_Aop[[#This Row],[Aop nivo]]) &amp; VLOOKUP( T_Aop[[#This Row],[Id]], T_Aop[], ID_Jezik + 6, 1)</f>
        <v xml:space="preserve">  I - DOBICI UTVRĐENI DIREKTNO U KAPITALU (402 do 407)</v>
      </c>
      <c r="G253" t="s">
        <v>1368</v>
      </c>
      <c r="H253" t="s">
        <v>1369</v>
      </c>
      <c r="I253" t="s">
        <v>1370</v>
      </c>
      <c r="J253" s="275"/>
      <c r="K253" s="275"/>
      <c r="L253" s="275"/>
      <c r="M253" s="10">
        <v>1</v>
      </c>
      <c r="N253" s="10"/>
    </row>
    <row r="254" spans="1:14" x14ac:dyDescent="0.2">
      <c r="A254">
        <f t="shared" si="3"/>
        <v>253</v>
      </c>
      <c r="B254" t="s">
        <v>552</v>
      </c>
      <c r="C254">
        <v>2</v>
      </c>
      <c r="D254" s="3">
        <v>402</v>
      </c>
      <c r="E254" s="2">
        <f>VLOOKUP( T_Aop[[#This Row],[Id]], T_Aop[], ID_Jezik + 9, 1)</f>
        <v>0</v>
      </c>
      <c r="F254" t="str">
        <f>REPT( "  ", T_Aop[[#This Row],[Aop nivo]]) &amp; VLOOKUP( T_Aop[[#This Row],[Id]], T_Aop[], ID_Jezik + 6, 1)</f>
        <v xml:space="preserve">    1. Dobici po osnovu smanjenja revalorizacionih rezervi na stalnim sredstvima, osim HOV raspoloživih za prodaju</v>
      </c>
      <c r="G254" t="s">
        <v>152</v>
      </c>
      <c r="H254" t="s">
        <v>1371</v>
      </c>
      <c r="I254" t="s">
        <v>1372</v>
      </c>
      <c r="J254" s="275"/>
      <c r="K254" s="275"/>
      <c r="L254" s="275"/>
      <c r="M254" s="10"/>
      <c r="N254" s="10">
        <v>1</v>
      </c>
    </row>
    <row r="255" spans="1:14" x14ac:dyDescent="0.2">
      <c r="A255">
        <f t="shared" si="3"/>
        <v>254</v>
      </c>
      <c r="B255" t="s">
        <v>552</v>
      </c>
      <c r="C255">
        <v>2</v>
      </c>
      <c r="D255" s="3">
        <v>403</v>
      </c>
      <c r="E255" s="2">
        <f>VLOOKUP( T_Aop[[#This Row],[Id]], T_Aop[], ID_Jezik + 9, 1)</f>
        <v>0</v>
      </c>
      <c r="F255" t="str">
        <f>REPT( "  ", T_Aop[[#This Row],[Aop nivo]]) &amp; VLOOKUP( T_Aop[[#This Row],[Id]], T_Aop[], ID_Jezik + 6, 1)</f>
        <v xml:space="preserve">    2. Dobici po osnovu promjene fer vrijednosti HOV raspoloživih za prodaju</v>
      </c>
      <c r="G255" t="s">
        <v>153</v>
      </c>
      <c r="H255" t="s">
        <v>1373</v>
      </c>
      <c r="I255" t="s">
        <v>1374</v>
      </c>
      <c r="J255" s="275"/>
      <c r="K255" s="275"/>
      <c r="L255" s="275"/>
      <c r="M255" s="10"/>
      <c r="N255" s="10"/>
    </row>
    <row r="256" spans="1:14" x14ac:dyDescent="0.2">
      <c r="A256">
        <f t="shared" si="3"/>
        <v>255</v>
      </c>
      <c r="B256" t="s">
        <v>552</v>
      </c>
      <c r="C256">
        <v>2</v>
      </c>
      <c r="D256" s="3">
        <v>404</v>
      </c>
      <c r="E256" s="2">
        <f>VLOOKUP( T_Aop[[#This Row],[Id]], T_Aop[], ID_Jezik + 9, 1)</f>
        <v>0</v>
      </c>
      <c r="F256" t="str">
        <f>REPT( "  ", T_Aop[[#This Row],[Aop nivo]]) &amp; VLOOKUP( T_Aop[[#This Row],[Id]], T_Aop[], ID_Jezik + 6, 1)</f>
        <v xml:space="preserve">    3. Dobici po osnovu prevođenja finansijskih izvještaja inostranog poslovanja</v>
      </c>
      <c r="G256" t="s">
        <v>154</v>
      </c>
      <c r="H256" t="s">
        <v>1375</v>
      </c>
      <c r="I256" t="s">
        <v>1376</v>
      </c>
      <c r="J256" s="275"/>
      <c r="K256" s="275"/>
      <c r="L256" s="275"/>
      <c r="M256" s="10"/>
      <c r="N256" s="10"/>
    </row>
    <row r="257" spans="1:14" x14ac:dyDescent="0.2">
      <c r="A257">
        <f t="shared" si="3"/>
        <v>256</v>
      </c>
      <c r="B257" t="s">
        <v>552</v>
      </c>
      <c r="C257">
        <v>2</v>
      </c>
      <c r="D257" s="3">
        <v>405</v>
      </c>
      <c r="E257" s="2">
        <f>VLOOKUP( T_Aop[[#This Row],[Id]], T_Aop[], ID_Jezik + 9, 1)</f>
        <v>0</v>
      </c>
      <c r="F257" t="str">
        <f>REPT( "  ", T_Aop[[#This Row],[Aop nivo]]) &amp; VLOOKUP( T_Aop[[#This Row],[Id]], T_Aop[], ID_Jezik + 6, 1)</f>
        <v xml:space="preserve">    4. Aktuarski dobici od planova definisanih primanja</v>
      </c>
      <c r="G257" t="s">
        <v>155</v>
      </c>
      <c r="H257" t="s">
        <v>1377</v>
      </c>
      <c r="I257" t="s">
        <v>1378</v>
      </c>
      <c r="J257" s="275"/>
      <c r="K257" s="275"/>
      <c r="L257" s="275"/>
      <c r="M257" s="10"/>
      <c r="N257" s="10"/>
    </row>
    <row r="258" spans="1:14" x14ac:dyDescent="0.2">
      <c r="A258">
        <f t="shared" ref="A258:A321" si="4">ROW()-ROW($A$1)</f>
        <v>257</v>
      </c>
      <c r="B258" t="s">
        <v>552</v>
      </c>
      <c r="C258">
        <v>2</v>
      </c>
      <c r="D258" s="3">
        <v>406</v>
      </c>
      <c r="E258" s="2">
        <f>VLOOKUP( T_Aop[[#This Row],[Id]], T_Aop[], ID_Jezik + 9, 1)</f>
        <v>0</v>
      </c>
      <c r="F258" t="str">
        <f>REPT( "  ", T_Aop[[#This Row],[Aop nivo]]) &amp; VLOOKUP( T_Aop[[#This Row],[Id]], T_Aop[], ID_Jezik + 6, 1)</f>
        <v xml:space="preserve">    5. Efektivni dio dobitaka po osnovu zaštite od rizika gotovinskih tokova</v>
      </c>
      <c r="G258" t="s">
        <v>52</v>
      </c>
      <c r="H258" t="s">
        <v>1379</v>
      </c>
      <c r="I258" t="s">
        <v>1380</v>
      </c>
      <c r="J258" s="275"/>
      <c r="K258" s="275"/>
      <c r="L258" s="275"/>
      <c r="M258" s="10"/>
      <c r="N258" s="10"/>
    </row>
    <row r="259" spans="1:14" x14ac:dyDescent="0.2">
      <c r="A259">
        <f t="shared" si="4"/>
        <v>258</v>
      </c>
      <c r="B259" t="s">
        <v>552</v>
      </c>
      <c r="C259">
        <v>2</v>
      </c>
      <c r="D259" s="3">
        <v>407</v>
      </c>
      <c r="E259" s="2">
        <f>VLOOKUP( T_Aop[[#This Row],[Id]], T_Aop[], ID_Jezik + 9, 1)</f>
        <v>0</v>
      </c>
      <c r="F259" t="str">
        <f>REPT( "  ", T_Aop[[#This Row],[Aop nivo]]) &amp; VLOOKUP( T_Aop[[#This Row],[Id]], T_Aop[], ID_Jezik + 6, 1)</f>
        <v xml:space="preserve">    6. Ostali dobici utvrđeni direktno u kapitalu</v>
      </c>
      <c r="G259" t="s">
        <v>156</v>
      </c>
      <c r="H259" t="s">
        <v>1381</v>
      </c>
      <c r="I259" t="s">
        <v>1382</v>
      </c>
      <c r="J259" s="275"/>
      <c r="K259" s="275"/>
      <c r="L259" s="275"/>
      <c r="M259" s="10"/>
      <c r="N259" s="10"/>
    </row>
    <row r="260" spans="1:14" x14ac:dyDescent="0.2">
      <c r="A260">
        <f t="shared" si="4"/>
        <v>259</v>
      </c>
      <c r="B260" t="s">
        <v>552</v>
      </c>
      <c r="C260">
        <v>1</v>
      </c>
      <c r="D260" s="3">
        <v>408</v>
      </c>
      <c r="E260" s="2">
        <f>VLOOKUP( T_Aop[[#This Row],[Id]], T_Aop[], ID_Jezik + 9, 1)</f>
        <v>0</v>
      </c>
      <c r="F260" t="str">
        <f>REPT( "  ", T_Aop[[#This Row],[Aop nivo]]) &amp; VLOOKUP( T_Aop[[#This Row],[Id]], T_Aop[], ID_Jezik + 6, 1)</f>
        <v xml:space="preserve">  II - GUBICI UTVRĐENI DIREKTNO U KAPITALU (409 do 413)</v>
      </c>
      <c r="G260" t="s">
        <v>1383</v>
      </c>
      <c r="H260" t="s">
        <v>1384</v>
      </c>
      <c r="I260" t="s">
        <v>1385</v>
      </c>
      <c r="J260" s="275"/>
      <c r="K260" s="275"/>
      <c r="L260" s="275"/>
      <c r="M260" s="10">
        <v>1</v>
      </c>
      <c r="N260" s="10"/>
    </row>
    <row r="261" spans="1:14" x14ac:dyDescent="0.2">
      <c r="A261">
        <f t="shared" si="4"/>
        <v>260</v>
      </c>
      <c r="B261" t="s">
        <v>552</v>
      </c>
      <c r="C261">
        <v>2</v>
      </c>
      <c r="D261" s="3">
        <v>409</v>
      </c>
      <c r="E261" s="2">
        <f>VLOOKUP( T_Aop[[#This Row],[Id]], T_Aop[], ID_Jezik + 9, 1)</f>
        <v>0</v>
      </c>
      <c r="F261" t="str">
        <f>REPT( "  ", T_Aop[[#This Row],[Aop nivo]]) &amp; VLOOKUP( T_Aop[[#This Row],[Id]], T_Aop[], ID_Jezik + 6, 1)</f>
        <v xml:space="preserve">    1. Gubici po osnovu promjene fer vrijednosti HOV raspoloživih za prodaju</v>
      </c>
      <c r="G261" t="s">
        <v>157</v>
      </c>
      <c r="H261" t="s">
        <v>1386</v>
      </c>
      <c r="I261" t="s">
        <v>1387</v>
      </c>
      <c r="J261" s="275"/>
      <c r="K261" s="275"/>
      <c r="L261" s="275"/>
      <c r="M261" s="10"/>
      <c r="N261" s="10"/>
    </row>
    <row r="262" spans="1:14" x14ac:dyDescent="0.2">
      <c r="A262">
        <f t="shared" si="4"/>
        <v>261</v>
      </c>
      <c r="B262" t="s">
        <v>552</v>
      </c>
      <c r="C262">
        <v>2</v>
      </c>
      <c r="D262" s="3">
        <v>410</v>
      </c>
      <c r="E262" s="2">
        <f>VLOOKUP( T_Aop[[#This Row],[Id]], T_Aop[], ID_Jezik + 9, 1)</f>
        <v>0</v>
      </c>
      <c r="F262" t="str">
        <f>REPT( "  ", T_Aop[[#This Row],[Aop nivo]]) &amp; VLOOKUP( T_Aop[[#This Row],[Id]], T_Aop[], ID_Jezik + 6, 1)</f>
        <v xml:space="preserve">    2. Gubici po osnovu prevođenja finansijskih izvještaja inostranog poslovanja</v>
      </c>
      <c r="G262" t="s">
        <v>159</v>
      </c>
      <c r="H262" t="s">
        <v>1388</v>
      </c>
      <c r="I262" t="s">
        <v>1389</v>
      </c>
      <c r="J262" s="275"/>
      <c r="K262" s="275"/>
      <c r="L262" s="275"/>
      <c r="M262" s="10"/>
      <c r="N262" s="10"/>
    </row>
    <row r="263" spans="1:14" x14ac:dyDescent="0.2">
      <c r="A263">
        <f t="shared" si="4"/>
        <v>262</v>
      </c>
      <c r="B263" t="s">
        <v>552</v>
      </c>
      <c r="C263">
        <v>2</v>
      </c>
      <c r="D263">
        <v>411</v>
      </c>
      <c r="E263" s="2">
        <f>VLOOKUP( T_Aop[[#This Row],[Id]], T_Aop[], ID_Jezik + 9, 1)</f>
        <v>0</v>
      </c>
      <c r="F263" t="str">
        <f>REPT( "  ", T_Aop[[#This Row],[Aop nivo]]) &amp; VLOOKUP( T_Aop[[#This Row],[Id]], T_Aop[], ID_Jezik + 6, 1)</f>
        <v xml:space="preserve">    3. Aktuarski gubici od planova definisanih primanja</v>
      </c>
      <c r="G263" t="s">
        <v>158</v>
      </c>
      <c r="H263" t="s">
        <v>1390</v>
      </c>
      <c r="I263" t="s">
        <v>1391</v>
      </c>
      <c r="J263" s="275"/>
      <c r="K263" s="275"/>
      <c r="L263" s="275"/>
      <c r="M263" s="10"/>
      <c r="N263" s="10"/>
    </row>
    <row r="264" spans="1:14" x14ac:dyDescent="0.2">
      <c r="A264">
        <f t="shared" si="4"/>
        <v>263</v>
      </c>
      <c r="B264" t="s">
        <v>552</v>
      </c>
      <c r="C264">
        <v>2</v>
      </c>
      <c r="D264">
        <v>412</v>
      </c>
      <c r="E264" s="2">
        <f>VLOOKUP( T_Aop[[#This Row],[Id]], T_Aop[], ID_Jezik + 9, 1)</f>
        <v>0</v>
      </c>
      <c r="F264" t="str">
        <f>REPT( "  ", T_Aop[[#This Row],[Aop nivo]]) &amp; VLOOKUP( T_Aop[[#This Row],[Id]], T_Aop[], ID_Jezik + 6, 1)</f>
        <v xml:space="preserve">    4. Efektivni dio gubitaka po osnovu zaštite od rizika gotovinskih tokova</v>
      </c>
      <c r="G264" t="s">
        <v>63</v>
      </c>
      <c r="H264" t="s">
        <v>1392</v>
      </c>
      <c r="I264" t="s">
        <v>1393</v>
      </c>
      <c r="J264" s="275"/>
      <c r="K264" s="275"/>
      <c r="L264" s="275"/>
      <c r="M264" s="10"/>
      <c r="N264" s="10"/>
    </row>
    <row r="265" spans="1:14" x14ac:dyDescent="0.2">
      <c r="A265">
        <f t="shared" si="4"/>
        <v>264</v>
      </c>
      <c r="B265" t="s">
        <v>552</v>
      </c>
      <c r="C265">
        <v>2</v>
      </c>
      <c r="D265">
        <v>413</v>
      </c>
      <c r="E265" s="2">
        <f>VLOOKUP( T_Aop[[#This Row],[Id]], T_Aop[], ID_Jezik + 9, 1)</f>
        <v>0</v>
      </c>
      <c r="F265" t="str">
        <f>REPT( "  ", T_Aop[[#This Row],[Aop nivo]]) &amp; VLOOKUP( T_Aop[[#This Row],[Id]], T_Aop[], ID_Jezik + 6, 1)</f>
        <v xml:space="preserve">    5. Ostali gubici utvrđeni direktno u kapitalu</v>
      </c>
      <c r="G265" t="s">
        <v>160</v>
      </c>
      <c r="H265" t="s">
        <v>1394</v>
      </c>
      <c r="I265" t="s">
        <v>1395</v>
      </c>
      <c r="J265" s="275"/>
      <c r="K265" s="275"/>
      <c r="L265" s="275"/>
      <c r="M265" s="10"/>
      <c r="N265" s="10"/>
    </row>
    <row r="266" spans="1:14" x14ac:dyDescent="0.2">
      <c r="A266">
        <f t="shared" si="4"/>
        <v>265</v>
      </c>
      <c r="B266" t="s">
        <v>552</v>
      </c>
      <c r="C266">
        <v>0</v>
      </c>
      <c r="D266">
        <v>414</v>
      </c>
      <c r="E266" s="2">
        <f>VLOOKUP( T_Aop[[#This Row],[Id]], T_Aop[], ID_Jezik + 9, 1)</f>
        <v>0</v>
      </c>
      <c r="F266" t="str">
        <f>REPT( "  ", T_Aop[[#This Row],[Aop nivo]]) &amp; VLOOKUP( T_Aop[[#This Row],[Id]], T_Aop[], ID_Jezik + 6, 1)</f>
        <v>B. OSTALI DOBICI ILI GUBICI U PERIODU (401 - 408) ili (408 - 401)</v>
      </c>
      <c r="G266" t="s">
        <v>1396</v>
      </c>
      <c r="H266" t="s">
        <v>1397</v>
      </c>
      <c r="I266" t="s">
        <v>1398</v>
      </c>
      <c r="J266" s="275"/>
      <c r="K266" s="275"/>
      <c r="L266" s="275"/>
      <c r="M266" s="10">
        <v>1</v>
      </c>
      <c r="N266" s="10"/>
    </row>
    <row r="267" spans="1:14" x14ac:dyDescent="0.2">
      <c r="A267">
        <f t="shared" si="4"/>
        <v>266</v>
      </c>
      <c r="B267" t="s">
        <v>552</v>
      </c>
      <c r="C267">
        <v>0</v>
      </c>
      <c r="D267">
        <v>415</v>
      </c>
      <c r="E267" s="2">
        <f>VLOOKUP( T_Aop[[#This Row],[Id]], T_Aop[], ID_Jezik + 9, 1)</f>
        <v>0</v>
      </c>
      <c r="F267" t="str">
        <f>REPT( "  ", T_Aop[[#This Row],[Aop nivo]]) &amp; VLOOKUP( T_Aop[[#This Row],[Id]], T_Aop[], ID_Jezik + 6, 1)</f>
        <v>V. POREZ NA DOBITAK KOJI SE ODNOSI NA OSTALE DOBITKE I GUBITKE</v>
      </c>
      <c r="G267" t="s">
        <v>542</v>
      </c>
      <c r="H267" t="s">
        <v>1399</v>
      </c>
      <c r="I267" t="s">
        <v>1400</v>
      </c>
      <c r="J267" s="275"/>
      <c r="K267" s="275"/>
      <c r="L267" s="275"/>
      <c r="M267" s="10">
        <v>1</v>
      </c>
      <c r="N267" s="10"/>
    </row>
    <row r="268" spans="1:14" x14ac:dyDescent="0.2">
      <c r="A268">
        <f t="shared" si="4"/>
        <v>267</v>
      </c>
      <c r="B268" t="s">
        <v>552</v>
      </c>
      <c r="C268">
        <v>0</v>
      </c>
      <c r="D268">
        <v>416</v>
      </c>
      <c r="E268" s="2">
        <f>VLOOKUP( T_Aop[[#This Row],[Id]], T_Aop[], ID_Jezik + 9, 1)</f>
        <v>0</v>
      </c>
      <c r="F268" t="str">
        <f>REPT( "  ", T_Aop[[#This Row],[Aop nivo]]) &amp; VLOOKUP( T_Aop[[#This Row],[Id]], T_Aop[], ID_Jezik + 6, 1)</f>
        <v>G. NETO REZULTAT PO OSNOVU OSTALIH DOBITAKA I GUBITAKA U PERIODU (414 ± 415)</v>
      </c>
      <c r="G268" t="s">
        <v>1401</v>
      </c>
      <c r="H268" t="s">
        <v>1402</v>
      </c>
      <c r="I268" t="s">
        <v>1403</v>
      </c>
      <c r="J268" s="275"/>
      <c r="K268" s="275"/>
      <c r="L268" s="275"/>
      <c r="M268" s="10">
        <v>1</v>
      </c>
      <c r="N268" s="10"/>
    </row>
    <row r="269" spans="1:14" x14ac:dyDescent="0.2">
      <c r="A269">
        <f t="shared" si="4"/>
        <v>268</v>
      </c>
      <c r="B269" t="s">
        <v>552</v>
      </c>
      <c r="C269">
        <v>0</v>
      </c>
      <c r="E269" s="2">
        <f>VLOOKUP( T_Aop[[#This Row],[Id]], T_Aop[], ID_Jezik + 9, 1)</f>
        <v>0</v>
      </c>
      <c r="F269" t="str">
        <f>REPT( "  ", T_Aop[[#This Row],[Aop nivo]]) &amp; VLOOKUP( T_Aop[[#This Row],[Id]], T_Aop[], ID_Jezik + 6, 1)</f>
        <v>D. UKUPAN NETO REZULTAT U OBRAČUNSKOM PERIODU</v>
      </c>
      <c r="G269" t="s">
        <v>543</v>
      </c>
      <c r="H269" t="s">
        <v>1404</v>
      </c>
      <c r="I269" t="s">
        <v>1405</v>
      </c>
      <c r="J269" s="275"/>
      <c r="K269" s="275"/>
      <c r="L269" s="275"/>
      <c r="M269" s="10">
        <v>1</v>
      </c>
      <c r="N269" s="10"/>
    </row>
    <row r="270" spans="1:14" x14ac:dyDescent="0.2">
      <c r="A270">
        <f t="shared" si="4"/>
        <v>269</v>
      </c>
      <c r="B270" t="s">
        <v>552</v>
      </c>
      <c r="C270">
        <v>1</v>
      </c>
      <c r="D270">
        <v>417</v>
      </c>
      <c r="E270" s="2">
        <f>VLOOKUP( T_Aop[[#This Row],[Id]], T_Aop[], ID_Jezik + 9, 1)</f>
        <v>0</v>
      </c>
      <c r="F270" t="str">
        <f>REPT( "  ", T_Aop[[#This Row],[Aop nivo]]) &amp; VLOOKUP( T_Aop[[#This Row],[Id]], T_Aop[], ID_Jezik + 6, 1)</f>
        <v xml:space="preserve">  I - UKUPAN NETO DOBITAK U OBRAČUNSKOM PERIODU (400 ± 416)</v>
      </c>
      <c r="G270" t="s">
        <v>1406</v>
      </c>
      <c r="H270" t="s">
        <v>1407</v>
      </c>
      <c r="I270" t="s">
        <v>1408</v>
      </c>
      <c r="J270" s="275"/>
      <c r="K270" s="275"/>
      <c r="L270" s="275"/>
      <c r="M270" s="10">
        <v>1</v>
      </c>
      <c r="N270" s="10"/>
    </row>
    <row r="271" spans="1:14" x14ac:dyDescent="0.2">
      <c r="A271">
        <f t="shared" si="4"/>
        <v>270</v>
      </c>
      <c r="B271" t="s">
        <v>552</v>
      </c>
      <c r="C271">
        <v>1</v>
      </c>
      <c r="D271">
        <v>418</v>
      </c>
      <c r="E271" s="2">
        <f>VLOOKUP( T_Aop[[#This Row],[Id]], T_Aop[], ID_Jezik + 9, 1)</f>
        <v>0</v>
      </c>
      <c r="F271" t="str">
        <f>REPT( "  ", T_Aop[[#This Row],[Aop nivo]]) &amp; VLOOKUP( T_Aop[[#This Row],[Id]], T_Aop[], ID_Jezik + 6, 1)</f>
        <v xml:space="preserve">  II - UKUPAN NETO GUBITAK U OBRAČUNSKOM PERIODU (400 ± 416)</v>
      </c>
      <c r="G271" t="s">
        <v>1409</v>
      </c>
      <c r="H271" t="s">
        <v>1410</v>
      </c>
      <c r="I271" t="s">
        <v>1411</v>
      </c>
      <c r="J271" s="275"/>
      <c r="K271" s="275"/>
      <c r="L271" s="275"/>
      <c r="M271" s="10">
        <v>1</v>
      </c>
      <c r="N271" s="10"/>
    </row>
    <row r="272" spans="1:14" x14ac:dyDescent="0.2">
      <c r="A272">
        <f t="shared" si="4"/>
        <v>271</v>
      </c>
      <c r="B272" t="s">
        <v>418</v>
      </c>
      <c r="C272">
        <v>0</v>
      </c>
      <c r="E272" s="2" t="str">
        <f>VLOOKUP( T_Aop[[#This Row],[Id]], T_Aop[], ID_Jezik + 9, 1)</f>
        <v>1.</v>
      </c>
      <c r="F272" t="str">
        <f>REPT( "  ", T_Aop[[#This Row],[Aop nivo]]) &amp; VLOOKUP( T_Aop[[#This Row],[Id]], T_Aop[], ID_Jezik + 6, 1)</f>
        <v>A. TOKOVI GOTOVINE IZ POSLOVNIH AKTIVNOSTI</v>
      </c>
      <c r="G272" t="s">
        <v>165</v>
      </c>
      <c r="H272" t="s">
        <v>1412</v>
      </c>
      <c r="I272" t="s">
        <v>1413</v>
      </c>
      <c r="J272" s="275" t="s">
        <v>1842</v>
      </c>
      <c r="K272" s="275" t="s">
        <v>1842</v>
      </c>
      <c r="L272" s="275">
        <v>1</v>
      </c>
      <c r="M272" s="10">
        <v>1</v>
      </c>
      <c r="N272" s="10"/>
    </row>
    <row r="273" spans="1:14" x14ac:dyDescent="0.2">
      <c r="A273">
        <f t="shared" si="4"/>
        <v>272</v>
      </c>
      <c r="B273" t="s">
        <v>418</v>
      </c>
      <c r="C273">
        <v>1</v>
      </c>
      <c r="D273">
        <v>501</v>
      </c>
      <c r="E273" s="2" t="str">
        <f>VLOOKUP( T_Aop[[#This Row],[Id]], T_Aop[], ID_Jezik + 9, 1)</f>
        <v>2.</v>
      </c>
      <c r="F273" t="str">
        <f>REPT( "  ", T_Aop[[#This Row],[Aop nivo]]) &amp; VLOOKUP( T_Aop[[#This Row],[Id]], T_Aop[], ID_Jezik + 6, 1)</f>
        <v xml:space="preserve">  I - PRILIVI GOTOVINE IZ POSLOVNIH AKTIVNOSTI (502 do 504)</v>
      </c>
      <c r="G273" t="s">
        <v>1414</v>
      </c>
      <c r="H273" t="s">
        <v>1415</v>
      </c>
      <c r="I273" t="s">
        <v>1416</v>
      </c>
      <c r="J273" s="275" t="s">
        <v>1843</v>
      </c>
      <c r="K273" s="275" t="s">
        <v>1843</v>
      </c>
      <c r="L273" s="275">
        <v>2</v>
      </c>
      <c r="M273" s="10">
        <v>1</v>
      </c>
      <c r="N273" s="10"/>
    </row>
    <row r="274" spans="1:14" x14ac:dyDescent="0.2">
      <c r="A274">
        <f t="shared" si="4"/>
        <v>273</v>
      </c>
      <c r="B274" t="s">
        <v>418</v>
      </c>
      <c r="C274">
        <v>2</v>
      </c>
      <c r="D274">
        <v>502</v>
      </c>
      <c r="E274" s="2" t="str">
        <f>VLOOKUP( T_Aop[[#This Row],[Id]], T_Aop[], ID_Jezik + 9, 1)</f>
        <v>3.</v>
      </c>
      <c r="F274" t="str">
        <f>REPT( "  ", T_Aop[[#This Row],[Aop nivo]]) &amp; VLOOKUP( T_Aop[[#This Row],[Id]], T_Aop[], ID_Jezik + 6, 1)</f>
        <v xml:space="preserve">    1. Prilivi od kupaca i primljeni avansi</v>
      </c>
      <c r="G274" t="s">
        <v>166</v>
      </c>
      <c r="H274" t="s">
        <v>1417</v>
      </c>
      <c r="I274" t="s">
        <v>1418</v>
      </c>
      <c r="J274" s="275" t="s">
        <v>1844</v>
      </c>
      <c r="K274" s="275" t="s">
        <v>1844</v>
      </c>
      <c r="L274" s="275">
        <v>3</v>
      </c>
      <c r="M274" s="10"/>
      <c r="N274" s="10"/>
    </row>
    <row r="275" spans="1:14" x14ac:dyDescent="0.2">
      <c r="A275">
        <f t="shared" si="4"/>
        <v>274</v>
      </c>
      <c r="B275" t="s">
        <v>418</v>
      </c>
      <c r="C275">
        <v>2</v>
      </c>
      <c r="D275">
        <v>503</v>
      </c>
      <c r="E275" s="2" t="str">
        <f>VLOOKUP( T_Aop[[#This Row],[Id]], T_Aop[], ID_Jezik + 9, 1)</f>
        <v>4.</v>
      </c>
      <c r="F275" t="str">
        <f>REPT( "  ", T_Aop[[#This Row],[Aop nivo]]) &amp; VLOOKUP( T_Aop[[#This Row],[Id]], T_Aop[], ID_Jezik + 6, 1)</f>
        <v xml:space="preserve">    2. Prilivi od premija, subvencija, dotacija i sl.</v>
      </c>
      <c r="G275" t="s">
        <v>167</v>
      </c>
      <c r="H275" t="s">
        <v>1419</v>
      </c>
      <c r="I275" t="s">
        <v>1420</v>
      </c>
      <c r="J275" s="275" t="s">
        <v>1845</v>
      </c>
      <c r="K275" s="275" t="s">
        <v>1845</v>
      </c>
      <c r="L275" s="275">
        <v>4</v>
      </c>
      <c r="M275" s="10"/>
      <c r="N275" s="10"/>
    </row>
    <row r="276" spans="1:14" x14ac:dyDescent="0.2">
      <c r="A276">
        <f t="shared" si="4"/>
        <v>275</v>
      </c>
      <c r="B276" t="s">
        <v>418</v>
      </c>
      <c r="C276">
        <v>2</v>
      </c>
      <c r="D276">
        <v>504</v>
      </c>
      <c r="E276" s="2" t="str">
        <f>VLOOKUP( T_Aop[[#This Row],[Id]], T_Aop[], ID_Jezik + 9, 1)</f>
        <v>5.</v>
      </c>
      <c r="F276" t="str">
        <f>REPT( "  ", T_Aop[[#This Row],[Aop nivo]]) &amp; VLOOKUP( T_Aop[[#This Row],[Id]], T_Aop[], ID_Jezik + 6, 1)</f>
        <v xml:space="preserve">    3. Ostali prilivi iz poslovnih aktivnosti</v>
      </c>
      <c r="G276" t="s">
        <v>168</v>
      </c>
      <c r="H276" t="s">
        <v>1421</v>
      </c>
      <c r="I276" t="s">
        <v>1422</v>
      </c>
      <c r="J276" s="275" t="s">
        <v>1846</v>
      </c>
      <c r="K276" s="275" t="s">
        <v>1846</v>
      </c>
      <c r="L276" s="275">
        <v>5</v>
      </c>
      <c r="M276" s="10"/>
      <c r="N276" s="10"/>
    </row>
    <row r="277" spans="1:14" x14ac:dyDescent="0.2">
      <c r="A277">
        <f t="shared" si="4"/>
        <v>276</v>
      </c>
      <c r="B277" t="s">
        <v>418</v>
      </c>
      <c r="C277">
        <v>1</v>
      </c>
      <c r="D277">
        <v>505</v>
      </c>
      <c r="E277" s="2" t="str">
        <f>VLOOKUP( T_Aop[[#This Row],[Id]], T_Aop[], ID_Jezik + 9, 1)</f>
        <v>6.</v>
      </c>
      <c r="F277" t="str">
        <f>REPT( "  ", T_Aop[[#This Row],[Aop nivo]]) &amp; VLOOKUP( T_Aop[[#This Row],[Id]], T_Aop[], ID_Jezik + 6, 1)</f>
        <v xml:space="preserve">  II - ODLIVI GOTOVINE IZ POSLOVNIH AKTIVNOSTI (506 do 510)</v>
      </c>
      <c r="G277" t="s">
        <v>1423</v>
      </c>
      <c r="H277" t="s">
        <v>1424</v>
      </c>
      <c r="I277" t="s">
        <v>1425</v>
      </c>
      <c r="J277" s="275" t="s">
        <v>1847</v>
      </c>
      <c r="K277" s="275" t="s">
        <v>1847</v>
      </c>
      <c r="L277" s="275">
        <v>6</v>
      </c>
      <c r="M277" s="10">
        <v>1</v>
      </c>
      <c r="N277" s="10"/>
    </row>
    <row r="278" spans="1:14" x14ac:dyDescent="0.2">
      <c r="A278">
        <f t="shared" si="4"/>
        <v>277</v>
      </c>
      <c r="B278" t="s">
        <v>418</v>
      </c>
      <c r="C278">
        <v>2</v>
      </c>
      <c r="D278">
        <v>506</v>
      </c>
      <c r="E278" s="2" t="str">
        <f>VLOOKUP( T_Aop[[#This Row],[Id]], T_Aop[], ID_Jezik + 9, 1)</f>
        <v>7.</v>
      </c>
      <c r="F278" t="str">
        <f>REPT( "  ", T_Aop[[#This Row],[Aop nivo]]) &amp; VLOOKUP( T_Aop[[#This Row],[Id]], T_Aop[], ID_Jezik + 6, 1)</f>
        <v xml:space="preserve">    1. Odlivi po osnovu isplata dobavljačima i dati avansi</v>
      </c>
      <c r="G278" t="s">
        <v>171</v>
      </c>
      <c r="H278" t="s">
        <v>1426</v>
      </c>
      <c r="I278" t="s">
        <v>1427</v>
      </c>
      <c r="J278" s="275" t="s">
        <v>1848</v>
      </c>
      <c r="K278" s="275" t="s">
        <v>1848</v>
      </c>
      <c r="L278" s="275">
        <v>7</v>
      </c>
      <c r="M278" s="10"/>
      <c r="N278" s="10"/>
    </row>
    <row r="279" spans="1:14" x14ac:dyDescent="0.2">
      <c r="A279">
        <f t="shared" si="4"/>
        <v>278</v>
      </c>
      <c r="B279" t="s">
        <v>418</v>
      </c>
      <c r="C279">
        <v>2</v>
      </c>
      <c r="D279">
        <v>507</v>
      </c>
      <c r="E279" s="2" t="str">
        <f>VLOOKUP( T_Aop[[#This Row],[Id]], T_Aop[], ID_Jezik + 9, 1)</f>
        <v>8.</v>
      </c>
      <c r="F279" t="str">
        <f>REPT( "  ", T_Aop[[#This Row],[Aop nivo]]) &amp; VLOOKUP( T_Aop[[#This Row],[Id]], T_Aop[], ID_Jezik + 6, 1)</f>
        <v xml:space="preserve">    2. Odlivi po osnovu isplata zarada, naknada zarada i ostalih ličnih rashoda</v>
      </c>
      <c r="G279" t="s">
        <v>172</v>
      </c>
      <c r="H279" t="s">
        <v>1428</v>
      </c>
      <c r="I279" t="s">
        <v>1429</v>
      </c>
      <c r="J279" s="275" t="s">
        <v>1849</v>
      </c>
      <c r="K279" s="275" t="s">
        <v>1849</v>
      </c>
      <c r="L279" s="275">
        <v>8</v>
      </c>
      <c r="M279" s="10"/>
      <c r="N279" s="10"/>
    </row>
    <row r="280" spans="1:14" x14ac:dyDescent="0.2">
      <c r="A280">
        <f t="shared" si="4"/>
        <v>279</v>
      </c>
      <c r="B280" t="s">
        <v>418</v>
      </c>
      <c r="C280">
        <v>2</v>
      </c>
      <c r="D280">
        <v>508</v>
      </c>
      <c r="E280" s="2" t="str">
        <f>VLOOKUP( T_Aop[[#This Row],[Id]], T_Aop[], ID_Jezik + 9, 1)</f>
        <v>9.</v>
      </c>
      <c r="F280" t="str">
        <f>REPT( "  ", T_Aop[[#This Row],[Aop nivo]]) &amp; VLOOKUP( T_Aop[[#This Row],[Id]], T_Aop[], ID_Jezik + 6, 1)</f>
        <v xml:space="preserve">    3. Odlivi po osnovu plaćenih kamata</v>
      </c>
      <c r="G280" t="s">
        <v>173</v>
      </c>
      <c r="H280" t="s">
        <v>1430</v>
      </c>
      <c r="I280" t="s">
        <v>1431</v>
      </c>
      <c r="J280" s="275" t="s">
        <v>1850</v>
      </c>
      <c r="K280" s="275" t="s">
        <v>1850</v>
      </c>
      <c r="L280" s="275">
        <v>9</v>
      </c>
      <c r="M280" s="10"/>
      <c r="N280" s="10"/>
    </row>
    <row r="281" spans="1:14" x14ac:dyDescent="0.2">
      <c r="A281">
        <f t="shared" si="4"/>
        <v>280</v>
      </c>
      <c r="B281" t="s">
        <v>418</v>
      </c>
      <c r="C281">
        <v>2</v>
      </c>
      <c r="D281">
        <v>509</v>
      </c>
      <c r="E281" s="2" t="str">
        <f>VLOOKUP( T_Aop[[#This Row],[Id]], T_Aop[], ID_Jezik + 9, 1)</f>
        <v>10.</v>
      </c>
      <c r="F281" t="str">
        <f>REPT( "  ", T_Aop[[#This Row],[Aop nivo]]) &amp; VLOOKUP( T_Aop[[#This Row],[Id]], T_Aop[], ID_Jezik + 6, 1)</f>
        <v xml:space="preserve">    4. Odlivi po osnovu poreza na dobit</v>
      </c>
      <c r="G281" t="s">
        <v>169</v>
      </c>
      <c r="H281" t="s">
        <v>1432</v>
      </c>
      <c r="I281" t="s">
        <v>1433</v>
      </c>
      <c r="J281" s="275" t="s">
        <v>1851</v>
      </c>
      <c r="K281" s="275" t="s">
        <v>1851</v>
      </c>
      <c r="L281" s="275">
        <v>10</v>
      </c>
      <c r="M281" s="10"/>
      <c r="N281" s="10"/>
    </row>
    <row r="282" spans="1:14" x14ac:dyDescent="0.2">
      <c r="A282">
        <f t="shared" si="4"/>
        <v>281</v>
      </c>
      <c r="B282" t="s">
        <v>418</v>
      </c>
      <c r="C282">
        <v>2</v>
      </c>
      <c r="D282">
        <v>510</v>
      </c>
      <c r="E282" s="2" t="str">
        <f>VLOOKUP( T_Aop[[#This Row],[Id]], T_Aop[], ID_Jezik + 9, 1)</f>
        <v>11.</v>
      </c>
      <c r="F282" t="str">
        <f>REPT( "  ", T_Aop[[#This Row],[Aop nivo]]) &amp; VLOOKUP( T_Aop[[#This Row],[Id]], T_Aop[], ID_Jezik + 6, 1)</f>
        <v xml:space="preserve">    5. Ostali odlivi iz poslovnih aktivnosti</v>
      </c>
      <c r="G282" t="s">
        <v>170</v>
      </c>
      <c r="H282" t="s">
        <v>1434</v>
      </c>
      <c r="I282" t="s">
        <v>1435</v>
      </c>
      <c r="J282" s="275" t="s">
        <v>1852</v>
      </c>
      <c r="K282" s="275" t="s">
        <v>1852</v>
      </c>
      <c r="L282" s="275">
        <v>11</v>
      </c>
      <c r="M282" s="10"/>
      <c r="N282" s="10"/>
    </row>
    <row r="283" spans="1:14" x14ac:dyDescent="0.2">
      <c r="A283">
        <f t="shared" si="4"/>
        <v>282</v>
      </c>
      <c r="B283" t="s">
        <v>418</v>
      </c>
      <c r="C283">
        <v>1</v>
      </c>
      <c r="D283">
        <v>511</v>
      </c>
      <c r="E283" s="2" t="str">
        <f>VLOOKUP( T_Aop[[#This Row],[Id]], T_Aop[], ID_Jezik + 9, 1)</f>
        <v>12.</v>
      </c>
      <c r="F283" t="str">
        <f>REPT( "  ", T_Aop[[#This Row],[Aop nivo]]) &amp; VLOOKUP( T_Aop[[#This Row],[Id]], T_Aop[], ID_Jezik + 6, 1)</f>
        <v xml:space="preserve">  III - NETO PRILIV GOTOVINE IZ POSLOVNIH AKTIVNOSTI (501 - 505)</v>
      </c>
      <c r="G283" t="s">
        <v>1436</v>
      </c>
      <c r="H283" t="s">
        <v>1437</v>
      </c>
      <c r="I283" t="s">
        <v>1438</v>
      </c>
      <c r="J283" s="275" t="s">
        <v>1853</v>
      </c>
      <c r="K283" s="275" t="s">
        <v>1853</v>
      </c>
      <c r="L283" s="275">
        <v>12</v>
      </c>
      <c r="M283" s="10">
        <v>1</v>
      </c>
      <c r="N283" s="10"/>
    </row>
    <row r="284" spans="1:14" x14ac:dyDescent="0.2">
      <c r="A284">
        <f t="shared" si="4"/>
        <v>283</v>
      </c>
      <c r="B284" t="s">
        <v>418</v>
      </c>
      <c r="C284">
        <v>1</v>
      </c>
      <c r="D284">
        <v>512</v>
      </c>
      <c r="E284" s="2" t="str">
        <f>VLOOKUP( T_Aop[[#This Row],[Id]], T_Aop[], ID_Jezik + 9, 1)</f>
        <v>13.</v>
      </c>
      <c r="F284" t="str">
        <f>REPT( "  ", T_Aop[[#This Row],[Aop nivo]]) &amp; VLOOKUP( T_Aop[[#This Row],[Id]], T_Aop[], ID_Jezik + 6, 1)</f>
        <v xml:space="preserve">  IV - NETO ODLIV GOTOVINE IZ POSLOVNIH AKTIVNOSTI (505 - 501)</v>
      </c>
      <c r="G284" t="s">
        <v>1439</v>
      </c>
      <c r="H284" t="s">
        <v>1440</v>
      </c>
      <c r="I284" t="s">
        <v>1441</v>
      </c>
      <c r="J284" s="275" t="s">
        <v>1854</v>
      </c>
      <c r="K284" s="275" t="s">
        <v>1854</v>
      </c>
      <c r="L284" s="275">
        <v>13</v>
      </c>
      <c r="M284" s="10">
        <v>1</v>
      </c>
      <c r="N284" s="10"/>
    </row>
    <row r="285" spans="1:14" x14ac:dyDescent="0.2">
      <c r="A285">
        <f t="shared" si="4"/>
        <v>284</v>
      </c>
      <c r="B285" t="s">
        <v>418</v>
      </c>
      <c r="C285">
        <v>0</v>
      </c>
      <c r="E285" s="2" t="str">
        <f>VLOOKUP( T_Aop[[#This Row],[Id]], T_Aop[], ID_Jezik + 9, 1)</f>
        <v>14.</v>
      </c>
      <c r="F285" t="str">
        <f>REPT( "  ", T_Aop[[#This Row],[Aop nivo]]) &amp; VLOOKUP( T_Aop[[#This Row],[Id]], T_Aop[], ID_Jezik + 6, 1)</f>
        <v>B. TOKOVI GOTOVINE IZ AKTIVNOSTI INVESTIRANJA</v>
      </c>
      <c r="G285" t="s">
        <v>203</v>
      </c>
      <c r="H285" t="s">
        <v>1442</v>
      </c>
      <c r="I285" t="s">
        <v>105</v>
      </c>
      <c r="J285" s="275" t="s">
        <v>1855</v>
      </c>
      <c r="K285" s="275" t="s">
        <v>1855</v>
      </c>
      <c r="L285" s="275">
        <v>14</v>
      </c>
      <c r="M285" s="10">
        <v>1</v>
      </c>
      <c r="N285" s="10"/>
    </row>
    <row r="286" spans="1:14" x14ac:dyDescent="0.2">
      <c r="A286">
        <f t="shared" si="4"/>
        <v>285</v>
      </c>
      <c r="B286" t="s">
        <v>418</v>
      </c>
      <c r="C286">
        <v>1</v>
      </c>
      <c r="D286">
        <v>513</v>
      </c>
      <c r="E286" s="2" t="str">
        <f>VLOOKUP( T_Aop[[#This Row],[Id]], T_Aop[], ID_Jezik + 9, 1)</f>
        <v>15.</v>
      </c>
      <c r="F286" t="str">
        <f>REPT( "  ", T_Aop[[#This Row],[Aop nivo]]) &amp; VLOOKUP( T_Aop[[#This Row],[Id]], T_Aop[], ID_Jezik + 6, 1)</f>
        <v xml:space="preserve">  I - PRILIVI GOTOVINE IZ AKTIVNOSTI INVESTIRANJA (514 do 519)</v>
      </c>
      <c r="G286" t="s">
        <v>1443</v>
      </c>
      <c r="H286" t="s">
        <v>1444</v>
      </c>
      <c r="I286" t="s">
        <v>1445</v>
      </c>
      <c r="J286" s="275" t="s">
        <v>1856</v>
      </c>
      <c r="K286" s="275" t="s">
        <v>1856</v>
      </c>
      <c r="L286" s="275">
        <v>15</v>
      </c>
      <c r="M286" s="10">
        <v>1</v>
      </c>
      <c r="N286" s="10"/>
    </row>
    <row r="287" spans="1:14" x14ac:dyDescent="0.2">
      <c r="A287">
        <f t="shared" si="4"/>
        <v>286</v>
      </c>
      <c r="B287" t="s">
        <v>418</v>
      </c>
      <c r="C287">
        <v>2</v>
      </c>
      <c r="D287">
        <v>514</v>
      </c>
      <c r="E287" s="2" t="str">
        <f>VLOOKUP( T_Aop[[#This Row],[Id]], T_Aop[], ID_Jezik + 9, 1)</f>
        <v>16.</v>
      </c>
      <c r="F287" t="str">
        <f>REPT( "  ", T_Aop[[#This Row],[Aop nivo]]) &amp; VLOOKUP( T_Aop[[#This Row],[Id]], T_Aop[], ID_Jezik + 6, 1)</f>
        <v xml:space="preserve">    1. Prilivi po osnovu kratkoročnih finansijskih plasmana</v>
      </c>
      <c r="G287" t="s">
        <v>176</v>
      </c>
      <c r="H287" t="s">
        <v>1446</v>
      </c>
      <c r="I287" t="s">
        <v>1447</v>
      </c>
      <c r="J287" s="275" t="s">
        <v>1857</v>
      </c>
      <c r="K287" s="275" t="s">
        <v>1857</v>
      </c>
      <c r="L287" s="275">
        <v>16</v>
      </c>
      <c r="M287" s="10"/>
      <c r="N287" s="10"/>
    </row>
    <row r="288" spans="1:14" x14ac:dyDescent="0.2">
      <c r="A288">
        <f t="shared" si="4"/>
        <v>287</v>
      </c>
      <c r="B288" t="s">
        <v>418</v>
      </c>
      <c r="C288">
        <v>2</v>
      </c>
      <c r="D288">
        <v>515</v>
      </c>
      <c r="E288" s="2" t="str">
        <f>VLOOKUP( T_Aop[[#This Row],[Id]], T_Aop[], ID_Jezik + 9, 1)</f>
        <v>17.</v>
      </c>
      <c r="F288" t="str">
        <f>REPT( "  ", T_Aop[[#This Row],[Aop nivo]]) &amp; VLOOKUP( T_Aop[[#This Row],[Id]], T_Aop[], ID_Jezik + 6, 1)</f>
        <v xml:space="preserve">    2. Prilivi po osnovu prodaje akcija i udjela</v>
      </c>
      <c r="G288" t="s">
        <v>174</v>
      </c>
      <c r="H288" t="s">
        <v>1448</v>
      </c>
      <c r="I288" t="s">
        <v>1449</v>
      </c>
      <c r="J288" s="275" t="s">
        <v>1858</v>
      </c>
      <c r="K288" s="275" t="s">
        <v>1858</v>
      </c>
      <c r="L288" s="275">
        <v>17</v>
      </c>
      <c r="M288" s="10"/>
      <c r="N288" s="10"/>
    </row>
    <row r="289" spans="1:14" x14ac:dyDescent="0.2">
      <c r="A289">
        <f t="shared" si="4"/>
        <v>288</v>
      </c>
      <c r="B289" t="s">
        <v>418</v>
      </c>
      <c r="C289">
        <v>2</v>
      </c>
      <c r="D289">
        <v>516</v>
      </c>
      <c r="E289" s="2" t="str">
        <f>VLOOKUP( T_Aop[[#This Row],[Id]], T_Aop[], ID_Jezik + 9, 1)</f>
        <v>18.</v>
      </c>
      <c r="F289" t="str">
        <f>REPT( "  ", T_Aop[[#This Row],[Aop nivo]]) &amp; VLOOKUP( T_Aop[[#This Row],[Id]], T_Aop[], ID_Jezik + 6, 1)</f>
        <v xml:space="preserve">    3. Prilivi po osnovu prodaje nematerijalnih sredstava, nekretnina, postrojenja, opreme, investicionih nekretnina i bioloških sredstava</v>
      </c>
      <c r="G289" t="s">
        <v>1916</v>
      </c>
      <c r="H289" s="12" t="s">
        <v>1918</v>
      </c>
      <c r="I289" t="s">
        <v>1450</v>
      </c>
      <c r="J289" s="275" t="s">
        <v>1859</v>
      </c>
      <c r="K289" s="275" t="s">
        <v>1859</v>
      </c>
      <c r="L289" s="275">
        <v>18</v>
      </c>
      <c r="M289" s="10"/>
      <c r="N289" s="10">
        <v>1</v>
      </c>
    </row>
    <row r="290" spans="1:14" x14ac:dyDescent="0.2">
      <c r="A290">
        <f t="shared" si="4"/>
        <v>289</v>
      </c>
      <c r="B290" t="s">
        <v>418</v>
      </c>
      <c r="C290">
        <v>2</v>
      </c>
      <c r="D290">
        <v>517</v>
      </c>
      <c r="E290" s="2" t="str">
        <f>VLOOKUP( T_Aop[[#This Row],[Id]], T_Aop[], ID_Jezik + 9, 1)</f>
        <v>19.</v>
      </c>
      <c r="F290" t="str">
        <f>REPT( "  ", T_Aop[[#This Row],[Aop nivo]]) &amp; VLOOKUP( T_Aop[[#This Row],[Id]], T_Aop[], ID_Jezik + 6, 1)</f>
        <v xml:space="preserve">    4. Prilivi po osnovu kamata</v>
      </c>
      <c r="G290" t="s">
        <v>59</v>
      </c>
      <c r="H290" t="s">
        <v>1451</v>
      </c>
      <c r="I290" t="s">
        <v>1452</v>
      </c>
      <c r="J290" s="275" t="s">
        <v>1860</v>
      </c>
      <c r="K290" s="275" t="s">
        <v>1860</v>
      </c>
      <c r="L290" s="275">
        <v>19</v>
      </c>
      <c r="M290" s="10"/>
      <c r="N290" s="10"/>
    </row>
    <row r="291" spans="1:14" x14ac:dyDescent="0.2">
      <c r="A291">
        <f t="shared" si="4"/>
        <v>290</v>
      </c>
      <c r="B291" t="s">
        <v>418</v>
      </c>
      <c r="C291">
        <v>2</v>
      </c>
      <c r="D291">
        <v>518</v>
      </c>
      <c r="E291" s="2" t="str">
        <f>VLOOKUP( T_Aop[[#This Row],[Id]], T_Aop[], ID_Jezik + 9, 1)</f>
        <v>20.</v>
      </c>
      <c r="F291" t="str">
        <f>REPT( "  ", T_Aop[[#This Row],[Aop nivo]]) &amp; VLOOKUP( T_Aop[[#This Row],[Id]], T_Aop[], ID_Jezik + 6, 1)</f>
        <v xml:space="preserve">    5. Prilivi od dividendi i učešća u dobitku</v>
      </c>
      <c r="G291" t="s">
        <v>177</v>
      </c>
      <c r="H291" t="s">
        <v>1453</v>
      </c>
      <c r="I291" t="s">
        <v>1454</v>
      </c>
      <c r="J291" s="275" t="s">
        <v>1861</v>
      </c>
      <c r="K291" s="275" t="s">
        <v>1861</v>
      </c>
      <c r="L291" s="275">
        <v>20</v>
      </c>
      <c r="M291" s="10"/>
      <c r="N291" s="10"/>
    </row>
    <row r="292" spans="1:14" x14ac:dyDescent="0.2">
      <c r="A292">
        <f t="shared" si="4"/>
        <v>291</v>
      </c>
      <c r="B292" t="s">
        <v>418</v>
      </c>
      <c r="C292">
        <v>2</v>
      </c>
      <c r="D292">
        <v>519</v>
      </c>
      <c r="E292" s="2" t="str">
        <f>VLOOKUP( T_Aop[[#This Row],[Id]], T_Aop[], ID_Jezik + 9, 1)</f>
        <v>21.</v>
      </c>
      <c r="F292" t="str">
        <f>REPT( "  ", T_Aop[[#This Row],[Aop nivo]]) &amp; VLOOKUP( T_Aop[[#This Row],[Id]], T_Aop[], ID_Jezik + 6, 1)</f>
        <v xml:space="preserve">    6. Prilivi po osnovu ostalih dugoročnih finansijskih plasmana</v>
      </c>
      <c r="G292" t="s">
        <v>178</v>
      </c>
      <c r="H292" t="s">
        <v>1455</v>
      </c>
      <c r="I292" t="s">
        <v>1456</v>
      </c>
      <c r="J292" s="275" t="s">
        <v>1862</v>
      </c>
      <c r="K292" s="275" t="s">
        <v>1862</v>
      </c>
      <c r="L292" s="275">
        <v>21</v>
      </c>
      <c r="M292" s="10"/>
      <c r="N292" s="10"/>
    </row>
    <row r="293" spans="1:14" x14ac:dyDescent="0.2">
      <c r="A293">
        <f t="shared" si="4"/>
        <v>292</v>
      </c>
      <c r="B293" t="s">
        <v>418</v>
      </c>
      <c r="C293">
        <v>1</v>
      </c>
      <c r="D293">
        <v>520</v>
      </c>
      <c r="E293" s="2" t="str">
        <f>VLOOKUP( T_Aop[[#This Row],[Id]], T_Aop[], ID_Jezik + 9, 1)</f>
        <v>22.</v>
      </c>
      <c r="F293" t="str">
        <f>REPT( "  ", T_Aop[[#This Row],[Aop nivo]]) &amp; VLOOKUP( T_Aop[[#This Row],[Id]], T_Aop[], ID_Jezik + 6, 1)</f>
        <v xml:space="preserve">  II - ODLIVI GOTOVINE IZ AKTIVNOSTI INVESTIRANJA (521 do 524)</v>
      </c>
      <c r="G293" t="s">
        <v>1457</v>
      </c>
      <c r="H293" t="s">
        <v>1458</v>
      </c>
      <c r="I293" t="s">
        <v>1459</v>
      </c>
      <c r="J293" s="275" t="s">
        <v>1863</v>
      </c>
      <c r="K293" s="275" t="s">
        <v>1863</v>
      </c>
      <c r="L293" s="275">
        <v>22</v>
      </c>
      <c r="M293" s="10">
        <v>1</v>
      </c>
      <c r="N293" s="10"/>
    </row>
    <row r="294" spans="1:14" x14ac:dyDescent="0.2">
      <c r="A294">
        <f t="shared" si="4"/>
        <v>293</v>
      </c>
      <c r="B294" t="s">
        <v>418</v>
      </c>
      <c r="C294">
        <v>2</v>
      </c>
      <c r="D294">
        <v>521</v>
      </c>
      <c r="E294" s="2" t="str">
        <f>VLOOKUP( T_Aop[[#This Row],[Id]], T_Aop[], ID_Jezik + 9, 1)</f>
        <v>23.</v>
      </c>
      <c r="F294" t="str">
        <f>REPT( "  ", T_Aop[[#This Row],[Aop nivo]]) &amp; VLOOKUP( T_Aop[[#This Row],[Id]], T_Aop[], ID_Jezik + 6, 1)</f>
        <v xml:space="preserve">    1. Odlivi po osnovu kratkoročnih finansijskih plasmana</v>
      </c>
      <c r="G294" t="s">
        <v>179</v>
      </c>
      <c r="H294" t="s">
        <v>1460</v>
      </c>
      <c r="I294" t="s">
        <v>1461</v>
      </c>
      <c r="J294" s="275" t="s">
        <v>1864</v>
      </c>
      <c r="K294" s="275" t="s">
        <v>1864</v>
      </c>
      <c r="L294" s="275">
        <v>23</v>
      </c>
      <c r="M294" s="10"/>
      <c r="N294" s="10"/>
    </row>
    <row r="295" spans="1:14" x14ac:dyDescent="0.2">
      <c r="A295">
        <f t="shared" si="4"/>
        <v>294</v>
      </c>
      <c r="B295" t="s">
        <v>418</v>
      </c>
      <c r="C295">
        <v>2</v>
      </c>
      <c r="D295">
        <v>522</v>
      </c>
      <c r="E295" s="2" t="str">
        <f>VLOOKUP( T_Aop[[#This Row],[Id]], T_Aop[], ID_Jezik + 9, 1)</f>
        <v>24.</v>
      </c>
      <c r="F295" t="str">
        <f>REPT( "  ", T_Aop[[#This Row],[Aop nivo]]) &amp; VLOOKUP( T_Aop[[#This Row],[Id]], T_Aop[], ID_Jezik + 6, 1)</f>
        <v xml:space="preserve">    2. Odlivi po osnovu kupovine akcija i udjela</v>
      </c>
      <c r="G295" t="s">
        <v>175</v>
      </c>
      <c r="H295" t="s">
        <v>1462</v>
      </c>
      <c r="I295" t="s">
        <v>1463</v>
      </c>
      <c r="J295" s="275" t="s">
        <v>1865</v>
      </c>
      <c r="K295" s="275" t="s">
        <v>1865</v>
      </c>
      <c r="L295" s="275">
        <v>24</v>
      </c>
      <c r="M295" s="10"/>
      <c r="N295" s="10"/>
    </row>
    <row r="296" spans="1:14" x14ac:dyDescent="0.2">
      <c r="A296">
        <f t="shared" si="4"/>
        <v>295</v>
      </c>
      <c r="B296" t="s">
        <v>418</v>
      </c>
      <c r="C296">
        <v>2</v>
      </c>
      <c r="D296">
        <v>523</v>
      </c>
      <c r="E296" s="2" t="str">
        <f>VLOOKUP( T_Aop[[#This Row],[Id]], T_Aop[], ID_Jezik + 9, 1)</f>
        <v>25.</v>
      </c>
      <c r="F296" t="str">
        <f>REPT( "  ", T_Aop[[#This Row],[Aop nivo]]) &amp; VLOOKUP( T_Aop[[#This Row],[Id]], T_Aop[], ID_Jezik + 6, 1)</f>
        <v xml:space="preserve">    3. Odlivi po osnovu kupovine nematerijalnih sredstava, nekretnina, postrojenja, opreme, investicionih nekretnina i bioloških sredstava</v>
      </c>
      <c r="G296" t="s">
        <v>1917</v>
      </c>
      <c r="H296" t="s">
        <v>1917</v>
      </c>
      <c r="I296" t="s">
        <v>1464</v>
      </c>
      <c r="J296" s="275" t="s">
        <v>1866</v>
      </c>
      <c r="K296" s="275" t="s">
        <v>1866</v>
      </c>
      <c r="L296" s="275">
        <v>25</v>
      </c>
      <c r="M296" s="10"/>
      <c r="N296" s="10">
        <v>1</v>
      </c>
    </row>
    <row r="297" spans="1:14" x14ac:dyDescent="0.2">
      <c r="A297">
        <f t="shared" si="4"/>
        <v>296</v>
      </c>
      <c r="B297" t="s">
        <v>418</v>
      </c>
      <c r="C297">
        <v>2</v>
      </c>
      <c r="D297">
        <v>524</v>
      </c>
      <c r="E297" s="2" t="str">
        <f>VLOOKUP( T_Aop[[#This Row],[Id]], T_Aop[], ID_Jezik + 9, 1)</f>
        <v>26.</v>
      </c>
      <c r="F297" t="str">
        <f>REPT( "  ", T_Aop[[#This Row],[Aop nivo]]) &amp; VLOOKUP( T_Aop[[#This Row],[Id]], T_Aop[], ID_Jezik + 6, 1)</f>
        <v xml:space="preserve">    4. Odlivi po osnovu ostalih dugoročnih finansijskih plasmana</v>
      </c>
      <c r="G297" t="s">
        <v>58</v>
      </c>
      <c r="H297" t="s">
        <v>1465</v>
      </c>
      <c r="I297" t="s">
        <v>1466</v>
      </c>
      <c r="J297" s="275" t="s">
        <v>1867</v>
      </c>
      <c r="K297" s="275" t="s">
        <v>1867</v>
      </c>
      <c r="L297" s="275">
        <v>26</v>
      </c>
      <c r="M297" s="10"/>
      <c r="N297" s="10"/>
    </row>
    <row r="298" spans="1:14" x14ac:dyDescent="0.2">
      <c r="A298">
        <f t="shared" si="4"/>
        <v>297</v>
      </c>
      <c r="B298" t="s">
        <v>418</v>
      </c>
      <c r="C298">
        <v>1</v>
      </c>
      <c r="D298">
        <v>525</v>
      </c>
      <c r="E298" s="2" t="str">
        <f>VLOOKUP( T_Aop[[#This Row],[Id]], T_Aop[], ID_Jezik + 9, 1)</f>
        <v>27.</v>
      </c>
      <c r="F298" t="str">
        <f>REPT( "  ", T_Aop[[#This Row],[Aop nivo]]) &amp; VLOOKUP( T_Aop[[#This Row],[Id]], T_Aop[], ID_Jezik + 6, 1)</f>
        <v xml:space="preserve">  III - NETO PRILIV GOTOVINE IZ AKTIVNOSTI INVESTIRANJA (513 - 520)</v>
      </c>
      <c r="G298" t="s">
        <v>1467</v>
      </c>
      <c r="H298" t="s">
        <v>1468</v>
      </c>
      <c r="I298" t="s">
        <v>1469</v>
      </c>
      <c r="J298" s="275" t="s">
        <v>1868</v>
      </c>
      <c r="K298" s="275" t="s">
        <v>1868</v>
      </c>
      <c r="L298" s="275">
        <v>27</v>
      </c>
      <c r="M298" s="10">
        <v>1</v>
      </c>
      <c r="N298" s="10"/>
    </row>
    <row r="299" spans="1:14" x14ac:dyDescent="0.2">
      <c r="A299">
        <f t="shared" si="4"/>
        <v>298</v>
      </c>
      <c r="B299" t="s">
        <v>418</v>
      </c>
      <c r="C299">
        <v>1</v>
      </c>
      <c r="D299">
        <v>526</v>
      </c>
      <c r="E299" s="2" t="str">
        <f>VLOOKUP( T_Aop[[#This Row],[Id]], T_Aop[], ID_Jezik + 9, 1)</f>
        <v>28.</v>
      </c>
      <c r="F299" t="str">
        <f>REPT( "  ", T_Aop[[#This Row],[Aop nivo]]) &amp; VLOOKUP( T_Aop[[#This Row],[Id]], T_Aop[], ID_Jezik + 6, 1)</f>
        <v xml:space="preserve">  IV - NETO ODLIV GOTOVINE IZ AKTIVNOSTI INVESTIRANJA (520 - 513)</v>
      </c>
      <c r="G299" t="s">
        <v>1470</v>
      </c>
      <c r="H299" t="s">
        <v>1471</v>
      </c>
      <c r="I299" t="s">
        <v>1472</v>
      </c>
      <c r="J299" s="275" t="s">
        <v>1869</v>
      </c>
      <c r="K299" s="275" t="s">
        <v>1869</v>
      </c>
      <c r="L299" s="275">
        <v>28</v>
      </c>
      <c r="M299" s="10">
        <v>1</v>
      </c>
      <c r="N299" s="10"/>
    </row>
    <row r="300" spans="1:14" x14ac:dyDescent="0.2">
      <c r="A300">
        <f t="shared" si="4"/>
        <v>299</v>
      </c>
      <c r="B300" t="s">
        <v>418</v>
      </c>
      <c r="C300">
        <v>0</v>
      </c>
      <c r="E300" s="2" t="str">
        <f>VLOOKUP( T_Aop[[#This Row],[Id]], T_Aop[], ID_Jezik + 9, 1)</f>
        <v>29.</v>
      </c>
      <c r="F300" t="str">
        <f>REPT( "  ", T_Aop[[#This Row],[Aop nivo]]) &amp; VLOOKUP( T_Aop[[#This Row],[Id]], T_Aop[], ID_Jezik + 6, 1)</f>
        <v>V. TOKOVI GOTOVINE IZ AKTIVNOSTI FINANSIRANJA</v>
      </c>
      <c r="G300" t="s">
        <v>180</v>
      </c>
      <c r="H300" t="s">
        <v>1473</v>
      </c>
      <c r="I300" t="s">
        <v>1474</v>
      </c>
      <c r="J300" s="275" t="s">
        <v>1870</v>
      </c>
      <c r="K300" s="275" t="s">
        <v>1870</v>
      </c>
      <c r="L300" s="275">
        <v>29</v>
      </c>
      <c r="M300" s="10">
        <v>1</v>
      </c>
      <c r="N300" s="10"/>
    </row>
    <row r="301" spans="1:14" x14ac:dyDescent="0.2">
      <c r="A301">
        <f t="shared" si="4"/>
        <v>300</v>
      </c>
      <c r="B301" t="s">
        <v>418</v>
      </c>
      <c r="C301">
        <v>1</v>
      </c>
      <c r="D301">
        <v>527</v>
      </c>
      <c r="E301" s="2" t="str">
        <f>VLOOKUP( T_Aop[[#This Row],[Id]], T_Aop[], ID_Jezik + 9, 1)</f>
        <v>30.</v>
      </c>
      <c r="F301" t="str">
        <f>REPT( "  ", T_Aop[[#This Row],[Aop nivo]]) &amp; VLOOKUP( T_Aop[[#This Row],[Id]], T_Aop[], ID_Jezik + 6, 1)</f>
        <v xml:space="preserve">  I - PRILIV GOTOVINE IZ AKTIVNOSTI FINANSIRANJA (528 do 531)</v>
      </c>
      <c r="G301" t="s">
        <v>1475</v>
      </c>
      <c r="H301" t="s">
        <v>1476</v>
      </c>
      <c r="I301" t="s">
        <v>1477</v>
      </c>
      <c r="J301" s="275" t="s">
        <v>1871</v>
      </c>
      <c r="K301" s="275" t="s">
        <v>1871</v>
      </c>
      <c r="L301" s="275">
        <v>30</v>
      </c>
      <c r="M301" s="10">
        <v>1</v>
      </c>
      <c r="N301" s="10"/>
    </row>
    <row r="302" spans="1:14" x14ac:dyDescent="0.2">
      <c r="A302">
        <f t="shared" si="4"/>
        <v>301</v>
      </c>
      <c r="B302" t="s">
        <v>418</v>
      </c>
      <c r="C302">
        <v>2</v>
      </c>
      <c r="D302">
        <v>528</v>
      </c>
      <c r="E302" s="2" t="str">
        <f>VLOOKUP( T_Aop[[#This Row],[Id]], T_Aop[], ID_Jezik + 9, 1)</f>
        <v>31.</v>
      </c>
      <c r="F302" t="str">
        <f>REPT( "  ", T_Aop[[#This Row],[Aop nivo]]) &amp; VLOOKUP( T_Aop[[#This Row],[Id]], T_Aop[], ID_Jezik + 6, 1)</f>
        <v xml:space="preserve">    1. Prilivi po osnovu povećanja osnovnog kapitala</v>
      </c>
      <c r="G302" t="s">
        <v>183</v>
      </c>
      <c r="H302" t="s">
        <v>1478</v>
      </c>
      <c r="I302" t="s">
        <v>1479</v>
      </c>
      <c r="J302" s="275" t="s">
        <v>1872</v>
      </c>
      <c r="K302" s="275" t="s">
        <v>1872</v>
      </c>
      <c r="L302" s="275">
        <v>31</v>
      </c>
      <c r="M302" s="10"/>
      <c r="N302" s="10"/>
    </row>
    <row r="303" spans="1:14" x14ac:dyDescent="0.2">
      <c r="A303">
        <f t="shared" si="4"/>
        <v>302</v>
      </c>
      <c r="B303" t="s">
        <v>418</v>
      </c>
      <c r="C303">
        <v>2</v>
      </c>
      <c r="D303">
        <v>529</v>
      </c>
      <c r="E303" s="2" t="str">
        <f>VLOOKUP( T_Aop[[#This Row],[Id]], T_Aop[], ID_Jezik + 9, 1)</f>
        <v>32.</v>
      </c>
      <c r="F303" t="str">
        <f>REPT( "  ", T_Aop[[#This Row],[Aop nivo]]) &amp; VLOOKUP( T_Aop[[#This Row],[Id]], T_Aop[], ID_Jezik + 6, 1)</f>
        <v xml:space="preserve">    2. Prilivi po osnovu dugoročnih kredita</v>
      </c>
      <c r="G303" t="s">
        <v>184</v>
      </c>
      <c r="H303" t="s">
        <v>1480</v>
      </c>
      <c r="I303" t="s">
        <v>1481</v>
      </c>
      <c r="J303" s="275" t="s">
        <v>1873</v>
      </c>
      <c r="K303" s="275" t="s">
        <v>1873</v>
      </c>
      <c r="L303" s="275">
        <v>32</v>
      </c>
      <c r="M303" s="10"/>
      <c r="N303" s="10"/>
    </row>
    <row r="304" spans="1:14" x14ac:dyDescent="0.2">
      <c r="A304">
        <f t="shared" si="4"/>
        <v>303</v>
      </c>
      <c r="B304" t="s">
        <v>418</v>
      </c>
      <c r="C304">
        <v>2</v>
      </c>
      <c r="D304">
        <v>530</v>
      </c>
      <c r="E304" s="2" t="str">
        <f>VLOOKUP( T_Aop[[#This Row],[Id]], T_Aop[], ID_Jezik + 9, 1)</f>
        <v>33.</v>
      </c>
      <c r="F304" t="str">
        <f>REPT( "  ", T_Aop[[#This Row],[Aop nivo]]) &amp; VLOOKUP( T_Aop[[#This Row],[Id]], T_Aop[], ID_Jezik + 6, 1)</f>
        <v xml:space="preserve">    3. Prilivi po osnovu kratkoročnih kredita</v>
      </c>
      <c r="G304" t="s">
        <v>185</v>
      </c>
      <c r="H304" t="s">
        <v>1482</v>
      </c>
      <c r="I304" t="s">
        <v>1483</v>
      </c>
      <c r="J304" s="275" t="s">
        <v>1874</v>
      </c>
      <c r="K304" s="275" t="s">
        <v>1874</v>
      </c>
      <c r="L304" s="275">
        <v>33</v>
      </c>
      <c r="M304" s="10"/>
      <c r="N304" s="10"/>
    </row>
    <row r="305" spans="1:14" x14ac:dyDescent="0.2">
      <c r="A305">
        <f t="shared" si="4"/>
        <v>304</v>
      </c>
      <c r="B305" t="s">
        <v>418</v>
      </c>
      <c r="C305">
        <v>2</v>
      </c>
      <c r="D305">
        <v>531</v>
      </c>
      <c r="E305" s="2" t="str">
        <f>VLOOKUP( T_Aop[[#This Row],[Id]], T_Aop[], ID_Jezik + 9, 1)</f>
        <v>34.</v>
      </c>
      <c r="F305" t="str">
        <f>REPT( "  ", T_Aop[[#This Row],[Aop nivo]]) &amp; VLOOKUP( T_Aop[[#This Row],[Id]], T_Aop[], ID_Jezik + 6, 1)</f>
        <v xml:space="preserve">    4. Prilivi po osnovu ostalih dugoročnih i kratkoročnih obaveza</v>
      </c>
      <c r="G305" t="s">
        <v>195</v>
      </c>
      <c r="H305" t="s">
        <v>1484</v>
      </c>
      <c r="I305" t="s">
        <v>1485</v>
      </c>
      <c r="J305" s="275" t="s">
        <v>1875</v>
      </c>
      <c r="K305" s="275" t="s">
        <v>1875</v>
      </c>
      <c r="L305" s="275">
        <v>34</v>
      </c>
      <c r="M305" s="10"/>
      <c r="N305" s="10"/>
    </row>
    <row r="306" spans="1:14" x14ac:dyDescent="0.2">
      <c r="A306">
        <f t="shared" si="4"/>
        <v>305</v>
      </c>
      <c r="B306" t="s">
        <v>418</v>
      </c>
      <c r="C306">
        <v>1</v>
      </c>
      <c r="D306">
        <v>532</v>
      </c>
      <c r="E306" s="2" t="str">
        <f>VLOOKUP( T_Aop[[#This Row],[Id]], T_Aop[], ID_Jezik + 9, 1)</f>
        <v>35.</v>
      </c>
      <c r="F306" t="str">
        <f>REPT( "  ", T_Aop[[#This Row],[Aop nivo]]) &amp; VLOOKUP( T_Aop[[#This Row],[Id]], T_Aop[], ID_Jezik + 6, 1)</f>
        <v xml:space="preserve">  II - ODLIVI GOTOVINE IZ AKTIVNOSTI FINANSIRANJA (533 do 538)</v>
      </c>
      <c r="G306" t="s">
        <v>1486</v>
      </c>
      <c r="H306" t="s">
        <v>1487</v>
      </c>
      <c r="I306" t="s">
        <v>1488</v>
      </c>
      <c r="J306" s="275" t="s">
        <v>1876</v>
      </c>
      <c r="K306" s="275" t="s">
        <v>1876</v>
      </c>
      <c r="L306" s="275">
        <v>35</v>
      </c>
      <c r="M306" s="10">
        <v>1</v>
      </c>
      <c r="N306" s="10"/>
    </row>
    <row r="307" spans="1:14" x14ac:dyDescent="0.2">
      <c r="A307">
        <f t="shared" si="4"/>
        <v>306</v>
      </c>
      <c r="B307" t="s">
        <v>418</v>
      </c>
      <c r="C307">
        <v>2</v>
      </c>
      <c r="D307">
        <v>533</v>
      </c>
      <c r="E307" s="2" t="str">
        <f>VLOOKUP( T_Aop[[#This Row],[Id]], T_Aop[], ID_Jezik + 9, 1)</f>
        <v>36.</v>
      </c>
      <c r="F307" t="str">
        <f>REPT( "  ", T_Aop[[#This Row],[Aop nivo]]) &amp; VLOOKUP( T_Aop[[#This Row],[Id]], T_Aop[], ID_Jezik + 6, 1)</f>
        <v xml:space="preserve">    1. Odlivi po osnovu otkupa sopstvenih akcija i udjela</v>
      </c>
      <c r="G307" t="s">
        <v>181</v>
      </c>
      <c r="H307" t="s">
        <v>1489</v>
      </c>
      <c r="I307" t="s">
        <v>1490</v>
      </c>
      <c r="J307" s="275" t="s">
        <v>1877</v>
      </c>
      <c r="K307" s="275" t="s">
        <v>1877</v>
      </c>
      <c r="L307" s="275">
        <v>36</v>
      </c>
      <c r="M307" s="10"/>
      <c r="N307" s="10"/>
    </row>
    <row r="308" spans="1:14" x14ac:dyDescent="0.2">
      <c r="A308">
        <f t="shared" si="4"/>
        <v>307</v>
      </c>
      <c r="B308" t="s">
        <v>418</v>
      </c>
      <c r="C308">
        <v>2</v>
      </c>
      <c r="D308">
        <v>534</v>
      </c>
      <c r="E308" s="2" t="str">
        <f>VLOOKUP( T_Aop[[#This Row],[Id]], T_Aop[], ID_Jezik + 9, 1)</f>
        <v>37.</v>
      </c>
      <c r="F308" t="str">
        <f>REPT( "  ", T_Aop[[#This Row],[Aop nivo]]) &amp; VLOOKUP( T_Aop[[#This Row],[Id]], T_Aop[], ID_Jezik + 6, 1)</f>
        <v xml:space="preserve">    2. Odlivi po osnovu dugoročnih kredita</v>
      </c>
      <c r="G308" t="s">
        <v>186</v>
      </c>
      <c r="H308" t="s">
        <v>1491</v>
      </c>
      <c r="I308" t="s">
        <v>1492</v>
      </c>
      <c r="J308" s="275" t="s">
        <v>1878</v>
      </c>
      <c r="K308" s="275" t="s">
        <v>1878</v>
      </c>
      <c r="L308" s="275">
        <v>37</v>
      </c>
      <c r="M308" s="10"/>
      <c r="N308" s="10"/>
    </row>
    <row r="309" spans="1:14" x14ac:dyDescent="0.2">
      <c r="A309">
        <f t="shared" si="4"/>
        <v>308</v>
      </c>
      <c r="B309" t="s">
        <v>418</v>
      </c>
      <c r="C309">
        <v>2</v>
      </c>
      <c r="D309">
        <v>535</v>
      </c>
      <c r="E309" s="2" t="str">
        <f>VLOOKUP( T_Aop[[#This Row],[Id]], T_Aop[], ID_Jezik + 9, 1)</f>
        <v>38.</v>
      </c>
      <c r="F309" t="str">
        <f>REPT( "  ", T_Aop[[#This Row],[Aop nivo]]) &amp; VLOOKUP( T_Aop[[#This Row],[Id]], T_Aop[], ID_Jezik + 6, 1)</f>
        <v xml:space="preserve">    3. Odlivi po osnovu kratkoročnih kredita</v>
      </c>
      <c r="G309" t="s">
        <v>187</v>
      </c>
      <c r="H309" t="s">
        <v>1493</v>
      </c>
      <c r="I309" t="s">
        <v>1494</v>
      </c>
      <c r="J309" s="275" t="s">
        <v>1879</v>
      </c>
      <c r="K309" s="275" t="s">
        <v>1879</v>
      </c>
      <c r="L309" s="275">
        <v>38</v>
      </c>
      <c r="M309" s="10"/>
      <c r="N309" s="10"/>
    </row>
    <row r="310" spans="1:14" x14ac:dyDescent="0.2">
      <c r="A310">
        <f t="shared" si="4"/>
        <v>309</v>
      </c>
      <c r="B310" t="s">
        <v>418</v>
      </c>
      <c r="C310">
        <v>2</v>
      </c>
      <c r="D310">
        <v>536</v>
      </c>
      <c r="E310" s="2" t="str">
        <f>VLOOKUP( T_Aop[[#This Row],[Id]], T_Aop[], ID_Jezik + 9, 1)</f>
        <v>39.</v>
      </c>
      <c r="F310" t="str">
        <f>REPT( "  ", T_Aop[[#This Row],[Aop nivo]]) &amp; VLOOKUP( T_Aop[[#This Row],[Id]], T_Aop[], ID_Jezik + 6, 1)</f>
        <v xml:space="preserve">    4. Odlivi po osnovu finansijskog lizinga</v>
      </c>
      <c r="G310" t="s">
        <v>182</v>
      </c>
      <c r="H310" t="s">
        <v>1495</v>
      </c>
      <c r="I310" t="s">
        <v>1496</v>
      </c>
      <c r="J310" s="275" t="s">
        <v>1880</v>
      </c>
      <c r="K310" s="275" t="s">
        <v>1880</v>
      </c>
      <c r="L310" s="275">
        <v>39</v>
      </c>
      <c r="M310" s="10"/>
      <c r="N310" s="10"/>
    </row>
    <row r="311" spans="1:14" x14ac:dyDescent="0.2">
      <c r="A311">
        <f t="shared" si="4"/>
        <v>310</v>
      </c>
      <c r="B311" t="s">
        <v>418</v>
      </c>
      <c r="C311">
        <v>2</v>
      </c>
      <c r="D311">
        <v>537</v>
      </c>
      <c r="E311" s="2" t="str">
        <f>VLOOKUP( T_Aop[[#This Row],[Id]], T_Aop[], ID_Jezik + 9, 1)</f>
        <v>40.</v>
      </c>
      <c r="F311" t="str">
        <f>REPT( "  ", T_Aop[[#This Row],[Aop nivo]]) &amp; VLOOKUP( T_Aop[[#This Row],[Id]], T_Aop[], ID_Jezik + 6, 1)</f>
        <v xml:space="preserve">    5. Odlivi po osnovu isplaćenih dividendi</v>
      </c>
      <c r="G311" t="s">
        <v>188</v>
      </c>
      <c r="H311" t="s">
        <v>1497</v>
      </c>
      <c r="I311" t="s">
        <v>1498</v>
      </c>
      <c r="J311" s="275" t="s">
        <v>1881</v>
      </c>
      <c r="K311" s="275" t="s">
        <v>1881</v>
      </c>
      <c r="L311" s="275">
        <v>40</v>
      </c>
      <c r="M311" s="10"/>
      <c r="N311" s="10"/>
    </row>
    <row r="312" spans="1:14" x14ac:dyDescent="0.2">
      <c r="A312">
        <f t="shared" si="4"/>
        <v>311</v>
      </c>
      <c r="B312" t="s">
        <v>418</v>
      </c>
      <c r="C312">
        <v>2</v>
      </c>
      <c r="D312">
        <v>538</v>
      </c>
      <c r="E312" s="2" t="str">
        <f>VLOOKUP( T_Aop[[#This Row],[Id]], T_Aop[], ID_Jezik + 9, 1)</f>
        <v>41.</v>
      </c>
      <c r="F312" t="str">
        <f>REPT( "  ", T_Aop[[#This Row],[Aop nivo]]) &amp; VLOOKUP( T_Aop[[#This Row],[Id]], T_Aop[], ID_Jezik + 6, 1)</f>
        <v xml:space="preserve">    6. Odlivi po osnovu ostalih dugoročnih i kratkoročnih obaveza</v>
      </c>
      <c r="G312" t="s">
        <v>189</v>
      </c>
      <c r="H312" t="s">
        <v>1499</v>
      </c>
      <c r="I312" t="s">
        <v>1500</v>
      </c>
      <c r="J312" s="275" t="s">
        <v>1882</v>
      </c>
      <c r="K312" s="275" t="s">
        <v>1882</v>
      </c>
      <c r="L312" s="275">
        <v>41</v>
      </c>
      <c r="M312" s="10"/>
      <c r="N312" s="10"/>
    </row>
    <row r="313" spans="1:14" x14ac:dyDescent="0.2">
      <c r="A313">
        <f t="shared" si="4"/>
        <v>312</v>
      </c>
      <c r="B313" t="s">
        <v>418</v>
      </c>
      <c r="C313">
        <v>1</v>
      </c>
      <c r="D313">
        <v>539</v>
      </c>
      <c r="E313" s="2" t="str">
        <f>VLOOKUP( T_Aop[[#This Row],[Id]], T_Aop[], ID_Jezik + 9, 1)</f>
        <v>42.</v>
      </c>
      <c r="F313" t="str">
        <f>REPT( "  ", T_Aop[[#This Row],[Aop nivo]]) &amp; VLOOKUP( T_Aop[[#This Row],[Id]], T_Aop[], ID_Jezik + 6, 1)</f>
        <v xml:space="preserve">  III - NETO PRILIV GOTOVINE IZ AKTIVNOST FINANSIRANJA (527 - 532)</v>
      </c>
      <c r="G313" t="s">
        <v>1501</v>
      </c>
      <c r="H313" t="s">
        <v>1502</v>
      </c>
      <c r="I313" t="s">
        <v>1503</v>
      </c>
      <c r="J313" s="275" t="s">
        <v>1883</v>
      </c>
      <c r="K313" s="275" t="s">
        <v>1883</v>
      </c>
      <c r="L313" s="275">
        <v>42</v>
      </c>
      <c r="M313" s="10">
        <v>1</v>
      </c>
      <c r="N313" s="10"/>
    </row>
    <row r="314" spans="1:14" x14ac:dyDescent="0.2">
      <c r="A314">
        <f t="shared" si="4"/>
        <v>313</v>
      </c>
      <c r="B314" t="s">
        <v>418</v>
      </c>
      <c r="C314">
        <v>1</v>
      </c>
      <c r="D314">
        <v>540</v>
      </c>
      <c r="E314" s="2" t="str">
        <f>VLOOKUP( T_Aop[[#This Row],[Id]], T_Aop[], ID_Jezik + 9, 1)</f>
        <v>43.</v>
      </c>
      <c r="F314" t="str">
        <f>REPT( "  ", T_Aop[[#This Row],[Aop nivo]]) &amp; VLOOKUP( T_Aop[[#This Row],[Id]], T_Aop[], ID_Jezik + 6, 1)</f>
        <v xml:space="preserve">  IV - NETO ODLIV GOTOVINE IZ AKTIVNOSTI FINANSIRANJA (532 - 527)</v>
      </c>
      <c r="G314" t="s">
        <v>1504</v>
      </c>
      <c r="H314" t="s">
        <v>1505</v>
      </c>
      <c r="I314" t="s">
        <v>1506</v>
      </c>
      <c r="J314" s="275" t="s">
        <v>1884</v>
      </c>
      <c r="K314" s="275" t="s">
        <v>1884</v>
      </c>
      <c r="L314" s="275">
        <v>43</v>
      </c>
      <c r="M314" s="10">
        <v>1</v>
      </c>
      <c r="N314" s="10"/>
    </row>
    <row r="315" spans="1:14" x14ac:dyDescent="0.2">
      <c r="A315">
        <f t="shared" si="4"/>
        <v>314</v>
      </c>
      <c r="B315" t="s">
        <v>418</v>
      </c>
      <c r="C315">
        <v>0</v>
      </c>
      <c r="D315">
        <v>541</v>
      </c>
      <c r="E315" s="2" t="str">
        <f>VLOOKUP( T_Aop[[#This Row],[Id]], T_Aop[], ID_Jezik + 9, 1)</f>
        <v>44.</v>
      </c>
      <c r="F315" t="str">
        <f>REPT( "  ", T_Aop[[#This Row],[Aop nivo]]) &amp; VLOOKUP( T_Aop[[#This Row],[Id]], T_Aop[], ID_Jezik + 6, 1)</f>
        <v>G. UKUPNI PRILIVI GOTOVINE (501 + 513 + 527)</v>
      </c>
      <c r="G315" t="s">
        <v>1507</v>
      </c>
      <c r="H315" t="s">
        <v>1508</v>
      </c>
      <c r="I315" t="s">
        <v>1509</v>
      </c>
      <c r="J315" s="275" t="s">
        <v>1885</v>
      </c>
      <c r="K315" s="275" t="s">
        <v>1885</v>
      </c>
      <c r="L315" s="275">
        <v>44</v>
      </c>
      <c r="M315" s="10">
        <v>1</v>
      </c>
      <c r="N315" s="10"/>
    </row>
    <row r="316" spans="1:14" x14ac:dyDescent="0.2">
      <c r="A316">
        <f t="shared" si="4"/>
        <v>315</v>
      </c>
      <c r="B316" t="s">
        <v>418</v>
      </c>
      <c r="C316">
        <v>0</v>
      </c>
      <c r="D316">
        <v>542</v>
      </c>
      <c r="E316" s="2" t="str">
        <f>VLOOKUP( T_Aop[[#This Row],[Id]], T_Aop[], ID_Jezik + 9, 1)</f>
        <v>45.</v>
      </c>
      <c r="F316" t="str">
        <f>REPT( "  ", T_Aop[[#This Row],[Aop nivo]]) &amp; VLOOKUP( T_Aop[[#This Row],[Id]], T_Aop[], ID_Jezik + 6, 1)</f>
        <v>D. UKUPNI ODLIVI GOTOVINE (505 + 520 + 532)</v>
      </c>
      <c r="G316" s="13" t="s">
        <v>1510</v>
      </c>
      <c r="H316" t="s">
        <v>1511</v>
      </c>
      <c r="I316" t="s">
        <v>1512</v>
      </c>
      <c r="J316" s="275" t="s">
        <v>1886</v>
      </c>
      <c r="K316" s="275" t="s">
        <v>1886</v>
      </c>
      <c r="L316" s="275">
        <v>45</v>
      </c>
      <c r="M316" s="10">
        <v>1</v>
      </c>
      <c r="N316" s="10"/>
    </row>
    <row r="317" spans="1:14" x14ac:dyDescent="0.2">
      <c r="A317">
        <f t="shared" si="4"/>
        <v>316</v>
      </c>
      <c r="B317" t="s">
        <v>418</v>
      </c>
      <c r="C317">
        <v>0</v>
      </c>
      <c r="D317">
        <v>543</v>
      </c>
      <c r="E317" s="2" t="str">
        <f>VLOOKUP( T_Aop[[#This Row],[Id]], T_Aop[], ID_Jezik + 9, 1)</f>
        <v>46.</v>
      </c>
      <c r="F317" t="str">
        <f>REPT( "  ", T_Aop[[#This Row],[Aop nivo]]) &amp; VLOOKUP( T_Aop[[#This Row],[Id]], T_Aop[], ID_Jezik + 6, 1)</f>
        <v>Đ. NETO PRILIV GOTOVINE (541 - 542)</v>
      </c>
      <c r="G317" t="s">
        <v>1513</v>
      </c>
      <c r="H317" t="s">
        <v>1514</v>
      </c>
      <c r="I317" t="s">
        <v>1515</v>
      </c>
      <c r="J317" s="275" t="s">
        <v>1887</v>
      </c>
      <c r="K317" s="276" t="s">
        <v>1887</v>
      </c>
      <c r="L317" s="275">
        <v>46</v>
      </c>
      <c r="M317" s="10">
        <v>1</v>
      </c>
      <c r="N317" s="10"/>
    </row>
    <row r="318" spans="1:14" x14ac:dyDescent="0.2">
      <c r="A318">
        <f t="shared" si="4"/>
        <v>317</v>
      </c>
      <c r="B318" t="s">
        <v>418</v>
      </c>
      <c r="C318">
        <v>0</v>
      </c>
      <c r="D318">
        <v>544</v>
      </c>
      <c r="E318" s="2" t="str">
        <f>VLOOKUP( T_Aop[[#This Row],[Id]], T_Aop[], ID_Jezik + 9, 1)</f>
        <v>47.</v>
      </c>
      <c r="F318" t="str">
        <f>REPT( "  ", T_Aop[[#This Row],[Aop nivo]]) &amp; VLOOKUP( T_Aop[[#This Row],[Id]], T_Aop[], ID_Jezik + 6, 1)</f>
        <v>E. NETO ODLIV GOTOVINE (542 - 541)</v>
      </c>
      <c r="G318" t="s">
        <v>1516</v>
      </c>
      <c r="H318" t="s">
        <v>1517</v>
      </c>
      <c r="I318" t="s">
        <v>1518</v>
      </c>
      <c r="J318" s="275" t="s">
        <v>1888</v>
      </c>
      <c r="K318" s="275" t="s">
        <v>1888</v>
      </c>
      <c r="L318" s="275">
        <v>47</v>
      </c>
      <c r="M318" s="10">
        <v>1</v>
      </c>
      <c r="N318" s="10"/>
    </row>
    <row r="319" spans="1:14" x14ac:dyDescent="0.2">
      <c r="A319">
        <f t="shared" si="4"/>
        <v>318</v>
      </c>
      <c r="B319" t="s">
        <v>418</v>
      </c>
      <c r="C319">
        <v>0</v>
      </c>
      <c r="D319">
        <v>545</v>
      </c>
      <c r="E319" s="2" t="str">
        <f>VLOOKUP( T_Aop[[#This Row],[Id]], T_Aop[], ID_Jezik + 9, 1)</f>
        <v>48.</v>
      </c>
      <c r="F319" t="str">
        <f>REPT( "  ", T_Aop[[#This Row],[Aop nivo]]) &amp; VLOOKUP( T_Aop[[#This Row],[Id]], T_Aop[], ID_Jezik + 6, 1)</f>
        <v>Ž. GOTOVINA NA POČETKU OBRAČUNSKOG PERIODA</v>
      </c>
      <c r="G319" t="s">
        <v>190</v>
      </c>
      <c r="H319" t="s">
        <v>1519</v>
      </c>
      <c r="I319" t="s">
        <v>1520</v>
      </c>
      <c r="J319" s="275" t="s">
        <v>1889</v>
      </c>
      <c r="K319" s="275" t="s">
        <v>1889</v>
      </c>
      <c r="L319" s="275">
        <v>48</v>
      </c>
      <c r="M319" s="10">
        <v>1</v>
      </c>
      <c r="N319" s="10"/>
    </row>
    <row r="320" spans="1:14" x14ac:dyDescent="0.2">
      <c r="A320">
        <f t="shared" si="4"/>
        <v>319</v>
      </c>
      <c r="B320" t="s">
        <v>418</v>
      </c>
      <c r="C320">
        <v>0</v>
      </c>
      <c r="D320">
        <v>546</v>
      </c>
      <c r="E320" s="2" t="str">
        <f>VLOOKUP( T_Aop[[#This Row],[Id]], T_Aop[], ID_Jezik + 9, 1)</f>
        <v>49.</v>
      </c>
      <c r="F320" t="str">
        <f>REPT( "  ", T_Aop[[#This Row],[Aop nivo]]) &amp; VLOOKUP( T_Aop[[#This Row],[Id]], T_Aop[], ID_Jezik + 6, 1)</f>
        <v>Z. POZITIVNE KURSNE RAZLIKE PO OSNOVU PRERAČUNA GOTOVINE</v>
      </c>
      <c r="G320" t="s">
        <v>191</v>
      </c>
      <c r="H320" t="s">
        <v>1521</v>
      </c>
      <c r="I320" t="s">
        <v>1522</v>
      </c>
      <c r="J320" s="275" t="s">
        <v>1890</v>
      </c>
      <c r="K320" s="275" t="s">
        <v>1890</v>
      </c>
      <c r="L320" s="275">
        <v>49</v>
      </c>
      <c r="M320" s="10">
        <v>1</v>
      </c>
      <c r="N320" s="10"/>
    </row>
    <row r="321" spans="1:14" x14ac:dyDescent="0.2">
      <c r="A321">
        <f t="shared" si="4"/>
        <v>320</v>
      </c>
      <c r="B321" t="s">
        <v>418</v>
      </c>
      <c r="C321">
        <v>0</v>
      </c>
      <c r="D321">
        <v>547</v>
      </c>
      <c r="E321" s="2" t="str">
        <f>VLOOKUP( T_Aop[[#This Row],[Id]], T_Aop[], ID_Jezik + 9, 1)</f>
        <v>50.</v>
      </c>
      <c r="F321" t="str">
        <f>REPT( "  ", T_Aop[[#This Row],[Aop nivo]]) &amp; VLOOKUP( T_Aop[[#This Row],[Id]], T_Aop[], ID_Jezik + 6, 1)</f>
        <v>I. NEGATIVNE KURSNE RAZLIKE PO OSNOVU PRERAČUNA GOTOVINE</v>
      </c>
      <c r="G321" t="s">
        <v>196</v>
      </c>
      <c r="H321" t="s">
        <v>1523</v>
      </c>
      <c r="I321" t="s">
        <v>1524</v>
      </c>
      <c r="J321" s="275" t="s">
        <v>1891</v>
      </c>
      <c r="K321" s="275" t="s">
        <v>1891</v>
      </c>
      <c r="L321" s="275">
        <v>50</v>
      </c>
      <c r="M321" s="10">
        <v>1</v>
      </c>
      <c r="N321" s="10"/>
    </row>
    <row r="322" spans="1:14" x14ac:dyDescent="0.2">
      <c r="A322">
        <f t="shared" ref="A322:A385" si="5">ROW()-ROW($A$1)</f>
        <v>321</v>
      </c>
      <c r="B322" t="s">
        <v>418</v>
      </c>
      <c r="C322">
        <v>0</v>
      </c>
      <c r="D322">
        <v>548</v>
      </c>
      <c r="E322" s="2" t="str">
        <f>VLOOKUP( T_Aop[[#This Row],[Id]], T_Aop[], ID_Jezik + 9, 1)</f>
        <v>51.</v>
      </c>
      <c r="F322" t="str">
        <f>REPT( "  ", T_Aop[[#This Row],[Aop nivo]]) &amp; VLOOKUP( T_Aop[[#This Row],[Id]], T_Aop[], ID_Jezik + 6, 1)</f>
        <v>J. GOTOVINA NA KRAJU OBRAČUNSKOG PERIODA (545 + 543 - 544 + 546 - 547)</v>
      </c>
      <c r="G322" t="s">
        <v>1525</v>
      </c>
      <c r="H322" t="s">
        <v>1526</v>
      </c>
      <c r="I322" t="s">
        <v>1527</v>
      </c>
      <c r="J322" s="275" t="s">
        <v>1892</v>
      </c>
      <c r="K322" s="275" t="s">
        <v>1892</v>
      </c>
      <c r="L322" s="275">
        <v>51</v>
      </c>
      <c r="M322" s="10">
        <v>1</v>
      </c>
      <c r="N322" s="10"/>
    </row>
    <row r="323" spans="1:14" x14ac:dyDescent="0.2">
      <c r="A323">
        <f t="shared" si="5"/>
        <v>322</v>
      </c>
      <c r="B323" t="s">
        <v>419</v>
      </c>
      <c r="C323">
        <v>0</v>
      </c>
      <c r="D323">
        <v>601</v>
      </c>
      <c r="E323" s="2" t="str">
        <f>VLOOKUP( T_Aop[[#This Row],[Id]], T_Aop[], ID_Jezik + 9, 1)</f>
        <v>010</v>
      </c>
      <c r="F323" t="str">
        <f>REPT( "  ", T_Aop[[#This Row],[Aop nivo]]) &amp; VLOOKUP( T_Aop[[#This Row],[Id]], T_Aop[], ID_Jezik + 6, 1)</f>
        <v>Ulaganja u istraživanje i razvoj (dugovni promet bez početnog stanja)</v>
      </c>
      <c r="G323" t="s">
        <v>1528</v>
      </c>
      <c r="H323" t="s">
        <v>1529</v>
      </c>
      <c r="I323" t="s">
        <v>1530</v>
      </c>
      <c r="J323" s="275" t="s">
        <v>1910</v>
      </c>
      <c r="K323" s="275" t="s">
        <v>1910</v>
      </c>
      <c r="L323" s="275" t="s">
        <v>1910</v>
      </c>
      <c r="M323" s="10"/>
      <c r="N323" s="10"/>
    </row>
    <row r="324" spans="1:14" x14ac:dyDescent="0.2">
      <c r="A324">
        <f t="shared" si="5"/>
        <v>323</v>
      </c>
      <c r="B324" t="s">
        <v>419</v>
      </c>
      <c r="C324">
        <v>0</v>
      </c>
      <c r="D324">
        <v>602</v>
      </c>
      <c r="E324" s="2" t="str">
        <f>VLOOKUP( T_Aop[[#This Row],[Id]], T_Aop[], ID_Jezik + 9, 1)</f>
        <v>201, dio 200</v>
      </c>
      <c r="F324" t="str">
        <f>REPT( "  ", T_Aop[[#This Row],[Aop nivo]]) &amp; VLOOKUP( T_Aop[[#This Row],[Id]], T_Aop[], ID_Jezik + 6, 1)</f>
        <v>Kupci iz Republike Srpske i kupci - povezana pravna lica iz RS (dugovni promet bez početnog stanja)</v>
      </c>
      <c r="G324" t="s">
        <v>1531</v>
      </c>
      <c r="H324" t="s">
        <v>1532</v>
      </c>
      <c r="I324" t="s">
        <v>1533</v>
      </c>
      <c r="J324" s="275" t="s">
        <v>1769</v>
      </c>
      <c r="K324" s="276" t="s">
        <v>1770</v>
      </c>
      <c r="L324" s="275" t="s">
        <v>1771</v>
      </c>
      <c r="M324" s="10"/>
      <c r="N324" s="10">
        <v>1</v>
      </c>
    </row>
    <row r="325" spans="1:14" x14ac:dyDescent="0.2">
      <c r="A325">
        <f t="shared" si="5"/>
        <v>324</v>
      </c>
      <c r="B325" t="s">
        <v>419</v>
      </c>
      <c r="C325">
        <v>0</v>
      </c>
      <c r="D325">
        <v>603</v>
      </c>
      <c r="E325" s="2" t="str">
        <f>VLOOKUP( T_Aop[[#This Row],[Id]], T_Aop[], ID_Jezik + 9, 1)</f>
        <v>202, dio 200</v>
      </c>
      <c r="F325" t="str">
        <f>REPT( "  ", T_Aop[[#This Row],[Aop nivo]]) &amp; VLOOKUP( T_Aop[[#This Row],[Id]], T_Aop[], ID_Jezik + 6, 1)</f>
        <v>Kupci iz Federacije BiH i kupci - povezana pravna lica iz FBiH (dugovni promet bez početnog stanja)</v>
      </c>
      <c r="G325" t="s">
        <v>1534</v>
      </c>
      <c r="H325" t="s">
        <v>1535</v>
      </c>
      <c r="I325" t="s">
        <v>1536</v>
      </c>
      <c r="J325" s="275" t="s">
        <v>1772</v>
      </c>
      <c r="K325" s="276" t="s">
        <v>1773</v>
      </c>
      <c r="L325" s="275" t="s">
        <v>1774</v>
      </c>
      <c r="M325" s="10"/>
      <c r="N325" s="10">
        <v>1</v>
      </c>
    </row>
    <row r="326" spans="1:14" x14ac:dyDescent="0.2">
      <c r="A326">
        <f t="shared" si="5"/>
        <v>325</v>
      </c>
      <c r="B326" t="s">
        <v>419</v>
      </c>
      <c r="C326">
        <v>0</v>
      </c>
      <c r="D326">
        <v>604</v>
      </c>
      <c r="E326" s="2" t="str">
        <f>VLOOKUP( T_Aop[[#This Row],[Id]], T_Aop[], ID_Jezik + 9, 1)</f>
        <v>203, dio 200</v>
      </c>
      <c r="F326" t="str">
        <f>REPT( "  ", T_Aop[[#This Row],[Aop nivo]]) &amp; VLOOKUP( T_Aop[[#This Row],[Id]], T_Aop[], ID_Jezik + 6, 1)</f>
        <v>Kupci iz Brčko Distrikta BiH i kupci - povezana pravna lica iz BD (dugovni promet bez početnog stanja)</v>
      </c>
      <c r="G326" t="s">
        <v>1537</v>
      </c>
      <c r="H326" t="s">
        <v>1538</v>
      </c>
      <c r="I326" t="s">
        <v>1539</v>
      </c>
      <c r="J326" s="275" t="s">
        <v>1775</v>
      </c>
      <c r="K326" s="275" t="s">
        <v>1776</v>
      </c>
      <c r="L326" s="275" t="s">
        <v>1777</v>
      </c>
      <c r="M326" s="10"/>
      <c r="N326" s="10">
        <v>1</v>
      </c>
    </row>
    <row r="327" spans="1:14" x14ac:dyDescent="0.2">
      <c r="A327">
        <f t="shared" si="5"/>
        <v>326</v>
      </c>
      <c r="B327" t="s">
        <v>419</v>
      </c>
      <c r="C327">
        <v>0</v>
      </c>
      <c r="D327">
        <v>605</v>
      </c>
      <c r="E327" s="2" t="str">
        <f>VLOOKUP( T_Aop[[#This Row],[Id]], T_Aop[], ID_Jezik + 9, 1)</f>
        <v>432, dio 431</v>
      </c>
      <c r="F327" t="str">
        <f>REPT( "  ", T_Aop[[#This Row],[Aop nivo]]) &amp; VLOOKUP( T_Aop[[#This Row],[Id]], T_Aop[], ID_Jezik + 6, 1)</f>
        <v>Dobavljači iz Republike Srpske i dobavljači - povezana pravna lica iz RS (potražni promet bez početnog stanja)</v>
      </c>
      <c r="G327" t="s">
        <v>1540</v>
      </c>
      <c r="H327" t="s">
        <v>1541</v>
      </c>
      <c r="I327" t="s">
        <v>1542</v>
      </c>
      <c r="J327" s="275" t="s">
        <v>1778</v>
      </c>
      <c r="K327" s="275" t="s">
        <v>1779</v>
      </c>
      <c r="L327" s="275" t="s">
        <v>1780</v>
      </c>
      <c r="M327" s="10"/>
      <c r="N327" s="10">
        <v>1</v>
      </c>
    </row>
    <row r="328" spans="1:14" x14ac:dyDescent="0.2">
      <c r="A328">
        <f t="shared" si="5"/>
        <v>327</v>
      </c>
      <c r="B328" t="s">
        <v>419</v>
      </c>
      <c r="C328">
        <v>0</v>
      </c>
      <c r="D328">
        <v>606</v>
      </c>
      <c r="E328" s="2" t="str">
        <f>VLOOKUP( T_Aop[[#This Row],[Id]], T_Aop[], ID_Jezik + 9, 1)</f>
        <v>433, dio 431</v>
      </c>
      <c r="F328" t="str">
        <f>REPT( "  ", T_Aop[[#This Row],[Aop nivo]]) &amp; VLOOKUP( T_Aop[[#This Row],[Id]], T_Aop[], ID_Jezik + 6, 1)</f>
        <v>Dobavljači iz Federacije BiH i dobavljači - povezana pravna lica iz FBiH (potražni promet bez početnog stanja)</v>
      </c>
      <c r="G328" t="s">
        <v>1543</v>
      </c>
      <c r="H328" t="s">
        <v>1544</v>
      </c>
      <c r="I328" t="s">
        <v>1545</v>
      </c>
      <c r="J328" s="275" t="s">
        <v>1781</v>
      </c>
      <c r="K328" s="276" t="s">
        <v>1782</v>
      </c>
      <c r="L328" s="275" t="s">
        <v>1783</v>
      </c>
      <c r="M328" s="10"/>
      <c r="N328" s="10">
        <v>1</v>
      </c>
    </row>
    <row r="329" spans="1:14" x14ac:dyDescent="0.2">
      <c r="A329">
        <f t="shared" si="5"/>
        <v>328</v>
      </c>
      <c r="B329" t="s">
        <v>419</v>
      </c>
      <c r="C329">
        <v>0</v>
      </c>
      <c r="D329">
        <v>607</v>
      </c>
      <c r="E329" s="2" t="str">
        <f>VLOOKUP( T_Aop[[#This Row],[Id]], T_Aop[], ID_Jezik + 9, 1)</f>
        <v>434, dio 431</v>
      </c>
      <c r="F329" t="str">
        <f>REPT( "  ", T_Aop[[#This Row],[Aop nivo]]) &amp; VLOOKUP( T_Aop[[#This Row],[Id]], T_Aop[], ID_Jezik + 6, 1)</f>
        <v>Dobavljači iz Brčko Distrikta BiH i dobavljači - povezana pravna lica iz DB (potražni promet bez početnog stanja)</v>
      </c>
      <c r="G329" t="s">
        <v>1546</v>
      </c>
      <c r="H329" t="s">
        <v>1547</v>
      </c>
      <c r="I329" t="s">
        <v>1548</v>
      </c>
      <c r="J329" s="275" t="s">
        <v>1784</v>
      </c>
      <c r="K329" s="276" t="s">
        <v>1785</v>
      </c>
      <c r="L329" s="275" t="s">
        <v>1786</v>
      </c>
      <c r="M329" s="10"/>
      <c r="N329" s="10">
        <v>1</v>
      </c>
    </row>
    <row r="330" spans="1:14" x14ac:dyDescent="0.2">
      <c r="A330">
        <f t="shared" si="5"/>
        <v>329</v>
      </c>
      <c r="B330" t="s">
        <v>419</v>
      </c>
      <c r="C330">
        <v>0</v>
      </c>
      <c r="D330">
        <v>608</v>
      </c>
      <c r="E330" s="2" t="str">
        <f>VLOOKUP( T_Aop[[#This Row],[Id]], T_Aop[], ID_Jezik + 9, 1)</f>
        <v>601, dio 600</v>
      </c>
      <c r="F330" t="str">
        <f>REPT( "  ", T_Aop[[#This Row],[Aop nivo]]) &amp; VLOOKUP( T_Aop[[#This Row],[Id]], T_Aop[], ID_Jezik + 6, 1)</f>
        <v>Prihodi od prodaje robe u Republici Srpskoj i prihodi od prodaje robe povezanim pravnim licima u RS</v>
      </c>
      <c r="G330" t="s">
        <v>1549</v>
      </c>
      <c r="H330" t="s">
        <v>1550</v>
      </c>
      <c r="I330" t="s">
        <v>1551</v>
      </c>
      <c r="J330" s="275" t="s">
        <v>1787</v>
      </c>
      <c r="K330" s="276" t="s">
        <v>1788</v>
      </c>
      <c r="L330" s="275" t="s">
        <v>1789</v>
      </c>
      <c r="M330" s="10"/>
      <c r="N330" s="10">
        <v>1</v>
      </c>
    </row>
    <row r="331" spans="1:14" x14ac:dyDescent="0.2">
      <c r="A331">
        <f t="shared" si="5"/>
        <v>330</v>
      </c>
      <c r="B331" t="s">
        <v>419</v>
      </c>
      <c r="C331">
        <v>0</v>
      </c>
      <c r="D331">
        <v>609</v>
      </c>
      <c r="E331" s="2" t="str">
        <f>VLOOKUP( T_Aop[[#This Row],[Id]], T_Aop[], ID_Jezik + 9, 1)</f>
        <v>602, dio 600</v>
      </c>
      <c r="F331" t="str">
        <f>REPT( "  ", T_Aop[[#This Row],[Aop nivo]]) &amp; VLOOKUP( T_Aop[[#This Row],[Id]], T_Aop[], ID_Jezik + 6, 1)</f>
        <v>Prihodi od prodaje robe u Federaciji BiH i prihodi od prodaje robe povezanim pravnim licima u FBiH</v>
      </c>
      <c r="G331" t="s">
        <v>1552</v>
      </c>
      <c r="H331" t="s">
        <v>1553</v>
      </c>
      <c r="I331" t="s">
        <v>1554</v>
      </c>
      <c r="J331" s="275" t="s">
        <v>1790</v>
      </c>
      <c r="K331" s="276" t="s">
        <v>1791</v>
      </c>
      <c r="L331" s="275" t="s">
        <v>1792</v>
      </c>
      <c r="M331" s="10"/>
      <c r="N331" s="10">
        <v>1</v>
      </c>
    </row>
    <row r="332" spans="1:14" x14ac:dyDescent="0.2">
      <c r="A332">
        <f t="shared" si="5"/>
        <v>331</v>
      </c>
      <c r="B332" t="s">
        <v>419</v>
      </c>
      <c r="C332">
        <v>0</v>
      </c>
      <c r="D332">
        <v>610</v>
      </c>
      <c r="E332" s="2" t="str">
        <f>VLOOKUP( T_Aop[[#This Row],[Id]], T_Aop[], ID_Jezik + 9, 1)</f>
        <v>603, dio 600</v>
      </c>
      <c r="F332" t="str">
        <f>REPT( "  ", T_Aop[[#This Row],[Aop nivo]]) &amp; VLOOKUP( T_Aop[[#This Row],[Id]], T_Aop[], ID_Jezik + 6, 1)</f>
        <v>Prihodi od prodaje robe u Brčko Distriktu BiH i prihodi od prodaje robe povezanim pravnim licima u BD</v>
      </c>
      <c r="G332" t="s">
        <v>1555</v>
      </c>
      <c r="H332" t="s">
        <v>1556</v>
      </c>
      <c r="I332" t="s">
        <v>1557</v>
      </c>
      <c r="J332" s="275" t="s">
        <v>1793</v>
      </c>
      <c r="K332" s="276" t="s">
        <v>1794</v>
      </c>
      <c r="L332" s="275" t="s">
        <v>1795</v>
      </c>
      <c r="M332" s="10"/>
      <c r="N332" s="10">
        <v>1</v>
      </c>
    </row>
    <row r="333" spans="1:14" x14ac:dyDescent="0.2">
      <c r="A333">
        <f t="shared" si="5"/>
        <v>332</v>
      </c>
      <c r="B333" t="s">
        <v>419</v>
      </c>
      <c r="C333">
        <v>0</v>
      </c>
      <c r="D333">
        <v>611</v>
      </c>
      <c r="E333" s="2" t="str">
        <f>VLOOKUP( T_Aop[[#This Row],[Id]], T_Aop[], ID_Jezik + 9, 1)</f>
        <v>dio 61</v>
      </c>
      <c r="F333" t="str">
        <f>REPT( "  ", T_Aop[[#This Row],[Aop nivo]]) &amp; VLOOKUP( T_Aop[[#This Row],[Id]], T_Aop[], ID_Jezik + 6, 1)</f>
        <v>Prihodi od prodaje proizvoda</v>
      </c>
      <c r="G333" t="s">
        <v>1967</v>
      </c>
      <c r="H333" t="s">
        <v>1996</v>
      </c>
      <c r="I333" t="s">
        <v>1984</v>
      </c>
      <c r="J333" s="275" t="s">
        <v>1962</v>
      </c>
      <c r="K333" s="276" t="s">
        <v>1966</v>
      </c>
      <c r="L333" s="275" t="s">
        <v>1965</v>
      </c>
      <c r="M333" s="10"/>
      <c r="N333" s="10"/>
    </row>
    <row r="334" spans="1:14" x14ac:dyDescent="0.2">
      <c r="A334">
        <f t="shared" si="5"/>
        <v>333</v>
      </c>
      <c r="B334" t="s">
        <v>419</v>
      </c>
      <c r="C334">
        <v>0</v>
      </c>
      <c r="D334">
        <v>612</v>
      </c>
      <c r="E334" s="2" t="str">
        <f>VLOOKUP( T_Aop[[#This Row],[Id]], T_Aop[], ID_Jezik + 9, 1)</f>
        <v>dio 61</v>
      </c>
      <c r="F334" t="str">
        <f>REPT( "  ", T_Aop[[#This Row],[Aop nivo]]) &amp; VLOOKUP( T_Aop[[#This Row],[Id]], T_Aop[], ID_Jezik + 6, 1)</f>
        <v>Prihodi od prodaje usluga</v>
      </c>
      <c r="G334" t="s">
        <v>1968</v>
      </c>
      <c r="H334" t="s">
        <v>1995</v>
      </c>
      <c r="I334" t="s">
        <v>1985</v>
      </c>
      <c r="J334" s="275" t="s">
        <v>1962</v>
      </c>
      <c r="K334" s="276" t="s">
        <v>1966</v>
      </c>
      <c r="L334" s="275" t="s">
        <v>1965</v>
      </c>
      <c r="M334" s="10"/>
      <c r="N334" s="10"/>
    </row>
    <row r="335" spans="1:14" x14ac:dyDescent="0.2">
      <c r="A335">
        <f t="shared" si="5"/>
        <v>334</v>
      </c>
      <c r="B335" t="s">
        <v>419</v>
      </c>
      <c r="C335">
        <v>0</v>
      </c>
      <c r="D335">
        <v>613</v>
      </c>
      <c r="E335" s="2" t="str">
        <f>VLOOKUP( T_Aop[[#This Row],[Id]], T_Aop[], ID_Jezik + 9, 1)</f>
        <v>611, dio 610</v>
      </c>
      <c r="F335" t="str">
        <f>REPT( "  ", T_Aop[[#This Row],[Aop nivo]]) &amp; VLOOKUP( T_Aop[[#This Row],[Id]], T_Aop[], ID_Jezik + 6, 1)</f>
        <v>Prihodi od prodaje učinaka u Republici Srpskoj i prihodi od prodaje učinaka povezanim pravnim licima u RS</v>
      </c>
      <c r="G335" t="s">
        <v>1558</v>
      </c>
      <c r="H335" t="s">
        <v>1559</v>
      </c>
      <c r="I335" t="s">
        <v>1560</v>
      </c>
      <c r="J335" s="275" t="s">
        <v>1796</v>
      </c>
      <c r="K335" s="276" t="s">
        <v>1797</v>
      </c>
      <c r="L335" s="275" t="s">
        <v>1798</v>
      </c>
      <c r="M335" s="10"/>
      <c r="N335" s="10">
        <v>1</v>
      </c>
    </row>
    <row r="336" spans="1:14" x14ac:dyDescent="0.2">
      <c r="A336">
        <f t="shared" si="5"/>
        <v>335</v>
      </c>
      <c r="B336" t="s">
        <v>419</v>
      </c>
      <c r="C336">
        <v>0</v>
      </c>
      <c r="D336">
        <v>614</v>
      </c>
      <c r="E336" s="2" t="str">
        <f>VLOOKUP( T_Aop[[#This Row],[Id]], T_Aop[], ID_Jezik + 9, 1)</f>
        <v>612, dio 610</v>
      </c>
      <c r="F336" t="str">
        <f>REPT( "  ", T_Aop[[#This Row],[Aop nivo]]) &amp; VLOOKUP( T_Aop[[#This Row],[Id]], T_Aop[], ID_Jezik + 6, 1)</f>
        <v>Prihodi od prodaje učinaka u Federaciji BiH i prihodi od prodaje učinaka povezanim pravnim licima u FBiH</v>
      </c>
      <c r="G336" t="s">
        <v>1561</v>
      </c>
      <c r="H336" t="s">
        <v>1562</v>
      </c>
      <c r="I336" t="s">
        <v>1563</v>
      </c>
      <c r="J336" s="275" t="s">
        <v>1799</v>
      </c>
      <c r="K336" s="275" t="s">
        <v>1800</v>
      </c>
      <c r="L336" s="275" t="s">
        <v>1801</v>
      </c>
      <c r="M336" s="10"/>
      <c r="N336" s="10" t="s">
        <v>1983</v>
      </c>
    </row>
    <row r="337" spans="1:14" x14ac:dyDescent="0.2">
      <c r="A337">
        <f t="shared" si="5"/>
        <v>336</v>
      </c>
      <c r="B337" t="s">
        <v>419</v>
      </c>
      <c r="C337">
        <v>0</v>
      </c>
      <c r="D337">
        <v>615</v>
      </c>
      <c r="E337" s="2" t="str">
        <f>VLOOKUP( T_Aop[[#This Row],[Id]], T_Aop[], ID_Jezik + 9, 1)</f>
        <v>613, dio 610</v>
      </c>
      <c r="F337" t="str">
        <f>REPT( "  ", T_Aop[[#This Row],[Aop nivo]]) &amp; VLOOKUP( T_Aop[[#This Row],[Id]], T_Aop[], ID_Jezik + 6, 1)</f>
        <v>Prihodi od prodaje učinaka u Brčko Distriktu BiH i prihodi od prodaje učinaka povezanim pravnim licima u BD</v>
      </c>
      <c r="G337" t="s">
        <v>1564</v>
      </c>
      <c r="H337" t="s">
        <v>1565</v>
      </c>
      <c r="I337" t="s">
        <v>1566</v>
      </c>
      <c r="J337" s="275" t="s">
        <v>1802</v>
      </c>
      <c r="K337" s="275" t="s">
        <v>1803</v>
      </c>
      <c r="L337" s="275" t="s">
        <v>1804</v>
      </c>
      <c r="M337" s="10"/>
      <c r="N337" s="10" t="s">
        <v>1983</v>
      </c>
    </row>
    <row r="338" spans="1:14" x14ac:dyDescent="0.2">
      <c r="A338">
        <f t="shared" si="5"/>
        <v>337</v>
      </c>
      <c r="B338" t="s">
        <v>419</v>
      </c>
      <c r="C338">
        <v>0</v>
      </c>
      <c r="D338">
        <v>616</v>
      </c>
      <c r="E338" s="2" t="str">
        <f>VLOOKUP( T_Aop[[#This Row],[Id]], T_Aop[], ID_Jezik + 9, 1)</f>
        <v>dio 611</v>
      </c>
      <c r="F338" t="str">
        <f>REPT( "  ", T_Aop[[#This Row],[Aop nivo]]) &amp; VLOOKUP( T_Aop[[#This Row],[Id]], T_Aop[], ID_Jezik + 6, 1)</f>
        <v>Prihodi od prodaje usluga u Republici Srpskoj</v>
      </c>
      <c r="G338" t="s">
        <v>1567</v>
      </c>
      <c r="H338" t="s">
        <v>1568</v>
      </c>
      <c r="I338" t="s">
        <v>1569</v>
      </c>
      <c r="J338" s="275" t="s">
        <v>672</v>
      </c>
      <c r="K338" s="275" t="s">
        <v>1805</v>
      </c>
      <c r="L338" s="275" t="s">
        <v>679</v>
      </c>
      <c r="M338" s="10"/>
      <c r="N338" s="10"/>
    </row>
    <row r="339" spans="1:14" x14ac:dyDescent="0.2">
      <c r="A339">
        <f t="shared" si="5"/>
        <v>338</v>
      </c>
      <c r="B339" t="s">
        <v>419</v>
      </c>
      <c r="C339">
        <v>0</v>
      </c>
      <c r="D339">
        <v>617</v>
      </c>
      <c r="E339" s="2" t="str">
        <f>VLOOKUP( T_Aop[[#This Row],[Id]], T_Aop[], ID_Jezik + 9, 1)</f>
        <v>dio 612</v>
      </c>
      <c r="F339" t="str">
        <f>REPT( "  ", T_Aop[[#This Row],[Aop nivo]]) &amp; VLOOKUP( T_Aop[[#This Row],[Id]], T_Aop[], ID_Jezik + 6, 1)</f>
        <v>Prihodi od prodaje usluga u Federaciji BiH</v>
      </c>
      <c r="G339" t="s">
        <v>1570</v>
      </c>
      <c r="H339" t="s">
        <v>1571</v>
      </c>
      <c r="I339" t="s">
        <v>1572</v>
      </c>
      <c r="J339" s="275" t="s">
        <v>671</v>
      </c>
      <c r="K339" s="276" t="s">
        <v>1806</v>
      </c>
      <c r="L339" s="275" t="s">
        <v>678</v>
      </c>
      <c r="M339" s="10"/>
      <c r="N339" s="10"/>
    </row>
    <row r="340" spans="1:14" x14ac:dyDescent="0.2">
      <c r="A340">
        <f t="shared" si="5"/>
        <v>339</v>
      </c>
      <c r="B340" t="s">
        <v>419</v>
      </c>
      <c r="C340">
        <v>0</v>
      </c>
      <c r="D340">
        <v>618</v>
      </c>
      <c r="E340" s="2" t="str">
        <f>VLOOKUP( T_Aop[[#This Row],[Id]], T_Aop[], ID_Jezik + 9, 1)</f>
        <v>dio 613</v>
      </c>
      <c r="F340" t="str">
        <f>REPT( "  ", T_Aop[[#This Row],[Aop nivo]]) &amp; VLOOKUP( T_Aop[[#This Row],[Id]], T_Aop[], ID_Jezik + 6, 1)</f>
        <v>Prihodi od prodaje usluga u Brčko Distriktu BiH</v>
      </c>
      <c r="G340" t="s">
        <v>1573</v>
      </c>
      <c r="H340" t="s">
        <v>1574</v>
      </c>
      <c r="I340" t="s">
        <v>1575</v>
      </c>
      <c r="J340" s="275" t="s">
        <v>1807</v>
      </c>
      <c r="K340" s="276" t="s">
        <v>1808</v>
      </c>
      <c r="L340" s="275" t="s">
        <v>1809</v>
      </c>
      <c r="M340" s="10"/>
      <c r="N340" s="10"/>
    </row>
    <row r="341" spans="1:14" x14ac:dyDescent="0.2">
      <c r="A341">
        <f t="shared" si="5"/>
        <v>340</v>
      </c>
      <c r="B341" t="s">
        <v>419</v>
      </c>
      <c r="C341">
        <v>0</v>
      </c>
      <c r="D341">
        <v>619</v>
      </c>
      <c r="E341" s="2">
        <f>VLOOKUP( T_Aop[[#This Row],[Id]], T_Aop[], ID_Jezik + 9, 1)</f>
        <v>65</v>
      </c>
      <c r="F341" t="str">
        <f>REPT( "  ", T_Aop[[#This Row],[Aop nivo]]) &amp; VLOOKUP( T_Aop[[#This Row],[Id]], T_Aop[], ID_Jezik + 6, 1)</f>
        <v>OSTALI POSLOVNI PRIHODI (620 + 623 + 624 + 625 + 626 + 627 + 628)</v>
      </c>
      <c r="G341" t="s">
        <v>1969</v>
      </c>
      <c r="H341" t="s">
        <v>2024</v>
      </c>
      <c r="I341" t="s">
        <v>2025</v>
      </c>
      <c r="J341" s="275">
        <v>65</v>
      </c>
      <c r="K341" s="276">
        <v>65</v>
      </c>
      <c r="L341" s="275">
        <v>65</v>
      </c>
      <c r="M341" s="10">
        <v>1</v>
      </c>
      <c r="N341" s="10"/>
    </row>
    <row r="342" spans="1:14" x14ac:dyDescent="0.2">
      <c r="A342">
        <f t="shared" si="5"/>
        <v>341</v>
      </c>
      <c r="B342" t="s">
        <v>419</v>
      </c>
      <c r="C342">
        <v>1</v>
      </c>
      <c r="D342">
        <v>620</v>
      </c>
      <c r="E342" s="2">
        <f>VLOOKUP( T_Aop[[#This Row],[Id]], T_Aop[], ID_Jezik + 9, 1)</f>
        <v>650</v>
      </c>
      <c r="F342" t="str">
        <f>REPT( "  ", T_Aop[[#This Row],[Aop nivo]]) &amp; VLOOKUP( T_Aop[[#This Row],[Id]], T_Aop[], ID_Jezik + 6, 1)</f>
        <v xml:space="preserve">  a) Prihodi od premija, subvencija, dotacija, regresa, podsticaja i slično</v>
      </c>
      <c r="G342" t="s">
        <v>1576</v>
      </c>
      <c r="H342" t="s">
        <v>1577</v>
      </c>
      <c r="I342" t="s">
        <v>687</v>
      </c>
      <c r="J342" s="275">
        <v>650</v>
      </c>
      <c r="K342" s="276">
        <v>650</v>
      </c>
      <c r="L342" s="275">
        <v>650</v>
      </c>
      <c r="M342" s="10"/>
      <c r="N342" s="10"/>
    </row>
    <row r="343" spans="1:14" x14ac:dyDescent="0.2">
      <c r="A343">
        <f t="shared" si="5"/>
        <v>342</v>
      </c>
      <c r="B343" t="s">
        <v>419</v>
      </c>
      <c r="C343">
        <v>2</v>
      </c>
      <c r="D343">
        <v>621</v>
      </c>
      <c r="E343" s="2" t="str">
        <f>VLOOKUP( T_Aop[[#This Row],[Id]], T_Aop[], ID_Jezik + 9, 1)</f>
        <v>dio 650</v>
      </c>
      <c r="F343" t="str">
        <f>REPT( "  ", T_Aop[[#This Row],[Aop nivo]]) &amp; VLOOKUP( T_Aop[[#This Row],[Id]], T_Aop[], ID_Jezik + 6, 1)</f>
        <v xml:space="preserve">    Od toga: prihodi po osnovu subvencija na proizvode (subvencije koje se mogu prikazati po jedinici proizvoda, npr. vozna karta, brašno, hljeb, mlijeko i dr.)</v>
      </c>
      <c r="G343" t="s">
        <v>688</v>
      </c>
      <c r="H343" t="s">
        <v>1578</v>
      </c>
      <c r="I343" t="s">
        <v>689</v>
      </c>
      <c r="J343" s="275" t="s">
        <v>194</v>
      </c>
      <c r="K343" s="276" t="s">
        <v>1810</v>
      </c>
      <c r="L343" s="275" t="s">
        <v>680</v>
      </c>
      <c r="M343" s="10"/>
      <c r="N343" s="10">
        <v>1</v>
      </c>
    </row>
    <row r="344" spans="1:14" x14ac:dyDescent="0.2">
      <c r="A344">
        <f t="shared" si="5"/>
        <v>343</v>
      </c>
      <c r="B344" t="s">
        <v>419</v>
      </c>
      <c r="C344">
        <v>2</v>
      </c>
      <c r="D344">
        <v>622</v>
      </c>
      <c r="E344" s="2" t="str">
        <f>VLOOKUP( T_Aop[[#This Row],[Id]], T_Aop[], ID_Jezik + 9, 1)</f>
        <v>dio 650</v>
      </c>
      <c r="F344" t="str">
        <f>REPT( "  ", T_Aop[[#This Row],[Aop nivo]]) &amp; VLOOKUP( T_Aop[[#This Row],[Id]], T_Aop[], ID_Jezik + 6, 1)</f>
        <v xml:space="preserve">    Od toga: prihodi po osnovu subvencija na proizvodnju (na zapošljavanje, platu, kamatnu stopu, za smanjenje zagađenja i dr.)</v>
      </c>
      <c r="G344" t="s">
        <v>2008</v>
      </c>
      <c r="H344" t="s">
        <v>2009</v>
      </c>
      <c r="I344" t="s">
        <v>2010</v>
      </c>
      <c r="J344" s="276" t="s">
        <v>194</v>
      </c>
      <c r="K344" s="275" t="s">
        <v>1810</v>
      </c>
      <c r="L344" s="275" t="s">
        <v>680</v>
      </c>
      <c r="M344" s="10"/>
      <c r="N344" s="10">
        <v>1</v>
      </c>
    </row>
    <row r="345" spans="1:14" x14ac:dyDescent="0.2">
      <c r="A345">
        <f t="shared" si="5"/>
        <v>344</v>
      </c>
      <c r="B345" t="s">
        <v>419</v>
      </c>
      <c r="C345">
        <v>1</v>
      </c>
      <c r="D345">
        <v>623</v>
      </c>
      <c r="E345" s="2">
        <f>VLOOKUP( T_Aop[[#This Row],[Id]], T_Aop[], ID_Jezik + 9, 1)</f>
        <v>651</v>
      </c>
      <c r="F345" t="str">
        <f>REPT( "  ", T_Aop[[#This Row],[Aop nivo]]) &amp; VLOOKUP( T_Aop[[#This Row],[Id]], T_Aop[], ID_Jezik + 6, 1)</f>
        <v xml:space="preserve">  b) Prihod od zakupnina</v>
      </c>
      <c r="G345" t="s">
        <v>690</v>
      </c>
      <c r="H345" t="s">
        <v>1579</v>
      </c>
      <c r="I345" t="s">
        <v>691</v>
      </c>
      <c r="J345" s="276">
        <v>651</v>
      </c>
      <c r="K345" s="275">
        <v>651</v>
      </c>
      <c r="L345" s="275">
        <v>651</v>
      </c>
      <c r="M345" s="10"/>
      <c r="N345" s="10"/>
    </row>
    <row r="346" spans="1:14" x14ac:dyDescent="0.2">
      <c r="A346">
        <f t="shared" si="5"/>
        <v>345</v>
      </c>
      <c r="B346" t="s">
        <v>419</v>
      </c>
      <c r="C346">
        <v>1</v>
      </c>
      <c r="D346">
        <v>624</v>
      </c>
      <c r="E346" s="2">
        <f>VLOOKUP( T_Aop[[#This Row],[Id]], T_Aop[], ID_Jezik + 9, 1)</f>
        <v>652</v>
      </c>
      <c r="F346" t="str">
        <f>REPT( "  ", T_Aop[[#This Row],[Aop nivo]]) &amp; VLOOKUP( T_Aop[[#This Row],[Id]], T_Aop[], ID_Jezik + 6, 1)</f>
        <v xml:space="preserve">  v) Prihod od donacija</v>
      </c>
      <c r="G346" t="s">
        <v>1580</v>
      </c>
      <c r="H346" t="s">
        <v>1581</v>
      </c>
      <c r="I346" t="s">
        <v>692</v>
      </c>
      <c r="J346" s="275">
        <v>652</v>
      </c>
      <c r="K346" s="276">
        <v>652</v>
      </c>
      <c r="L346" s="276">
        <v>652</v>
      </c>
      <c r="M346" s="10"/>
      <c r="N346" s="10"/>
    </row>
    <row r="347" spans="1:14" x14ac:dyDescent="0.2">
      <c r="A347">
        <f t="shared" si="5"/>
        <v>346</v>
      </c>
      <c r="B347" t="s">
        <v>419</v>
      </c>
      <c r="C347">
        <v>1</v>
      </c>
      <c r="D347">
        <v>625</v>
      </c>
      <c r="E347" s="2">
        <f>VLOOKUP( T_Aop[[#This Row],[Id]], T_Aop[], ID_Jezik + 9, 1)</f>
        <v>653</v>
      </c>
      <c r="F347" t="str">
        <f>REPT( "  ", T_Aop[[#This Row],[Aop nivo]]) &amp; VLOOKUP( T_Aop[[#This Row],[Id]], T_Aop[], ID_Jezik + 6, 1)</f>
        <v xml:space="preserve">  g) Prihod od članarina</v>
      </c>
      <c r="G347" t="s">
        <v>1582</v>
      </c>
      <c r="H347" t="s">
        <v>1583</v>
      </c>
      <c r="I347" t="s">
        <v>693</v>
      </c>
      <c r="J347" s="275">
        <v>653</v>
      </c>
      <c r="K347" s="276">
        <v>653</v>
      </c>
      <c r="L347" s="276">
        <v>653</v>
      </c>
      <c r="M347" s="10"/>
      <c r="N347" s="10"/>
    </row>
    <row r="348" spans="1:14" s="119" customFormat="1" x14ac:dyDescent="0.2">
      <c r="A348">
        <f t="shared" si="5"/>
        <v>347</v>
      </c>
      <c r="B348" s="119" t="s">
        <v>419</v>
      </c>
      <c r="C348">
        <v>1</v>
      </c>
      <c r="D348" s="120">
        <v>626</v>
      </c>
      <c r="E348" s="121">
        <f>VLOOKUP( T_Aop[[#This Row],[Id]], T_Aop[], ID_Jezik + 9, 1)</f>
        <v>654</v>
      </c>
      <c r="F348" s="120" t="str">
        <f>REPT( "  ", T_Aop[[#This Row],[Aop nivo]]) &amp; VLOOKUP( T_Aop[[#This Row],[Id]], T_Aop[], ID_Jezik + 6, 1)</f>
        <v xml:space="preserve">  d) Prihod od tantijema i licencnih prava</v>
      </c>
      <c r="G348" s="119" t="s">
        <v>1584</v>
      </c>
      <c r="H348" t="s">
        <v>1585</v>
      </c>
      <c r="I348" t="s">
        <v>694</v>
      </c>
      <c r="J348" s="277">
        <v>654</v>
      </c>
      <c r="K348" s="276">
        <v>654</v>
      </c>
      <c r="L348" s="275">
        <v>654</v>
      </c>
      <c r="M348" s="10"/>
      <c r="N348" s="10"/>
    </row>
    <row r="349" spans="1:14" s="119" customFormat="1" x14ac:dyDescent="0.2">
      <c r="A349">
        <f t="shared" si="5"/>
        <v>348</v>
      </c>
      <c r="B349" s="119" t="s">
        <v>419</v>
      </c>
      <c r="C349">
        <v>1</v>
      </c>
      <c r="D349" s="120">
        <v>627</v>
      </c>
      <c r="E349" s="121">
        <f>VLOOKUP( T_Aop[[#This Row],[Id]], T_Aop[], ID_Jezik + 9, 1)</f>
        <v>655</v>
      </c>
      <c r="F349" s="120" t="str">
        <f>REPT( "  ", T_Aop[[#This Row],[Aop nivo]]) &amp; VLOOKUP( T_Aop[[#This Row],[Id]], T_Aop[], ID_Jezik + 6, 1)</f>
        <v xml:space="preserve">  đ) Prihod iz namjenskih izvora finansiranja (iz budžeta, fondova i dr.)</v>
      </c>
      <c r="G349" s="119" t="s">
        <v>1586</v>
      </c>
      <c r="H349" t="s">
        <v>1587</v>
      </c>
      <c r="I349" t="s">
        <v>695</v>
      </c>
      <c r="J349" s="277">
        <v>655</v>
      </c>
      <c r="K349" s="275">
        <v>655</v>
      </c>
      <c r="L349" s="275">
        <v>655</v>
      </c>
      <c r="M349" s="10"/>
      <c r="N349" s="10"/>
    </row>
    <row r="350" spans="1:14" s="119" customFormat="1" x14ac:dyDescent="0.2">
      <c r="A350">
        <f t="shared" si="5"/>
        <v>349</v>
      </c>
      <c r="B350" s="119" t="s">
        <v>419</v>
      </c>
      <c r="C350" s="120">
        <v>1</v>
      </c>
      <c r="D350" s="120">
        <v>628</v>
      </c>
      <c r="E350" s="121">
        <f>VLOOKUP( T_Aop[[#This Row],[Id]], T_Aop[], ID_Jezik + 9, 1)</f>
        <v>659</v>
      </c>
      <c r="F350" s="120" t="str">
        <f>REPT( "  ", T_Aop[[#This Row],[Aop nivo]]) &amp; VLOOKUP( T_Aop[[#This Row],[Id]], T_Aop[], ID_Jezik + 6, 1)</f>
        <v xml:space="preserve">  e) Ostali poslovni prihodi po drugim osnovima</v>
      </c>
      <c r="G350" s="119" t="s">
        <v>1588</v>
      </c>
      <c r="H350" s="119" t="s">
        <v>1589</v>
      </c>
      <c r="I350" s="119" t="s">
        <v>696</v>
      </c>
      <c r="J350" s="277">
        <v>659</v>
      </c>
      <c r="K350" s="277">
        <v>659</v>
      </c>
      <c r="L350" s="277">
        <v>659</v>
      </c>
      <c r="M350" s="121"/>
      <c r="N350" s="121"/>
    </row>
    <row r="351" spans="1:14" s="119" customFormat="1" x14ac:dyDescent="0.2">
      <c r="A351">
        <f t="shared" si="5"/>
        <v>350</v>
      </c>
      <c r="B351" s="119" t="s">
        <v>419</v>
      </c>
      <c r="C351" s="120">
        <v>0</v>
      </c>
      <c r="D351" s="120">
        <v>629</v>
      </c>
      <c r="E351" s="121" t="str">
        <f>VLOOKUP( T_Aop[[#This Row],[Id]], T_Aop[], ID_Jezik + 9, 1)</f>
        <v>66 + 67</v>
      </c>
      <c r="F351" s="120" t="str">
        <f>REPT( "  ", T_Aop[[#This Row],[Aop nivo]]) &amp; VLOOKUP( T_Aop[[#This Row],[Id]], T_Aop[], ID_Jezik + 6, 1)</f>
        <v>FINANSIJSKI I OSTALI PRIHODI</v>
      </c>
      <c r="G351" s="119" t="s">
        <v>662</v>
      </c>
      <c r="H351" s="119" t="s">
        <v>1590</v>
      </c>
      <c r="I351" s="119" t="s">
        <v>697</v>
      </c>
      <c r="J351" s="277" t="s">
        <v>1811</v>
      </c>
      <c r="K351" s="278" t="s">
        <v>1811</v>
      </c>
      <c r="L351" s="277" t="s">
        <v>1811</v>
      </c>
      <c r="M351" s="121">
        <v>1</v>
      </c>
      <c r="N351" s="121"/>
    </row>
    <row r="352" spans="1:14" s="119" customFormat="1" x14ac:dyDescent="0.2">
      <c r="A352">
        <f t="shared" si="5"/>
        <v>351</v>
      </c>
      <c r="B352" s="119" t="s">
        <v>419</v>
      </c>
      <c r="C352" s="120">
        <v>2</v>
      </c>
      <c r="D352" s="120">
        <v>630</v>
      </c>
      <c r="E352" s="121" t="str">
        <f>VLOOKUP( T_Aop[[#This Row],[Id]], T_Aop[], ID_Jezik + 9, 1)</f>
        <v>dio 660</v>
      </c>
      <c r="F352" s="120" t="str">
        <f>REPT( "  ", T_Aop[[#This Row],[Aop nivo]]) &amp; VLOOKUP( T_Aop[[#This Row],[Id]], T_Aop[], ID_Jezik + 6, 1)</f>
        <v xml:space="preserve">    Od toga: prihodi od učešća u dobiti (dividendi)</v>
      </c>
      <c r="G352" s="119" t="s">
        <v>663</v>
      </c>
      <c r="H352" s="119" t="s">
        <v>1591</v>
      </c>
      <c r="I352" s="119" t="s">
        <v>698</v>
      </c>
      <c r="J352" s="277" t="s">
        <v>673</v>
      </c>
      <c r="K352" s="277" t="s">
        <v>1812</v>
      </c>
      <c r="L352" s="277" t="s">
        <v>681</v>
      </c>
      <c r="M352" s="121"/>
      <c r="N352" s="121"/>
    </row>
    <row r="353" spans="1:14" s="119" customFormat="1" x14ac:dyDescent="0.2">
      <c r="A353">
        <f t="shared" si="5"/>
        <v>352</v>
      </c>
      <c r="B353" s="119" t="s">
        <v>419</v>
      </c>
      <c r="C353" s="120">
        <v>1</v>
      </c>
      <c r="D353" s="120">
        <v>631</v>
      </c>
      <c r="E353" s="121" t="str">
        <f>VLOOKUP( T_Aop[[#This Row],[Id]], T_Aop[], ID_Jezik + 9, 1)</f>
        <v>dio 670</v>
      </c>
      <c r="F353" s="120" t="str">
        <f>REPT( "  ", T_Aop[[#This Row],[Aop nivo]]) &amp; VLOOKUP( T_Aop[[#This Row],[Id]], T_Aop[], ID_Jezik + 6, 1)</f>
        <v xml:space="preserve">  Dobici po osnovu prodaje nekretnina, postrojenja i opreme</v>
      </c>
      <c r="G353" s="119" t="s">
        <v>1592</v>
      </c>
      <c r="H353" s="119" t="s">
        <v>1593</v>
      </c>
      <c r="I353" s="119" t="s">
        <v>699</v>
      </c>
      <c r="J353" s="277" t="s">
        <v>674</v>
      </c>
      <c r="K353" s="277" t="s">
        <v>1813</v>
      </c>
      <c r="L353" s="277" t="s">
        <v>682</v>
      </c>
      <c r="M353" s="121"/>
      <c r="N353" s="121"/>
    </row>
    <row r="354" spans="1:14" s="119" customFormat="1" x14ac:dyDescent="0.2">
      <c r="A354">
        <f t="shared" si="5"/>
        <v>353</v>
      </c>
      <c r="B354" s="119" t="s">
        <v>419</v>
      </c>
      <c r="C354" s="120">
        <v>1</v>
      </c>
      <c r="D354" s="120">
        <v>632</v>
      </c>
      <c r="E354" s="121">
        <f>VLOOKUP( T_Aop[[#This Row],[Id]], T_Aop[], ID_Jezik + 9, 1)</f>
        <v>678</v>
      </c>
      <c r="F354" s="120" t="str">
        <f>REPT( "  ", T_Aop[[#This Row],[Aop nivo]]) &amp; VLOOKUP( T_Aop[[#This Row],[Id]], T_Aop[], ID_Jezik + 6, 1)</f>
        <v xml:space="preserve">  Prihodi po osnovu ugovorene zaštite od rizika koji ne ispunjavaju uslove da se iskažu u okviru revalorizacionih rezervi</v>
      </c>
      <c r="G354" s="119" t="s">
        <v>1970</v>
      </c>
      <c r="H354" s="119" t="s">
        <v>1594</v>
      </c>
      <c r="I354" s="119" t="s">
        <v>700</v>
      </c>
      <c r="J354" s="277">
        <v>678</v>
      </c>
      <c r="K354" s="278">
        <v>678</v>
      </c>
      <c r="L354" s="277">
        <v>678</v>
      </c>
      <c r="M354" s="121"/>
      <c r="N354" s="121"/>
    </row>
    <row r="355" spans="1:14" s="119" customFormat="1" x14ac:dyDescent="0.2">
      <c r="A355">
        <f t="shared" si="5"/>
        <v>354</v>
      </c>
      <c r="B355" s="119" t="s">
        <v>419</v>
      </c>
      <c r="C355" s="120">
        <v>0</v>
      </c>
      <c r="D355" s="120">
        <v>633</v>
      </c>
      <c r="E355" s="121">
        <f>VLOOKUP( T_Aop[[#This Row],[Id]], T_Aop[], ID_Jezik + 9, 1)</f>
        <v>51</v>
      </c>
      <c r="F355" s="120" t="str">
        <f>REPT( "  ", T_Aop[[#This Row],[Aop nivo]]) &amp; VLOOKUP( T_Aop[[#This Row],[Id]], T_Aop[], ID_Jezik + 6, 1)</f>
        <v>TROŠKOVI MATERIJALA</v>
      </c>
      <c r="G355" s="119" t="s">
        <v>664</v>
      </c>
      <c r="H355" s="119" t="s">
        <v>1595</v>
      </c>
      <c r="I355" s="119" t="s">
        <v>701</v>
      </c>
      <c r="J355" s="277">
        <v>51</v>
      </c>
      <c r="K355" s="277">
        <v>51</v>
      </c>
      <c r="L355" s="277">
        <v>51</v>
      </c>
      <c r="M355" s="121">
        <v>1</v>
      </c>
      <c r="N355" s="121"/>
    </row>
    <row r="356" spans="1:14" s="119" customFormat="1" x14ac:dyDescent="0.2">
      <c r="A356">
        <f t="shared" si="5"/>
        <v>355</v>
      </c>
      <c r="B356" s="119" t="s">
        <v>419</v>
      </c>
      <c r="C356" s="120">
        <v>2</v>
      </c>
      <c r="D356" s="120">
        <v>634</v>
      </c>
      <c r="E356" s="121">
        <f>VLOOKUP( T_Aop[[#This Row],[Id]], T_Aop[], ID_Jezik + 9, 1)</f>
        <v>513</v>
      </c>
      <c r="F356" s="120" t="str">
        <f>REPT( "  ", T_Aop[[#This Row],[Aop nivo]]) &amp; VLOOKUP( T_Aop[[#This Row],[Id]], T_Aop[], ID_Jezik + 6, 1)</f>
        <v xml:space="preserve">    Od toga: troškovi goriva i energije</v>
      </c>
      <c r="G356" s="119" t="s">
        <v>665</v>
      </c>
      <c r="H356" s="119" t="s">
        <v>1596</v>
      </c>
      <c r="I356" s="119" t="s">
        <v>702</v>
      </c>
      <c r="J356" s="277">
        <v>513</v>
      </c>
      <c r="K356" s="277">
        <v>513</v>
      </c>
      <c r="L356" s="277">
        <v>513</v>
      </c>
      <c r="M356" s="121"/>
      <c r="N356" s="121"/>
    </row>
    <row r="357" spans="1:14" s="119" customFormat="1" x14ac:dyDescent="0.2">
      <c r="A357">
        <f t="shared" si="5"/>
        <v>356</v>
      </c>
      <c r="B357" s="119" t="s">
        <v>419</v>
      </c>
      <c r="C357" s="120">
        <v>0</v>
      </c>
      <c r="D357" s="120">
        <v>635</v>
      </c>
      <c r="E357" s="121">
        <f>VLOOKUP( T_Aop[[#This Row],[Id]], T_Aop[], ID_Jezik + 9, 1)</f>
        <v>52</v>
      </c>
      <c r="F357" s="120" t="str">
        <f>REPT( "  ", T_Aop[[#This Row],[Aop nivo]]) &amp; VLOOKUP( T_Aop[[#This Row],[Id]], T_Aop[], ID_Jezik + 6, 1)</f>
        <v>TROŠKOVI ZARADA, NAKNADA ZARADA I OSTALIH LIČNIH RASHODA</v>
      </c>
      <c r="G357" s="119" t="s">
        <v>666</v>
      </c>
      <c r="H357" s="119" t="s">
        <v>1597</v>
      </c>
      <c r="I357" s="119" t="s">
        <v>703</v>
      </c>
      <c r="J357" s="277">
        <v>52</v>
      </c>
      <c r="K357" s="278">
        <v>52</v>
      </c>
      <c r="L357" s="277">
        <v>52</v>
      </c>
      <c r="M357" s="121">
        <v>1</v>
      </c>
      <c r="N357" s="121"/>
    </row>
    <row r="358" spans="1:14" s="119" customFormat="1" x14ac:dyDescent="0.2">
      <c r="A358">
        <f t="shared" si="5"/>
        <v>357</v>
      </c>
      <c r="B358" s="119" t="s">
        <v>419</v>
      </c>
      <c r="C358" s="120">
        <v>1</v>
      </c>
      <c r="D358" s="120">
        <v>636</v>
      </c>
      <c r="E358" s="121" t="str">
        <f>VLOOKUP( T_Aop[[#This Row],[Id]], T_Aop[], ID_Jezik + 9, 1)</f>
        <v>522 + 523</v>
      </c>
      <c r="F358" s="120" t="str">
        <f>REPT( "  ", T_Aop[[#This Row],[Aop nivo]]) &amp; VLOOKUP( T_Aop[[#This Row],[Id]], T_Aop[], ID_Jezik + 6, 1)</f>
        <v xml:space="preserve">  Troškovi bruto naknada članovima upravnog, nadzornog, odbora za reviziju i dr.</v>
      </c>
      <c r="G358" s="119" t="s">
        <v>1971</v>
      </c>
      <c r="H358" s="119" t="s">
        <v>1997</v>
      </c>
      <c r="I358" s="119" t="s">
        <v>2007</v>
      </c>
      <c r="J358" s="277" t="s">
        <v>1963</v>
      </c>
      <c r="K358" s="278" t="s">
        <v>1963</v>
      </c>
      <c r="L358" s="277" t="s">
        <v>1963</v>
      </c>
      <c r="M358" s="121"/>
      <c r="N358" s="121"/>
    </row>
    <row r="359" spans="1:14" s="119" customFormat="1" x14ac:dyDescent="0.2">
      <c r="A359">
        <f t="shared" si="5"/>
        <v>358</v>
      </c>
      <c r="B359" s="119" t="s">
        <v>419</v>
      </c>
      <c r="C359" s="120">
        <v>1</v>
      </c>
      <c r="D359" s="120">
        <v>637</v>
      </c>
      <c r="E359" s="121">
        <f>VLOOKUP( T_Aop[[#This Row],[Id]], T_Aop[], ID_Jezik + 9, 1)</f>
        <v>525</v>
      </c>
      <c r="F359" s="120" t="str">
        <f>REPT( "  ", T_Aop[[#This Row],[Aop nivo]]) &amp; VLOOKUP( T_Aop[[#This Row],[Id]], T_Aop[], ID_Jezik + 6, 1)</f>
        <v xml:space="preserve">  Troškovi zaposlenih na službenom putu</v>
      </c>
      <c r="G359" s="119" t="s">
        <v>1598</v>
      </c>
      <c r="H359" s="119" t="s">
        <v>1599</v>
      </c>
      <c r="I359" s="119" t="s">
        <v>1600</v>
      </c>
      <c r="J359" s="277">
        <v>525</v>
      </c>
      <c r="K359" s="278">
        <v>525</v>
      </c>
      <c r="L359" s="277">
        <v>525</v>
      </c>
      <c r="M359" s="121"/>
      <c r="N359" s="121"/>
    </row>
    <row r="360" spans="1:14" s="119" customFormat="1" x14ac:dyDescent="0.2">
      <c r="A360">
        <f t="shared" si="5"/>
        <v>359</v>
      </c>
      <c r="B360" s="119" t="s">
        <v>419</v>
      </c>
      <c r="C360" s="120">
        <v>2</v>
      </c>
      <c r="D360" s="120">
        <v>638</v>
      </c>
      <c r="E360" s="121" t="str">
        <f>VLOOKUP( T_Aop[[#This Row],[Id]], T_Aop[], ID_Jezik + 9, 1)</f>
        <v>dio 525</v>
      </c>
      <c r="F360" s="120" t="str">
        <f>REPT( "  ", T_Aop[[#This Row],[Aop nivo]]) &amp; VLOOKUP( T_Aop[[#This Row],[Id]], T_Aop[], ID_Jezik + 6, 1)</f>
        <v xml:space="preserve">    Od toga: dnevnice</v>
      </c>
      <c r="G360" s="119" t="s">
        <v>1601</v>
      </c>
      <c r="H360" s="119" t="s">
        <v>1602</v>
      </c>
      <c r="I360" s="119" t="s">
        <v>1603</v>
      </c>
      <c r="J360" s="277" t="s">
        <v>1814</v>
      </c>
      <c r="K360" s="277" t="s">
        <v>1815</v>
      </c>
      <c r="L360" s="277" t="s">
        <v>1816</v>
      </c>
      <c r="M360" s="121"/>
      <c r="N360" s="121"/>
    </row>
    <row r="361" spans="1:14" s="119" customFormat="1" x14ac:dyDescent="0.2">
      <c r="A361">
        <f t="shared" si="5"/>
        <v>360</v>
      </c>
      <c r="B361" s="119" t="s">
        <v>419</v>
      </c>
      <c r="C361" s="120">
        <v>0</v>
      </c>
      <c r="D361" s="120">
        <v>639</v>
      </c>
      <c r="E361" s="121">
        <f>VLOOKUP( T_Aop[[#This Row],[Id]], T_Aop[], ID_Jezik + 9, 1)</f>
        <v>53</v>
      </c>
      <c r="F361" s="120" t="str">
        <f>REPT( "  ", T_Aop[[#This Row],[Aop nivo]]) &amp; VLOOKUP( T_Aop[[#This Row],[Id]], T_Aop[], ID_Jezik + 6, 1)</f>
        <v>TROŠKOVI PROIZVODNIH USLUGA (640 + 641 + 642 + 643 + 644 + 645 + 646 + 647)</v>
      </c>
      <c r="G361" s="119" t="s">
        <v>1972</v>
      </c>
      <c r="H361" s="119" t="s">
        <v>2026</v>
      </c>
      <c r="I361" s="119" t="s">
        <v>2027</v>
      </c>
      <c r="J361" s="277">
        <v>53</v>
      </c>
      <c r="K361" s="278">
        <v>53</v>
      </c>
      <c r="L361" s="277">
        <v>53</v>
      </c>
      <c r="M361" s="121">
        <v>1</v>
      </c>
      <c r="N361" s="121"/>
    </row>
    <row r="362" spans="1:14" s="119" customFormat="1" x14ac:dyDescent="0.2">
      <c r="A362">
        <f t="shared" si="5"/>
        <v>361</v>
      </c>
      <c r="B362" s="119" t="s">
        <v>419</v>
      </c>
      <c r="C362" s="120">
        <v>1</v>
      </c>
      <c r="D362" s="120">
        <v>640</v>
      </c>
      <c r="E362" s="121">
        <f>VLOOKUP( T_Aop[[#This Row],[Id]], T_Aop[], ID_Jezik + 9, 1)</f>
        <v>530</v>
      </c>
      <c r="F362" s="120" t="str">
        <f>REPT( "  ", T_Aop[[#This Row],[Aop nivo]]) &amp; VLOOKUP( T_Aop[[#This Row],[Id]], T_Aop[], ID_Jezik + 6, 1)</f>
        <v xml:space="preserve">  a) Troškovi usluga na izradi učinaka</v>
      </c>
      <c r="G362" s="119" t="s">
        <v>667</v>
      </c>
      <c r="H362" s="119" t="s">
        <v>1604</v>
      </c>
      <c r="I362" s="119" t="s">
        <v>1605</v>
      </c>
      <c r="J362" s="277">
        <v>530</v>
      </c>
      <c r="K362" s="278">
        <v>530</v>
      </c>
      <c r="L362" s="277">
        <v>530</v>
      </c>
      <c r="M362" s="121"/>
      <c r="N362" s="121"/>
    </row>
    <row r="363" spans="1:14" s="119" customFormat="1" x14ac:dyDescent="0.2">
      <c r="A363">
        <f t="shared" si="5"/>
        <v>362</v>
      </c>
      <c r="B363" s="119" t="s">
        <v>419</v>
      </c>
      <c r="C363" s="120">
        <v>1</v>
      </c>
      <c r="D363" s="120">
        <v>641</v>
      </c>
      <c r="E363" s="121">
        <f>VLOOKUP( T_Aop[[#This Row],[Id]], T_Aop[], ID_Jezik + 9, 1)</f>
        <v>531</v>
      </c>
      <c r="F363" s="120" t="str">
        <f>REPT( "  ", T_Aop[[#This Row],[Aop nivo]]) &amp; VLOOKUP( T_Aop[[#This Row],[Id]], T_Aop[], ID_Jezik + 6, 1)</f>
        <v xml:space="preserve">  b) Troškovi transportnih usluga</v>
      </c>
      <c r="G363" s="119" t="s">
        <v>668</v>
      </c>
      <c r="H363" s="119" t="s">
        <v>1606</v>
      </c>
      <c r="I363" s="119" t="s">
        <v>704</v>
      </c>
      <c r="J363" s="277">
        <v>531</v>
      </c>
      <c r="K363" s="278">
        <v>531</v>
      </c>
      <c r="L363" s="277">
        <v>531</v>
      </c>
      <c r="M363" s="121"/>
      <c r="N363" s="121"/>
    </row>
    <row r="364" spans="1:14" s="119" customFormat="1" x14ac:dyDescent="0.2">
      <c r="A364">
        <f t="shared" si="5"/>
        <v>363</v>
      </c>
      <c r="B364" s="119" t="s">
        <v>419</v>
      </c>
      <c r="C364" s="120">
        <v>1</v>
      </c>
      <c r="D364" s="120">
        <v>642</v>
      </c>
      <c r="E364" s="121" t="str">
        <f>VLOOKUP( T_Aop[[#This Row],[Id]], T_Aop[], ID_Jezik + 9, 1)</f>
        <v>dio 532</v>
      </c>
      <c r="F364" s="120" t="str">
        <f>REPT( "  ", T_Aop[[#This Row],[Aop nivo]]) &amp; VLOOKUP( T_Aop[[#This Row],[Id]], T_Aop[], ID_Jezik + 6, 1)</f>
        <v xml:space="preserve">  v) Troškovi za usluge tekućeg održavanja osnovnih sredstava</v>
      </c>
      <c r="G364" s="119" t="s">
        <v>1607</v>
      </c>
      <c r="H364" s="119" t="s">
        <v>1608</v>
      </c>
      <c r="I364" s="119" t="s">
        <v>1609</v>
      </c>
      <c r="J364" s="277" t="s">
        <v>675</v>
      </c>
      <c r="K364" s="278" t="s">
        <v>1817</v>
      </c>
      <c r="L364" s="277" t="s">
        <v>683</v>
      </c>
      <c r="M364" s="121"/>
      <c r="N364" s="121"/>
    </row>
    <row r="365" spans="1:14" s="119" customFormat="1" x14ac:dyDescent="0.2">
      <c r="A365">
        <f t="shared" si="5"/>
        <v>364</v>
      </c>
      <c r="B365" s="119" t="s">
        <v>419</v>
      </c>
      <c r="C365" s="120">
        <v>1</v>
      </c>
      <c r="D365" s="120">
        <v>643</v>
      </c>
      <c r="E365" s="121" t="str">
        <f>VLOOKUP( T_Aop[[#This Row],[Id]], T_Aop[], ID_Jezik + 9, 1)</f>
        <v>dio 532</v>
      </c>
      <c r="F365" s="120" t="str">
        <f>REPT( "  ", T_Aop[[#This Row],[Aop nivo]]) &amp; VLOOKUP( T_Aop[[#This Row],[Id]], T_Aop[], ID_Jezik + 6, 1)</f>
        <v xml:space="preserve">  g) Troškovi za usluge investicionog održavanja osnovnih sredstava</v>
      </c>
      <c r="G365" s="119" t="s">
        <v>1610</v>
      </c>
      <c r="H365" s="119" t="s">
        <v>1611</v>
      </c>
      <c r="I365" s="119" t="s">
        <v>1612</v>
      </c>
      <c r="J365" s="277" t="s">
        <v>675</v>
      </c>
      <c r="K365" s="277" t="s">
        <v>1817</v>
      </c>
      <c r="L365" s="277" t="s">
        <v>683</v>
      </c>
      <c r="M365" s="121"/>
      <c r="N365" s="121"/>
    </row>
    <row r="366" spans="1:14" s="119" customFormat="1" x14ac:dyDescent="0.2">
      <c r="A366">
        <f t="shared" si="5"/>
        <v>365</v>
      </c>
      <c r="B366" s="119" t="s">
        <v>419</v>
      </c>
      <c r="C366" s="120">
        <v>1</v>
      </c>
      <c r="D366" s="120">
        <v>644</v>
      </c>
      <c r="E366" s="121">
        <f>VLOOKUP( T_Aop[[#This Row],[Id]], T_Aop[], ID_Jezik + 9, 1)</f>
        <v>533</v>
      </c>
      <c r="F366" s="120" t="str">
        <f>REPT( "  ", T_Aop[[#This Row],[Aop nivo]]) &amp; VLOOKUP( T_Aop[[#This Row],[Id]], T_Aop[], ID_Jezik + 6, 1)</f>
        <v xml:space="preserve">  d) Troškovi zakupa</v>
      </c>
      <c r="G366" s="119" t="s">
        <v>1613</v>
      </c>
      <c r="H366" s="119" t="s">
        <v>1614</v>
      </c>
      <c r="I366" s="119" t="s">
        <v>705</v>
      </c>
      <c r="J366" s="277">
        <v>533</v>
      </c>
      <c r="K366" s="277">
        <v>533</v>
      </c>
      <c r="L366" s="277">
        <v>533</v>
      </c>
      <c r="M366" s="121"/>
      <c r="N366" s="121"/>
    </row>
    <row r="367" spans="1:14" s="119" customFormat="1" x14ac:dyDescent="0.2">
      <c r="A367">
        <f t="shared" si="5"/>
        <v>366</v>
      </c>
      <c r="B367" s="119" t="s">
        <v>419</v>
      </c>
      <c r="C367" s="120">
        <v>1</v>
      </c>
      <c r="D367" s="120">
        <v>645</v>
      </c>
      <c r="E367" s="121" t="str">
        <f>VLOOKUP( T_Aop[[#This Row],[Id]], T_Aop[], ID_Jezik + 9, 1)</f>
        <v>534 + 535</v>
      </c>
      <c r="F367" s="120" t="str">
        <f>REPT( "  ", T_Aop[[#This Row],[Aop nivo]]) &amp; VLOOKUP( T_Aop[[#This Row],[Id]], T_Aop[], ID_Jezik + 6, 1)</f>
        <v xml:space="preserve">  đ) Troškovi sajmova, reklame i propagande</v>
      </c>
      <c r="G367" s="119" t="s">
        <v>1615</v>
      </c>
      <c r="H367" s="119" t="s">
        <v>1616</v>
      </c>
      <c r="I367" s="119" t="s">
        <v>706</v>
      </c>
      <c r="J367" s="277" t="s">
        <v>1818</v>
      </c>
      <c r="K367" s="278" t="s">
        <v>1818</v>
      </c>
      <c r="L367" s="277" t="s">
        <v>1818</v>
      </c>
      <c r="M367" s="121"/>
      <c r="N367" s="121"/>
    </row>
    <row r="368" spans="1:14" s="119" customFormat="1" x14ac:dyDescent="0.2">
      <c r="A368">
        <f t="shared" si="5"/>
        <v>367</v>
      </c>
      <c r="B368" s="119" t="s">
        <v>419</v>
      </c>
      <c r="C368" s="120">
        <v>1</v>
      </c>
      <c r="D368" s="120">
        <v>646</v>
      </c>
      <c r="E368" s="121" t="str">
        <f>VLOOKUP( T_Aop[[#This Row],[Id]], T_Aop[], ID_Jezik + 9, 1)</f>
        <v>536 + 537</v>
      </c>
      <c r="F368" s="120" t="str">
        <f>REPT( "  ", T_Aop[[#This Row],[Aop nivo]]) &amp; VLOOKUP( T_Aop[[#This Row],[Id]], T_Aop[], ID_Jezik + 6, 1)</f>
        <v xml:space="preserve">  e) Troškovi istraživanja i razvoja koji se ne kapitalizuju</v>
      </c>
      <c r="G368" s="119" t="s">
        <v>1617</v>
      </c>
      <c r="H368" s="119" t="s">
        <v>1618</v>
      </c>
      <c r="I368" s="119" t="s">
        <v>707</v>
      </c>
      <c r="J368" s="277" t="s">
        <v>1819</v>
      </c>
      <c r="K368" s="277" t="s">
        <v>1819</v>
      </c>
      <c r="L368" s="277" t="s">
        <v>1819</v>
      </c>
      <c r="M368" s="121"/>
      <c r="N368" s="121"/>
    </row>
    <row r="369" spans="1:14" s="119" customFormat="1" x14ac:dyDescent="0.2">
      <c r="A369">
        <f t="shared" si="5"/>
        <v>368</v>
      </c>
      <c r="B369" s="119" t="s">
        <v>419</v>
      </c>
      <c r="C369" s="120">
        <v>1</v>
      </c>
      <c r="D369" s="120">
        <v>647</v>
      </c>
      <c r="E369" s="121">
        <f>VLOOKUP( T_Aop[[#This Row],[Id]], T_Aop[], ID_Jezik + 9, 1)</f>
        <v>539</v>
      </c>
      <c r="F369" s="120" t="str">
        <f>REPT( "  ", T_Aop[[#This Row],[Aop nivo]]) &amp; VLOOKUP( T_Aop[[#This Row],[Id]], T_Aop[], ID_Jezik + 6, 1)</f>
        <v xml:space="preserve">  ž) Troškovi ostalih usluga</v>
      </c>
      <c r="G369" s="119" t="s">
        <v>1619</v>
      </c>
      <c r="H369" s="119" t="s">
        <v>1620</v>
      </c>
      <c r="I369" s="119" t="s">
        <v>708</v>
      </c>
      <c r="J369" s="277">
        <v>539</v>
      </c>
      <c r="K369" s="277">
        <v>539</v>
      </c>
      <c r="L369" s="277">
        <v>539</v>
      </c>
      <c r="M369" s="121"/>
      <c r="N369" s="121"/>
    </row>
    <row r="370" spans="1:14" s="119" customFormat="1" x14ac:dyDescent="0.2">
      <c r="A370">
        <f t="shared" si="5"/>
        <v>369</v>
      </c>
      <c r="B370" s="119" t="s">
        <v>419</v>
      </c>
      <c r="C370" s="120">
        <v>2</v>
      </c>
      <c r="D370" s="120">
        <v>648</v>
      </c>
      <c r="E370" s="121" t="str">
        <f>VLOOKUP( T_Aop[[#This Row],[Id]], T_Aop[], ID_Jezik + 9, 1)</f>
        <v>dio 539</v>
      </c>
      <c r="F370" s="120" t="str">
        <f>REPT( "  ", T_Aop[[#This Row],[Aop nivo]]) &amp; VLOOKUP( T_Aop[[#This Row],[Id]], T_Aop[], ID_Jezik + 6, 1)</f>
        <v xml:space="preserve">    Od toga: bruto iznosi naknada po ugovorima sa fizičkim licima van radnog odnosa</v>
      </c>
      <c r="G370" s="119" t="s">
        <v>1621</v>
      </c>
      <c r="H370" s="119" t="s">
        <v>1622</v>
      </c>
      <c r="I370" s="119" t="s">
        <v>1623</v>
      </c>
      <c r="J370" s="277" t="s">
        <v>676</v>
      </c>
      <c r="K370" s="277" t="s">
        <v>1820</v>
      </c>
      <c r="L370" s="277" t="s">
        <v>684</v>
      </c>
      <c r="M370" s="121"/>
      <c r="N370" s="121"/>
    </row>
    <row r="371" spans="1:14" s="119" customFormat="1" x14ac:dyDescent="0.2">
      <c r="A371">
        <f t="shared" si="5"/>
        <v>370</v>
      </c>
      <c r="B371" s="119" t="s">
        <v>419</v>
      </c>
      <c r="C371" s="120">
        <v>0</v>
      </c>
      <c r="D371" s="120">
        <v>649</v>
      </c>
      <c r="E371" s="121">
        <f>VLOOKUP( T_Aop[[#This Row],[Id]], T_Aop[], ID_Jezik + 9, 1)</f>
        <v>55</v>
      </c>
      <c r="F371" s="120" t="str">
        <f>REPT( "  ", T_Aop[[#This Row],[Aop nivo]]) &amp; VLOOKUP( T_Aop[[#This Row],[Id]], T_Aop[], ID_Jezik + 6, 1)</f>
        <v>NEMATERIJALNI TROŠKOVI (650 + 653 + 654 + 655 + 656 + 657 + 658 + 659)</v>
      </c>
      <c r="G371" s="119" t="s">
        <v>1973</v>
      </c>
      <c r="H371" s="119" t="s">
        <v>2028</v>
      </c>
      <c r="I371" s="119" t="s">
        <v>2029</v>
      </c>
      <c r="J371" s="277">
        <v>55</v>
      </c>
      <c r="K371" s="278">
        <v>55</v>
      </c>
      <c r="L371" s="277">
        <v>55</v>
      </c>
      <c r="M371" s="121">
        <v>1</v>
      </c>
      <c r="N371" s="121"/>
    </row>
    <row r="372" spans="1:14" s="119" customFormat="1" x14ac:dyDescent="0.2">
      <c r="A372">
        <f t="shared" si="5"/>
        <v>371</v>
      </c>
      <c r="B372" s="119" t="s">
        <v>419</v>
      </c>
      <c r="C372" s="120">
        <v>1</v>
      </c>
      <c r="D372" s="120">
        <v>650</v>
      </c>
      <c r="E372" s="121">
        <f>VLOOKUP( T_Aop[[#This Row],[Id]], T_Aop[], ID_Jezik + 9, 1)</f>
        <v>550</v>
      </c>
      <c r="F372" s="120" t="str">
        <f>REPT( "  ", T_Aop[[#This Row],[Aop nivo]]) &amp; VLOOKUP( T_Aop[[#This Row],[Id]], T_Aop[], ID_Jezik + 6, 1)</f>
        <v xml:space="preserve">  a) Troškovi neproizvodnih usluga</v>
      </c>
      <c r="G372" s="119" t="s">
        <v>1974</v>
      </c>
      <c r="H372" s="119" t="s">
        <v>1999</v>
      </c>
      <c r="I372" s="119" t="s">
        <v>1986</v>
      </c>
      <c r="J372" s="277">
        <v>550</v>
      </c>
      <c r="K372" s="278">
        <v>550</v>
      </c>
      <c r="L372" s="277">
        <v>550</v>
      </c>
      <c r="M372" s="121"/>
      <c r="N372" s="121"/>
    </row>
    <row r="373" spans="1:14" s="119" customFormat="1" x14ac:dyDescent="0.2">
      <c r="A373">
        <f t="shared" si="5"/>
        <v>372</v>
      </c>
      <c r="B373" s="119" t="s">
        <v>419</v>
      </c>
      <c r="C373" s="120">
        <v>2</v>
      </c>
      <c r="D373" s="120">
        <v>651</v>
      </c>
      <c r="E373" s="121" t="str">
        <f>VLOOKUP( T_Aop[[#This Row],[Id]], T_Aop[], ID_Jezik + 9, 1)</f>
        <v>dio 550</v>
      </c>
      <c r="F373" s="120" t="str">
        <f>REPT( "  ", T_Aop[[#This Row],[Aop nivo]]) &amp; VLOOKUP( T_Aop[[#This Row],[Id]], T_Aop[], ID_Jezik + 6, 1)</f>
        <v xml:space="preserve">    Od toga: troškovi stručnog obrazovanja i usavršavanja zaposlenih</v>
      </c>
      <c r="G373" s="119" t="s">
        <v>1975</v>
      </c>
      <c r="H373" s="119" t="s">
        <v>1998</v>
      </c>
      <c r="I373" s="119" t="s">
        <v>709</v>
      </c>
      <c r="J373" s="277" t="s">
        <v>248</v>
      </c>
      <c r="K373" s="278" t="s">
        <v>1821</v>
      </c>
      <c r="L373" s="277" t="s">
        <v>685</v>
      </c>
      <c r="M373" s="121"/>
      <c r="N373" s="121"/>
    </row>
    <row r="374" spans="1:14" s="119" customFormat="1" x14ac:dyDescent="0.2">
      <c r="A374">
        <f t="shared" si="5"/>
        <v>373</v>
      </c>
      <c r="B374" s="119" t="s">
        <v>419</v>
      </c>
      <c r="C374" s="120">
        <v>2</v>
      </c>
      <c r="D374" s="120">
        <v>652</v>
      </c>
      <c r="E374" s="121" t="str">
        <f>VLOOKUP( T_Aop[[#This Row],[Id]], T_Aop[], ID_Jezik + 9, 1)</f>
        <v>dio 550</v>
      </c>
      <c r="F374" s="120" t="str">
        <f>REPT( "  ", T_Aop[[#This Row],[Aop nivo]]) &amp; VLOOKUP( T_Aop[[#This Row],[Id]], T_Aop[], ID_Jezik + 6, 1)</f>
        <v xml:space="preserve">    Od toga: bruto iznosi naknada po ugovorima sa fizičkim licima van radnog odnosa</v>
      </c>
      <c r="G374" s="119" t="s">
        <v>1621</v>
      </c>
      <c r="H374" s="119" t="s">
        <v>1622</v>
      </c>
      <c r="I374" s="119" t="s">
        <v>1623</v>
      </c>
      <c r="J374" s="277" t="s">
        <v>248</v>
      </c>
      <c r="K374" s="278" t="s">
        <v>1821</v>
      </c>
      <c r="L374" s="277" t="s">
        <v>685</v>
      </c>
      <c r="M374" s="121"/>
      <c r="N374" s="121"/>
    </row>
    <row r="375" spans="1:14" s="119" customFormat="1" x14ac:dyDescent="0.2">
      <c r="A375">
        <f t="shared" si="5"/>
        <v>374</v>
      </c>
      <c r="B375" s="119" t="s">
        <v>419</v>
      </c>
      <c r="C375" s="120">
        <v>1</v>
      </c>
      <c r="D375" s="120">
        <v>653</v>
      </c>
      <c r="E375" s="121">
        <f>VLOOKUP( T_Aop[[#This Row],[Id]], T_Aop[], ID_Jezik + 9, 1)</f>
        <v>551</v>
      </c>
      <c r="F375" s="120" t="str">
        <f>REPT( "  ", T_Aop[[#This Row],[Aop nivo]]) &amp; VLOOKUP( T_Aop[[#This Row],[Id]], T_Aop[], ID_Jezik + 6, 1)</f>
        <v xml:space="preserve">  b) Troškovi reprezentacije</v>
      </c>
      <c r="G375" s="119" t="s">
        <v>1976</v>
      </c>
      <c r="H375" s="119" t="s">
        <v>2000</v>
      </c>
      <c r="I375" s="119" t="s">
        <v>1987</v>
      </c>
      <c r="J375" s="277">
        <v>551</v>
      </c>
      <c r="K375" s="278">
        <v>551</v>
      </c>
      <c r="L375" s="277">
        <v>551</v>
      </c>
      <c r="M375" s="121"/>
      <c r="N375" s="121"/>
    </row>
    <row r="376" spans="1:14" s="119" customFormat="1" x14ac:dyDescent="0.2">
      <c r="A376">
        <f t="shared" si="5"/>
        <v>375</v>
      </c>
      <c r="B376" s="119" t="s">
        <v>419</v>
      </c>
      <c r="C376" s="120">
        <v>1</v>
      </c>
      <c r="D376" s="120">
        <v>654</v>
      </c>
      <c r="E376" s="121">
        <f>VLOOKUP( T_Aop[[#This Row],[Id]], T_Aop[], ID_Jezik + 9, 1)</f>
        <v>552</v>
      </c>
      <c r="F376" s="120" t="str">
        <f>REPT( "  ", T_Aop[[#This Row],[Aop nivo]]) &amp; VLOOKUP( T_Aop[[#This Row],[Id]], T_Aop[], ID_Jezik + 6, 1)</f>
        <v xml:space="preserve">  v) Troškovi premije osiguranja</v>
      </c>
      <c r="G376" s="119" t="s">
        <v>1977</v>
      </c>
      <c r="H376" s="119" t="s">
        <v>2001</v>
      </c>
      <c r="I376" s="119" t="s">
        <v>1988</v>
      </c>
      <c r="J376" s="277">
        <v>552</v>
      </c>
      <c r="K376" s="278">
        <v>552</v>
      </c>
      <c r="L376" s="277">
        <v>552</v>
      </c>
      <c r="M376" s="121"/>
      <c r="N376" s="121"/>
    </row>
    <row r="377" spans="1:14" s="119" customFormat="1" x14ac:dyDescent="0.2">
      <c r="A377">
        <f t="shared" si="5"/>
        <v>376</v>
      </c>
      <c r="B377" s="119" t="s">
        <v>419</v>
      </c>
      <c r="C377" s="120">
        <v>1</v>
      </c>
      <c r="D377" s="120">
        <v>655</v>
      </c>
      <c r="E377" s="121">
        <f>VLOOKUP( T_Aop[[#This Row],[Id]], T_Aop[], ID_Jezik + 9, 1)</f>
        <v>553</v>
      </c>
      <c r="F377" s="120" t="str">
        <f>REPT( "  ", T_Aop[[#This Row],[Aop nivo]]) &amp; VLOOKUP( T_Aop[[#This Row],[Id]], T_Aop[], ID_Jezik + 6, 1)</f>
        <v xml:space="preserve">  g) Troškovi platnog prometa</v>
      </c>
      <c r="G377" s="119" t="s">
        <v>1978</v>
      </c>
      <c r="H377" s="119" t="s">
        <v>2002</v>
      </c>
      <c r="I377" s="119" t="s">
        <v>1989</v>
      </c>
      <c r="J377" s="277">
        <v>553</v>
      </c>
      <c r="K377" s="278">
        <v>553</v>
      </c>
      <c r="L377" s="277">
        <v>553</v>
      </c>
      <c r="M377" s="121"/>
      <c r="N377" s="121"/>
    </row>
    <row r="378" spans="1:14" s="119" customFormat="1" x14ac:dyDescent="0.2">
      <c r="A378">
        <f t="shared" si="5"/>
        <v>377</v>
      </c>
      <c r="B378" s="119" t="s">
        <v>419</v>
      </c>
      <c r="C378" s="120">
        <v>1</v>
      </c>
      <c r="D378" s="120">
        <v>656</v>
      </c>
      <c r="E378" s="121">
        <f>VLOOKUP( T_Aop[[#This Row],[Id]], T_Aop[], ID_Jezik + 9, 1)</f>
        <v>554</v>
      </c>
      <c r="F378" s="120" t="str">
        <f>REPT( "  ", T_Aop[[#This Row],[Aop nivo]]) &amp; VLOOKUP( T_Aop[[#This Row],[Id]], T_Aop[], ID_Jezik + 6, 1)</f>
        <v xml:space="preserve">  d) Troškovi članarina</v>
      </c>
      <c r="G378" s="119" t="s">
        <v>1979</v>
      </c>
      <c r="H378" s="119" t="s">
        <v>2003</v>
      </c>
      <c r="I378" s="119" t="s">
        <v>1990</v>
      </c>
      <c r="J378" s="277">
        <v>554</v>
      </c>
      <c r="K378" s="277">
        <v>554</v>
      </c>
      <c r="L378" s="277">
        <v>554</v>
      </c>
      <c r="M378" s="121"/>
      <c r="N378" s="121"/>
    </row>
    <row r="379" spans="1:14" s="119" customFormat="1" x14ac:dyDescent="0.2">
      <c r="A379">
        <f t="shared" si="5"/>
        <v>378</v>
      </c>
      <c r="B379" s="119" t="s">
        <v>419</v>
      </c>
      <c r="C379" s="120">
        <v>1</v>
      </c>
      <c r="D379" s="120">
        <v>657</v>
      </c>
      <c r="E379" s="121" t="str">
        <f>VLOOKUP( T_Aop[[#This Row],[Id]], T_Aop[], ID_Jezik + 9, 1)</f>
        <v>dio 555</v>
      </c>
      <c r="F379" s="120" t="str">
        <f>REPT( "  ", T_Aop[[#This Row],[Aop nivo]]) &amp; VLOOKUP( T_Aop[[#This Row],[Id]], T_Aop[], ID_Jezik + 6, 1)</f>
        <v xml:space="preserve">  đ) Troškovi poreza na proizvode, carine, boravišne takse, porez na igre na sreću i sl.</v>
      </c>
      <c r="G379" s="119" t="s">
        <v>1980</v>
      </c>
      <c r="H379" s="119" t="s">
        <v>2004</v>
      </c>
      <c r="I379" s="119" t="s">
        <v>1991</v>
      </c>
      <c r="J379" s="277" t="s">
        <v>677</v>
      </c>
      <c r="K379" s="277" t="s">
        <v>1822</v>
      </c>
      <c r="L379" s="277" t="s">
        <v>686</v>
      </c>
      <c r="M379" s="121"/>
      <c r="N379" s="121"/>
    </row>
    <row r="380" spans="1:14" x14ac:dyDescent="0.2">
      <c r="A380">
        <f t="shared" si="5"/>
        <v>379</v>
      </c>
      <c r="B380" t="s">
        <v>419</v>
      </c>
      <c r="C380" s="120">
        <v>1</v>
      </c>
      <c r="D380">
        <v>658</v>
      </c>
      <c r="E380" s="2" t="str">
        <f>VLOOKUP( T_Aop[[#This Row],[Id]], T_Aop[], ID_Jezik + 9, 1)</f>
        <v>dio 555</v>
      </c>
      <c r="F380" t="str">
        <f>REPT( "  ", T_Aop[[#This Row],[Aop nivo]]) &amp; VLOOKUP( T_Aop[[#This Row],[Id]], T_Aop[], ID_Jezik + 6, 1)</f>
        <v xml:space="preserve">  e) Troškovi poreza na proizvodnju: na imovinu, na zemljište, za korišćenje voda i šuma, za protivpožarnu zaštitu i sl.</v>
      </c>
      <c r="G380" t="s">
        <v>1982</v>
      </c>
      <c r="H380" s="119" t="s">
        <v>2005</v>
      </c>
      <c r="I380" s="119" t="s">
        <v>1992</v>
      </c>
      <c r="J380" s="275" t="s">
        <v>677</v>
      </c>
      <c r="K380" s="277" t="s">
        <v>1822</v>
      </c>
      <c r="L380" s="277" t="s">
        <v>686</v>
      </c>
      <c r="M380" s="121"/>
      <c r="N380" s="121">
        <v>1</v>
      </c>
    </row>
    <row r="381" spans="1:14" x14ac:dyDescent="0.2">
      <c r="A381">
        <f t="shared" si="5"/>
        <v>380</v>
      </c>
      <c r="B381" t="s">
        <v>419</v>
      </c>
      <c r="C381" s="120">
        <v>1</v>
      </c>
      <c r="D381" s="3">
        <v>659</v>
      </c>
      <c r="E381" s="10">
        <f>VLOOKUP( T_Aop[[#This Row],[Id]], T_Aop[], ID_Jezik + 9, 1)</f>
        <v>559</v>
      </c>
      <c r="F381" s="3" t="str">
        <f>REPT( "  ", T_Aop[[#This Row],[Aop nivo]]) &amp; VLOOKUP( T_Aop[[#This Row],[Id]], T_Aop[], ID_Jezik + 6, 1)</f>
        <v xml:space="preserve">  ž) Ostali nematerijalni troškovi</v>
      </c>
      <c r="G381" t="s">
        <v>1981</v>
      </c>
      <c r="H381" s="119" t="s">
        <v>2006</v>
      </c>
      <c r="I381" s="119" t="s">
        <v>1993</v>
      </c>
      <c r="J381" s="275">
        <v>559</v>
      </c>
      <c r="K381" s="277">
        <v>559</v>
      </c>
      <c r="L381" s="277">
        <v>559</v>
      </c>
      <c r="M381" s="121"/>
      <c r="N381" s="121"/>
    </row>
    <row r="382" spans="1:14" x14ac:dyDescent="0.2">
      <c r="A382">
        <f t="shared" si="5"/>
        <v>381</v>
      </c>
      <c r="B382" t="s">
        <v>419</v>
      </c>
      <c r="C382" s="120">
        <v>0</v>
      </c>
      <c r="D382" s="3">
        <v>660</v>
      </c>
      <c r="E382" s="10">
        <f>VLOOKUP( T_Aop[[#This Row],[Id]], T_Aop[], ID_Jezik + 9, 1)</f>
        <v>0</v>
      </c>
      <c r="F382" s="3" t="str">
        <f>REPT( "  ", T_Aop[[#This Row],[Aop nivo]]) &amp; VLOOKUP( T_Aop[[#This Row],[Id]], T_Aop[], ID_Jezik + 6, 1)</f>
        <v>OBAVEZE I POTRAŽIVANJA</v>
      </c>
      <c r="G382" t="s">
        <v>710</v>
      </c>
      <c r="H382" s="119" t="s">
        <v>1624</v>
      </c>
      <c r="I382" s="119" t="s">
        <v>711</v>
      </c>
      <c r="J382" s="275"/>
      <c r="K382" s="275"/>
      <c r="L382" s="275"/>
      <c r="M382" s="121">
        <v>1</v>
      </c>
      <c r="N382" s="121"/>
    </row>
    <row r="383" spans="1:14" x14ac:dyDescent="0.2">
      <c r="A383">
        <f t="shared" si="5"/>
        <v>382</v>
      </c>
      <c r="B383" t="s">
        <v>419</v>
      </c>
      <c r="C383" s="120">
        <v>1</v>
      </c>
      <c r="D383" s="3">
        <v>661</v>
      </c>
      <c r="E383" s="10" t="str">
        <f>VLOOKUP( T_Aop[[#This Row],[Id]], T_Aop[], ID_Jezik + 9, 1)</f>
        <v>47, osim 479</v>
      </c>
      <c r="F383" s="3" t="str">
        <f>REPT( "  ", T_Aop[[#This Row],[Aop nivo]]) &amp; VLOOKUP( T_Aop[[#This Row],[Id]], T_Aop[], ID_Jezik + 6, 1)</f>
        <v xml:space="preserve">  Obračunati (fakturisani) porez na dodatu vrijednost (kumulativan promet konta)</v>
      </c>
      <c r="G383" t="s">
        <v>712</v>
      </c>
      <c r="H383" s="119" t="s">
        <v>1625</v>
      </c>
      <c r="I383" s="119" t="s">
        <v>713</v>
      </c>
      <c r="J383" s="275" t="s">
        <v>192</v>
      </c>
      <c r="K383" s="277" t="s">
        <v>1823</v>
      </c>
      <c r="L383" s="277" t="s">
        <v>121</v>
      </c>
      <c r="M383" s="121"/>
      <c r="N383" s="121"/>
    </row>
    <row r="384" spans="1:14" x14ac:dyDescent="0.2">
      <c r="A384">
        <f t="shared" si="5"/>
        <v>383</v>
      </c>
      <c r="B384" t="s">
        <v>419</v>
      </c>
      <c r="C384">
        <v>1</v>
      </c>
      <c r="D384" s="3">
        <v>662</v>
      </c>
      <c r="E384" s="10" t="str">
        <f>VLOOKUP( T_Aop[[#This Row],[Id]], T_Aop[], ID_Jezik + 9, 1)</f>
        <v>27, osim 279</v>
      </c>
      <c r="F384" s="3" t="str">
        <f>REPT( "  ", T_Aop[[#This Row],[Aop nivo]]) &amp; VLOOKUP( T_Aop[[#This Row],[Id]], T_Aop[], ID_Jezik + 6, 1)</f>
        <v xml:space="preserve">  Ulazni porez na dodatu vrijednost (kumulativan promet konta)</v>
      </c>
      <c r="G384" t="s">
        <v>714</v>
      </c>
      <c r="H384" t="s">
        <v>1626</v>
      </c>
      <c r="I384" t="s">
        <v>715</v>
      </c>
      <c r="J384" s="275" t="s">
        <v>193</v>
      </c>
      <c r="K384" s="275" t="s">
        <v>1824</v>
      </c>
      <c r="L384" s="275" t="s">
        <v>122</v>
      </c>
      <c r="M384" s="10"/>
      <c r="N384" s="10"/>
    </row>
    <row r="385" spans="1:14" x14ac:dyDescent="0.2">
      <c r="A385">
        <f t="shared" si="5"/>
        <v>384</v>
      </c>
      <c r="B385" t="s">
        <v>419</v>
      </c>
      <c r="C385" s="3">
        <v>1</v>
      </c>
      <c r="D385" s="3">
        <v>663</v>
      </c>
      <c r="E385" s="10">
        <f>VLOOKUP( T_Aop[[#This Row],[Id]], T_Aop[], ID_Jezik + 9, 1)</f>
        <v>479</v>
      </c>
      <c r="F385" s="3" t="str">
        <f>REPT( "  ", T_Aop[[#This Row],[Aop nivo]]) &amp; VLOOKUP( T_Aop[[#This Row],[Id]], T_Aop[], ID_Jezik + 6, 1)</f>
        <v xml:space="preserve">  Obaveze za PDV po osnovu razlike između obračunatog i akontacionog PDV-a (saldo konta)</v>
      </c>
      <c r="G385" t="s">
        <v>1627</v>
      </c>
      <c r="H385" t="s">
        <v>1628</v>
      </c>
      <c r="I385" t="s">
        <v>716</v>
      </c>
      <c r="J385" s="275">
        <v>479</v>
      </c>
      <c r="K385" s="275">
        <v>479</v>
      </c>
      <c r="L385" s="275">
        <v>479</v>
      </c>
      <c r="M385" s="10"/>
      <c r="N385" s="10"/>
    </row>
    <row r="386" spans="1:14" x14ac:dyDescent="0.2">
      <c r="A386">
        <f t="shared" ref="A386:A415" si="6">ROW()-ROW($A$1)</f>
        <v>385</v>
      </c>
      <c r="B386" t="s">
        <v>419</v>
      </c>
      <c r="C386" s="3">
        <v>1</v>
      </c>
      <c r="D386" s="3">
        <v>664</v>
      </c>
      <c r="E386" s="10">
        <f>VLOOKUP( T_Aop[[#This Row],[Id]], T_Aop[], ID_Jezik + 9, 1)</f>
        <v>279</v>
      </c>
      <c r="F386" s="3" t="str">
        <f>REPT( "  ", T_Aop[[#This Row],[Aop nivo]]) &amp; VLOOKUP( T_Aop[[#This Row],[Id]], T_Aop[], ID_Jezik + 6, 1)</f>
        <v xml:space="preserve">  Potraživanja po osnovu razlike između akontacionog i obračunatog PDV-a (saldo konta)</v>
      </c>
      <c r="G386" t="s">
        <v>1629</v>
      </c>
      <c r="H386" t="s">
        <v>1630</v>
      </c>
      <c r="I386" t="s">
        <v>717</v>
      </c>
      <c r="J386" s="275">
        <v>279</v>
      </c>
      <c r="K386" s="275">
        <v>279</v>
      </c>
      <c r="L386" s="275">
        <v>279</v>
      </c>
      <c r="M386" s="10"/>
      <c r="N386" s="10"/>
    </row>
    <row r="387" spans="1:14" x14ac:dyDescent="0.2">
      <c r="A387">
        <f t="shared" si="6"/>
        <v>386</v>
      </c>
      <c r="B387" t="s">
        <v>419</v>
      </c>
      <c r="C387" s="3">
        <v>1</v>
      </c>
      <c r="D387" s="3">
        <v>665</v>
      </c>
      <c r="E387" s="10">
        <f>VLOOKUP( T_Aop[[#This Row],[Id]], T_Aop[], ID_Jezik + 9, 1)</f>
        <v>271</v>
      </c>
      <c r="F387" s="3" t="str">
        <f>REPT( "  ", T_Aop[[#This Row],[Aop nivo]]) &amp; VLOOKUP( T_Aop[[#This Row],[Id]], T_Aop[], ID_Jezik + 6, 1)</f>
        <v xml:space="preserve">  PDV plaćen pri uvozu (kumulativan promet konta)</v>
      </c>
      <c r="G387" t="s">
        <v>1631</v>
      </c>
      <c r="H387" t="s">
        <v>1632</v>
      </c>
      <c r="I387" t="s">
        <v>718</v>
      </c>
      <c r="J387" s="275">
        <v>271</v>
      </c>
      <c r="K387" s="275">
        <v>271</v>
      </c>
      <c r="L387" s="275">
        <v>271</v>
      </c>
      <c r="M387" s="10"/>
      <c r="N387" s="10"/>
    </row>
    <row r="388" spans="1:14" x14ac:dyDescent="0.2">
      <c r="A388">
        <f t="shared" si="6"/>
        <v>387</v>
      </c>
      <c r="B388" t="s">
        <v>419</v>
      </c>
      <c r="C388" s="3">
        <v>1</v>
      </c>
      <c r="D388" s="3">
        <v>666</v>
      </c>
      <c r="E388" s="10">
        <f>VLOOKUP( T_Aop[[#This Row],[Id]], T_Aop[], ID_Jezik + 9, 1)</f>
        <v>484</v>
      </c>
      <c r="F388" s="3" t="str">
        <f>REPT( "  ", T_Aop[[#This Row],[Aop nivo]]) &amp; VLOOKUP( T_Aop[[#This Row],[Id]], T_Aop[], ID_Jezik + 6, 1)</f>
        <v xml:space="preserve">  Obaveze za PDV plaćen pri uvozu (kumulativan promet konta)</v>
      </c>
      <c r="G388" t="s">
        <v>719</v>
      </c>
      <c r="H388" t="s">
        <v>1633</v>
      </c>
      <c r="I388" t="s">
        <v>720</v>
      </c>
      <c r="J388" s="275">
        <v>484</v>
      </c>
      <c r="K388" s="275">
        <v>484</v>
      </c>
      <c r="L388" s="275">
        <v>484</v>
      </c>
      <c r="M388" s="10"/>
      <c r="N388" s="10"/>
    </row>
    <row r="389" spans="1:14" x14ac:dyDescent="0.2">
      <c r="A389">
        <f t="shared" si="6"/>
        <v>388</v>
      </c>
      <c r="B389" t="s">
        <v>419</v>
      </c>
      <c r="C389" s="3">
        <v>1</v>
      </c>
      <c r="D389" s="3">
        <v>667</v>
      </c>
      <c r="E389" s="10">
        <f>VLOOKUP( T_Aop[[#This Row],[Id]], T_Aop[], ID_Jezik + 9, 1)</f>
        <v>480</v>
      </c>
      <c r="F389" s="3" t="str">
        <f>REPT( "  ", T_Aop[[#This Row],[Aop nivo]]) &amp; VLOOKUP( T_Aop[[#This Row],[Id]], T_Aop[], ID_Jezik + 6, 1)</f>
        <v xml:space="preserve">  Obaveze za akcize (kumulativan promet konta)</v>
      </c>
      <c r="G389" t="s">
        <v>721</v>
      </c>
      <c r="H389" t="s">
        <v>1634</v>
      </c>
      <c r="I389" t="s">
        <v>722</v>
      </c>
      <c r="J389" s="275">
        <v>480</v>
      </c>
      <c r="K389" s="275">
        <v>480</v>
      </c>
      <c r="L389" s="275">
        <v>480</v>
      </c>
      <c r="M389" s="10"/>
      <c r="N389" s="10"/>
    </row>
    <row r="390" spans="1:14" x14ac:dyDescent="0.2">
      <c r="A390">
        <f t="shared" si="6"/>
        <v>389</v>
      </c>
      <c r="B390" t="s">
        <v>419</v>
      </c>
      <c r="C390" s="3">
        <v>1</v>
      </c>
      <c r="D390" s="3">
        <v>668</v>
      </c>
      <c r="E390" s="10" t="str">
        <f>VLOOKUP( T_Aop[[#This Row],[Id]], T_Aop[], ID_Jezik + 9, 1)</f>
        <v>nema konta</v>
      </c>
      <c r="F390" s="3" t="str">
        <f>REPT( "  ", T_Aop[[#This Row],[Aop nivo]]) &amp; VLOOKUP( T_Aop[[#This Row],[Id]], T_Aop[], ID_Jezik + 6, 1)</f>
        <v xml:space="preserve">  Prihodi ostvareni na bazi podugovaranja</v>
      </c>
      <c r="G390" t="s">
        <v>723</v>
      </c>
      <c r="H390" t="s">
        <v>1635</v>
      </c>
      <c r="I390" t="s">
        <v>724</v>
      </c>
      <c r="J390" s="275" t="s">
        <v>1964</v>
      </c>
      <c r="K390" s="275" t="s">
        <v>1994</v>
      </c>
      <c r="L390" s="275"/>
      <c r="M390" s="10"/>
      <c r="N390" s="10"/>
    </row>
    <row r="391" spans="1:14" x14ac:dyDescent="0.2">
      <c r="A391">
        <f t="shared" si="6"/>
        <v>390</v>
      </c>
      <c r="B391" t="s">
        <v>419</v>
      </c>
      <c r="C391" s="3">
        <v>1</v>
      </c>
      <c r="D391" s="3">
        <v>669</v>
      </c>
      <c r="E391" s="10" t="str">
        <f>VLOOKUP( T_Aop[[#This Row],[Id]], T_Aop[], ID_Jezik + 9, 1)</f>
        <v>nema konta</v>
      </c>
      <c r="F391" s="3" t="str">
        <f>REPT( "  ", T_Aop[[#This Row],[Aop nivo]]) &amp; VLOOKUP( T_Aop[[#This Row],[Id]], T_Aop[], ID_Jezik + 6, 1)</f>
        <v xml:space="preserve">  Plaćanja podugovaračima za rad, isporučene proizvode i usluge</v>
      </c>
      <c r="G391" t="s">
        <v>669</v>
      </c>
      <c r="H391" t="s">
        <v>1636</v>
      </c>
      <c r="I391" t="s">
        <v>725</v>
      </c>
      <c r="J391" s="275" t="s">
        <v>1964</v>
      </c>
      <c r="K391" s="275" t="s">
        <v>1994</v>
      </c>
      <c r="L391" s="275"/>
      <c r="M391" s="10"/>
      <c r="N391" s="10"/>
    </row>
    <row r="392" spans="1:14" x14ac:dyDescent="0.2">
      <c r="A392">
        <f t="shared" si="6"/>
        <v>391</v>
      </c>
      <c r="B392" t="s">
        <v>419</v>
      </c>
      <c r="C392" s="3">
        <v>1</v>
      </c>
      <c r="D392" s="3">
        <v>670</v>
      </c>
      <c r="E392" s="10" t="str">
        <f>VLOOKUP( T_Aop[[#This Row],[Id]], T_Aop[], ID_Jezik + 9, 1)</f>
        <v>nema konta</v>
      </c>
      <c r="F392" s="3" t="str">
        <f>REPT( "  ", T_Aop[[#This Row],[Aop nivo]]) &amp; VLOOKUP( T_Aop[[#This Row],[Id]], T_Aop[], ID_Jezik + 6, 1)</f>
        <v xml:space="preserve">  Ukupan broj odrađenih časova rada (efektivni časovi rada bez bolovanja, godišnjih odmora, državnih praznika i sl.)</v>
      </c>
      <c r="G392" t="s">
        <v>670</v>
      </c>
      <c r="H392" t="s">
        <v>1637</v>
      </c>
      <c r="I392" t="s">
        <v>726</v>
      </c>
      <c r="J392" s="275" t="s">
        <v>1964</v>
      </c>
      <c r="K392" s="275" t="s">
        <v>1994</v>
      </c>
      <c r="L392" s="275"/>
      <c r="M392" s="10"/>
      <c r="N392" s="10">
        <v>1</v>
      </c>
    </row>
    <row r="393" spans="1:14" x14ac:dyDescent="0.2">
      <c r="A393">
        <f t="shared" si="6"/>
        <v>392</v>
      </c>
      <c r="B393" t="s">
        <v>420</v>
      </c>
      <c r="C393" s="3">
        <v>0</v>
      </c>
      <c r="D393">
        <v>901</v>
      </c>
      <c r="E393" s="2" t="str">
        <f>VLOOKUP( T_Aop[[#This Row],[Id]], T_Aop[], ID_Jezik + 9, 1)</f>
        <v>1.</v>
      </c>
      <c r="F393" t="str">
        <f>REPT( "  ", T_Aop[[#This Row],[Aop nivo]]) &amp; VLOOKUP( T_Aop[[#This Row],[Id]], T_Aop[], ID_Jezik + 6, 1)</f>
        <v>Stanje na dan 01.01.2020. god.</v>
      </c>
      <c r="G393" s="162" t="str">
        <f>CONCATENATE("Stanje na dan ", Podesavanja!$X$6, " god.")</f>
        <v>Stanje na dan 01.01.2020. god.</v>
      </c>
      <c r="H393" s="162" t="str">
        <f>CONCATENATE("Стaњe нa дaн ",  Podesavanja!$X$6, " гoд.")</f>
        <v>Стaњe нa дaн 01.01.2020. гoд.</v>
      </c>
      <c r="I393" s="162" t="str">
        <f>CONCATENATE("Value on day ", Podesavanja!$Y$6)</f>
        <v>Value on day 01.01.2020</v>
      </c>
      <c r="J393" s="275" t="s">
        <v>1842</v>
      </c>
      <c r="K393" s="275" t="s">
        <v>1842</v>
      </c>
      <c r="L393" s="275">
        <v>1</v>
      </c>
      <c r="M393" s="10">
        <v>1</v>
      </c>
      <c r="N393" s="10"/>
    </row>
    <row r="394" spans="1:14" x14ac:dyDescent="0.2">
      <c r="A394">
        <f t="shared" si="6"/>
        <v>393</v>
      </c>
      <c r="B394" t="s">
        <v>420</v>
      </c>
      <c r="C394" s="3">
        <v>2</v>
      </c>
      <c r="D394">
        <v>902</v>
      </c>
      <c r="E394" s="2" t="str">
        <f>VLOOKUP( T_Aop[[#This Row],[Id]], T_Aop[], ID_Jezik + 9, 1)</f>
        <v>2.</v>
      </c>
      <c r="F394" t="str">
        <f>REPT( "  ", T_Aop[[#This Row],[Aop nivo]]) &amp; VLOOKUP( T_Aop[[#This Row],[Id]], T_Aop[], ID_Jezik + 6, 1)</f>
        <v xml:space="preserve">    Efekti promjena u računovodstvenim politikama </v>
      </c>
      <c r="G394" t="s">
        <v>116</v>
      </c>
      <c r="H394" t="s">
        <v>615</v>
      </c>
      <c r="I394" t="s">
        <v>124</v>
      </c>
      <c r="J394" s="275" t="s">
        <v>1843</v>
      </c>
      <c r="K394" s="275" t="s">
        <v>1843</v>
      </c>
      <c r="L394" s="275">
        <v>2</v>
      </c>
      <c r="M394" s="10"/>
      <c r="N394" s="10"/>
    </row>
    <row r="395" spans="1:14" x14ac:dyDescent="0.2">
      <c r="A395">
        <f t="shared" si="6"/>
        <v>394</v>
      </c>
      <c r="B395" t="s">
        <v>420</v>
      </c>
      <c r="C395" s="3">
        <v>2</v>
      </c>
      <c r="D395">
        <v>903</v>
      </c>
      <c r="E395" s="2" t="str">
        <f>VLOOKUP( T_Aop[[#This Row],[Id]], T_Aop[], ID_Jezik + 9, 1)</f>
        <v>3.</v>
      </c>
      <c r="F395" t="str">
        <f>REPT( "  ", T_Aop[[#This Row],[Aop nivo]]) &amp; VLOOKUP( T_Aop[[#This Row],[Id]], T_Aop[], ID_Jezik + 6, 1)</f>
        <v xml:space="preserve">    Efekti ispravke grešaka</v>
      </c>
      <c r="G395" t="s">
        <v>109</v>
      </c>
      <c r="H395" t="s">
        <v>616</v>
      </c>
      <c r="I395" t="s">
        <v>125</v>
      </c>
      <c r="J395" s="275" t="s">
        <v>1844</v>
      </c>
      <c r="K395" s="275" t="s">
        <v>1844</v>
      </c>
      <c r="L395" s="275">
        <v>3</v>
      </c>
      <c r="M395" s="10"/>
      <c r="N395" s="10"/>
    </row>
    <row r="396" spans="1:14" x14ac:dyDescent="0.2">
      <c r="A396">
        <f t="shared" si="6"/>
        <v>395</v>
      </c>
      <c r="B396" t="s">
        <v>420</v>
      </c>
      <c r="C396" s="3">
        <v>0</v>
      </c>
      <c r="D396">
        <v>904</v>
      </c>
      <c r="E396" s="2" t="str">
        <f>VLOOKUP( T_Aop[[#This Row],[Id]], T_Aop[], ID_Jezik + 9, 1)</f>
        <v>4.</v>
      </c>
      <c r="F396" t="str">
        <f>REPT( "  ", T_Aop[[#This Row],[Aop nivo]]) &amp; VLOOKUP( T_Aop[[#This Row],[Id]], T_Aop[], ID_Jezik + 6, 1)</f>
        <v>Ponovo iskazano stanje na dan 01.01.2020. god. (901 ± 902 ± 903)</v>
      </c>
      <c r="G396" s="162" t="str">
        <f>CONCATENATE("Ponovo iskazano stanje na dan ", Podesavanja!$X$6, " god. (901 ± 902 ± 903)")</f>
        <v>Ponovo iskazano stanje na dan 01.01.2020. god. (901 ± 902 ± 903)</v>
      </c>
      <c r="H396" s="162" t="str">
        <f>CONCATENATE("Пoнoвo искaзaнo стaњe нa дaн ",  Podesavanja!$X$6, " гoд. (901 ± 902 ± 903)")</f>
        <v>Пoнoвo искaзaнo стaњe нa дaн 01.01.2020. гoд. (901 ± 902 ± 903)</v>
      </c>
      <c r="I396" s="162" t="str">
        <f>CONCATENATE("New value on day ",  Podesavanja!$Y$6, " (901 ± 902 ± 903)")</f>
        <v>New value on day 01.01.2020 (901 ± 902 ± 903)</v>
      </c>
      <c r="J396" s="275" t="s">
        <v>1845</v>
      </c>
      <c r="K396" s="275" t="s">
        <v>1845</v>
      </c>
      <c r="L396" s="275">
        <v>4</v>
      </c>
      <c r="M396" s="10">
        <v>1</v>
      </c>
      <c r="N396" s="10"/>
    </row>
    <row r="397" spans="1:14" x14ac:dyDescent="0.2">
      <c r="A397">
        <f t="shared" si="6"/>
        <v>396</v>
      </c>
      <c r="B397" t="s">
        <v>420</v>
      </c>
      <c r="C397" s="3">
        <v>2</v>
      </c>
      <c r="D397">
        <v>905</v>
      </c>
      <c r="E397" s="2" t="str">
        <f>VLOOKUP( T_Aop[[#This Row],[Id]], T_Aop[], ID_Jezik + 9, 1)</f>
        <v>5.</v>
      </c>
      <c r="F397" t="str">
        <f>REPT( "  ", T_Aop[[#This Row],[Aop nivo]]) &amp; VLOOKUP( T_Aop[[#This Row],[Id]], T_Aop[], ID_Jezik + 6, 1)</f>
        <v xml:space="preserve">    Efekti revalorizacije materijalnih i nematerijalnih sredstava</v>
      </c>
      <c r="G397" t="s">
        <v>237</v>
      </c>
      <c r="H397" t="s">
        <v>617</v>
      </c>
      <c r="I397" t="s">
        <v>126</v>
      </c>
      <c r="J397" s="275" t="s">
        <v>1846</v>
      </c>
      <c r="K397" s="275" t="s">
        <v>1846</v>
      </c>
      <c r="L397" s="275">
        <v>5</v>
      </c>
      <c r="M397" s="10"/>
      <c r="N397" s="10"/>
    </row>
    <row r="398" spans="1:14" x14ac:dyDescent="0.2">
      <c r="A398">
        <f t="shared" si="6"/>
        <v>397</v>
      </c>
      <c r="B398" t="s">
        <v>420</v>
      </c>
      <c r="C398" s="3">
        <v>2</v>
      </c>
      <c r="D398">
        <v>906</v>
      </c>
      <c r="E398" s="2" t="str">
        <f>VLOOKUP( T_Aop[[#This Row],[Id]], T_Aop[], ID_Jezik + 9, 1)</f>
        <v>6.</v>
      </c>
      <c r="F398" t="str">
        <f>REPT( "  ", T_Aop[[#This Row],[Aop nivo]]) &amp; VLOOKUP( T_Aop[[#This Row],[Id]], T_Aop[], ID_Jezik + 6, 1)</f>
        <v xml:space="preserve">    Nerealizovani dobici/gubici po osnovu finansijskih sredstava raspoloživih za prodaju</v>
      </c>
      <c r="G398" t="s">
        <v>110</v>
      </c>
      <c r="H398" t="s">
        <v>618</v>
      </c>
      <c r="I398" t="s">
        <v>130</v>
      </c>
      <c r="J398" s="275" t="s">
        <v>1847</v>
      </c>
      <c r="K398" s="275" t="s">
        <v>1847</v>
      </c>
      <c r="L398" s="275">
        <v>6</v>
      </c>
      <c r="M398" s="10"/>
      <c r="N398" s="10">
        <v>1</v>
      </c>
    </row>
    <row r="399" spans="1:14" x14ac:dyDescent="0.2">
      <c r="A399">
        <f t="shared" si="6"/>
        <v>398</v>
      </c>
      <c r="B399" t="s">
        <v>420</v>
      </c>
      <c r="C399" s="3">
        <v>2</v>
      </c>
      <c r="D399">
        <v>907</v>
      </c>
      <c r="E399" s="2" t="str">
        <f>VLOOKUP( T_Aop[[#This Row],[Id]], T_Aop[], ID_Jezik + 9, 1)</f>
        <v>7.</v>
      </c>
      <c r="F399" t="str">
        <f>REPT( "  ", T_Aop[[#This Row],[Aop nivo]]) &amp; VLOOKUP( T_Aop[[#This Row],[Id]], T_Aop[], ID_Jezik + 6, 1)</f>
        <v xml:space="preserve">    Kursne razlike nastale po osnovu preračuna finansijskih izvještaja u drugu funkcionalnu valutu</v>
      </c>
      <c r="G399" t="s">
        <v>111</v>
      </c>
      <c r="H399" t="s">
        <v>619</v>
      </c>
      <c r="I399" t="s">
        <v>134</v>
      </c>
      <c r="J399" s="275" t="s">
        <v>1848</v>
      </c>
      <c r="K399" s="275" t="s">
        <v>1848</v>
      </c>
      <c r="L399" s="275">
        <v>7</v>
      </c>
      <c r="M399" s="10"/>
      <c r="N399" s="10">
        <v>1</v>
      </c>
    </row>
    <row r="400" spans="1:14" x14ac:dyDescent="0.2">
      <c r="A400">
        <f t="shared" si="6"/>
        <v>399</v>
      </c>
      <c r="B400" t="s">
        <v>420</v>
      </c>
      <c r="C400" s="3">
        <v>2</v>
      </c>
      <c r="D400">
        <v>908</v>
      </c>
      <c r="E400" s="2" t="str">
        <f>VLOOKUP( T_Aop[[#This Row],[Id]], T_Aop[], ID_Jezik + 9, 1)</f>
        <v>8.</v>
      </c>
      <c r="F400" t="str">
        <f>REPT( "  ", T_Aop[[#This Row],[Aop nivo]]) &amp; VLOOKUP( T_Aop[[#This Row],[Id]], T_Aop[], ID_Jezik + 6, 1)</f>
        <v xml:space="preserve">    Neto dobitak/gubitak perioda iskazan u bilansu uspjeha</v>
      </c>
      <c r="G400" t="s">
        <v>112</v>
      </c>
      <c r="H400" t="s">
        <v>620</v>
      </c>
      <c r="I400" t="s">
        <v>131</v>
      </c>
      <c r="J400" s="275" t="s">
        <v>1849</v>
      </c>
      <c r="K400" s="275" t="s">
        <v>1849</v>
      </c>
      <c r="L400" s="275">
        <v>8</v>
      </c>
      <c r="M400" s="10"/>
      <c r="N400" s="10"/>
    </row>
    <row r="401" spans="1:14" x14ac:dyDescent="0.2">
      <c r="A401">
        <f t="shared" si="6"/>
        <v>400</v>
      </c>
      <c r="B401" t="s">
        <v>420</v>
      </c>
      <c r="C401" s="3">
        <v>2</v>
      </c>
      <c r="D401">
        <v>909</v>
      </c>
      <c r="E401" s="2" t="str">
        <f>VLOOKUP( T_Aop[[#This Row],[Id]], T_Aop[], ID_Jezik + 9, 1)</f>
        <v>9.</v>
      </c>
      <c r="F401" t="str">
        <f>REPT( "  ", T_Aop[[#This Row],[Aop nivo]]) &amp; VLOOKUP( T_Aop[[#This Row],[Id]], T_Aop[], ID_Jezik + 6, 1)</f>
        <v xml:space="preserve">    Neto dobici/gubici perioda priznati direktno u kapitalu</v>
      </c>
      <c r="G401" t="s">
        <v>113</v>
      </c>
      <c r="H401" t="s">
        <v>621</v>
      </c>
      <c r="I401" t="s">
        <v>132</v>
      </c>
      <c r="J401" s="275" t="s">
        <v>1850</v>
      </c>
      <c r="K401" s="275" t="s">
        <v>1850</v>
      </c>
      <c r="L401" s="275">
        <v>9</v>
      </c>
      <c r="M401" s="10"/>
      <c r="N401" s="10"/>
    </row>
    <row r="402" spans="1:14" x14ac:dyDescent="0.2">
      <c r="A402">
        <f t="shared" si="6"/>
        <v>401</v>
      </c>
      <c r="B402" t="s">
        <v>420</v>
      </c>
      <c r="C402" s="3">
        <v>2</v>
      </c>
      <c r="D402">
        <v>910</v>
      </c>
      <c r="E402" s="2" t="str">
        <f>VLOOKUP( T_Aop[[#This Row],[Id]], T_Aop[], ID_Jezik + 9, 1)</f>
        <v>10.</v>
      </c>
      <c r="F402" t="str">
        <f>REPT( "  ", T_Aop[[#This Row],[Aop nivo]]) &amp; VLOOKUP( T_Aop[[#This Row],[Id]], T_Aop[], ID_Jezik + 6, 1)</f>
        <v xml:space="preserve">    Objavljene dividende i drugi vidovi raspodjele dobitka i pokriće gubitka</v>
      </c>
      <c r="G402" t="s">
        <v>114</v>
      </c>
      <c r="H402" t="s">
        <v>622</v>
      </c>
      <c r="I402" t="s">
        <v>127</v>
      </c>
      <c r="J402" s="275" t="s">
        <v>1851</v>
      </c>
      <c r="K402" s="275" t="s">
        <v>1851</v>
      </c>
      <c r="L402" s="275">
        <v>10</v>
      </c>
      <c r="M402" s="10"/>
      <c r="N402" s="10"/>
    </row>
    <row r="403" spans="1:14" x14ac:dyDescent="0.2">
      <c r="A403">
        <f t="shared" si="6"/>
        <v>402</v>
      </c>
      <c r="B403" t="s">
        <v>420</v>
      </c>
      <c r="C403" s="3">
        <v>2</v>
      </c>
      <c r="D403">
        <v>911</v>
      </c>
      <c r="E403" s="2" t="str">
        <f>VLOOKUP( T_Aop[[#This Row],[Id]], T_Aop[], ID_Jezik + 9, 1)</f>
        <v>11.</v>
      </c>
      <c r="F403" t="str">
        <f>REPT( "  ", T_Aop[[#This Row],[Aop nivo]]) &amp; VLOOKUP( T_Aop[[#This Row],[Id]], T_Aop[], ID_Jezik + 6, 1)</f>
        <v xml:space="preserve">    Emisija akcijskog kapitala i drugi vidovi povećanja ili smanjenje osnovnog kapitala</v>
      </c>
      <c r="G403" t="s">
        <v>115</v>
      </c>
      <c r="H403" t="s">
        <v>623</v>
      </c>
      <c r="I403" t="s">
        <v>128</v>
      </c>
      <c r="J403" s="275" t="s">
        <v>1852</v>
      </c>
      <c r="K403" s="275" t="s">
        <v>1852</v>
      </c>
      <c r="L403" s="275">
        <v>11</v>
      </c>
      <c r="M403" s="10"/>
      <c r="N403" s="10"/>
    </row>
    <row r="404" spans="1:14" x14ac:dyDescent="0.2">
      <c r="A404">
        <f t="shared" si="6"/>
        <v>403</v>
      </c>
      <c r="B404" t="s">
        <v>420</v>
      </c>
      <c r="C404" s="3">
        <v>0</v>
      </c>
      <c r="D404">
        <v>912</v>
      </c>
      <c r="E404" s="2" t="str">
        <f>VLOOKUP( T_Aop[[#This Row],[Id]], T_Aop[], ID_Jezik + 9, 1)</f>
        <v>12.</v>
      </c>
      <c r="F404" t="str">
        <f>REPT( "  ", T_Aop[[#This Row],[Aop nivo]]) &amp; VLOOKUP( T_Aop[[#This Row],[Id]], T_Aop[], ID_Jezik + 6, 1)</f>
        <v>Stanje na dan 31.12.2020. god. / 01.01.2021. god. (904 ± 905 ± 906 ± 907 ± 908 ± 909 - 910 + 911)</v>
      </c>
      <c r="G404" s="162" t="str">
        <f>CONCATENATE("Stanje na dan ", Podesavanja!$X$5," god. / ", Podesavanja!$X$4, " god. (904 ± 905 ± 906 ± 907 ± 908 ± 909 - 910 + 911)")</f>
        <v>Stanje na dan 31.12.2020. god. / 01.01.2021. god. (904 ± 905 ± 906 ± 907 ± 908 ± 909 - 910 + 911)</v>
      </c>
      <c r="H404" s="162" t="str">
        <f>CONCATENATE("Стaњe нa дaн ", Podesavanja!$X$5, " гoд. / ", Podesavanja!$X$4, " гoд. (904 ± 905 ± 906 ± 907 ± 908 ± 909 - 910 + 911)")</f>
        <v>Стaњe нa дaн 31.12.2020. гoд. / 01.01.2021. гoд. (904 ± 905 ± 906 ± 907 ± 908 ± 909 - 910 + 911)</v>
      </c>
      <c r="I404" s="162" t="str">
        <f>CONCATENATE("Value on day ", Podesavanja!$Y$5," / ", Podesavanja!$Y$4, " (904 ± 905 ± 906 ± 907 ± 908 ± 909 - 910 + 911)")</f>
        <v>Value on day 31.12.2020 / 01.01.2021 (904 ± 905 ± 906 ± 907 ± 908 ± 909 - 910 + 911)</v>
      </c>
      <c r="J404" s="275" t="s">
        <v>1853</v>
      </c>
      <c r="K404" s="275" t="s">
        <v>1853</v>
      </c>
      <c r="L404" s="275">
        <v>12</v>
      </c>
      <c r="M404" s="10">
        <v>1</v>
      </c>
      <c r="N404" s="10">
        <v>1</v>
      </c>
    </row>
    <row r="405" spans="1:14" x14ac:dyDescent="0.2">
      <c r="A405">
        <f t="shared" si="6"/>
        <v>404</v>
      </c>
      <c r="B405" t="s">
        <v>420</v>
      </c>
      <c r="C405" s="3">
        <v>2</v>
      </c>
      <c r="D405">
        <v>913</v>
      </c>
      <c r="E405" s="2" t="str">
        <f>VLOOKUP( T_Aop[[#This Row],[Id]], T_Aop[], ID_Jezik + 9, 1)</f>
        <v>13.</v>
      </c>
      <c r="F405" t="str">
        <f>REPT( "  ", T_Aop[[#This Row],[Aop nivo]]) &amp; VLOOKUP( T_Aop[[#This Row],[Id]], T_Aop[], ID_Jezik + 6, 1)</f>
        <v xml:space="preserve">    Efekti promjena u računovodstvenim politikama</v>
      </c>
      <c r="G405" t="s">
        <v>238</v>
      </c>
      <c r="H405" t="s">
        <v>624</v>
      </c>
      <c r="I405" t="s">
        <v>124</v>
      </c>
      <c r="J405" s="275" t="s">
        <v>1854</v>
      </c>
      <c r="K405" s="275" t="s">
        <v>1854</v>
      </c>
      <c r="L405" s="275">
        <v>13</v>
      </c>
      <c r="M405" s="10"/>
      <c r="N405" s="10"/>
    </row>
    <row r="406" spans="1:14" x14ac:dyDescent="0.2">
      <c r="A406">
        <f t="shared" si="6"/>
        <v>405</v>
      </c>
      <c r="B406" t="s">
        <v>420</v>
      </c>
      <c r="C406" s="3">
        <v>2</v>
      </c>
      <c r="D406">
        <v>914</v>
      </c>
      <c r="E406" s="2" t="str">
        <f>VLOOKUP( T_Aop[[#This Row],[Id]], T_Aop[], ID_Jezik + 9, 1)</f>
        <v>14.</v>
      </c>
      <c r="F406" t="str">
        <f>REPT( "  ", T_Aop[[#This Row],[Aop nivo]]) &amp; VLOOKUP( T_Aop[[#This Row],[Id]], T_Aop[], ID_Jezik + 6, 1)</f>
        <v xml:space="preserve">    Efekti ispravke grešaka</v>
      </c>
      <c r="G406" t="s">
        <v>109</v>
      </c>
      <c r="H406" t="s">
        <v>616</v>
      </c>
      <c r="I406" t="s">
        <v>133</v>
      </c>
      <c r="J406" s="275" t="s">
        <v>1855</v>
      </c>
      <c r="K406" s="275" t="s">
        <v>1855</v>
      </c>
      <c r="L406" s="275">
        <v>14</v>
      </c>
      <c r="M406" s="10"/>
      <c r="N406" s="10"/>
    </row>
    <row r="407" spans="1:14" x14ac:dyDescent="0.2">
      <c r="A407">
        <f t="shared" si="6"/>
        <v>406</v>
      </c>
      <c r="B407" t="s">
        <v>420</v>
      </c>
      <c r="C407" s="3">
        <v>0</v>
      </c>
      <c r="D407">
        <v>915</v>
      </c>
      <c r="E407" s="2" t="str">
        <f>VLOOKUP( T_Aop[[#This Row],[Id]], T_Aop[], ID_Jezik + 9, 1)</f>
        <v>15.</v>
      </c>
      <c r="F407" t="str">
        <f>REPT( "  ", T_Aop[[#This Row],[Aop nivo]]) &amp; VLOOKUP( T_Aop[[#This Row],[Id]], T_Aop[], ID_Jezik + 6, 1)</f>
        <v>Ponovo iskazano stanje na dan 01.01.2021. god. (912 ± 913 ± 914)</v>
      </c>
      <c r="G407" s="162" t="str">
        <f>CONCATENATE("Ponovo iskazano stanje na dan ", Podesavanja!$X$4, " god. (912 ± 913 ± 914)")</f>
        <v>Ponovo iskazano stanje na dan 01.01.2021. god. (912 ± 913 ± 914)</v>
      </c>
      <c r="H407" s="162" t="str">
        <f>CONCATENATE("Пoнoвo искaзaнo стaњe нa дaн ", Podesavanja!$X$4, " гoд. (912 ± 913 ± 914)")</f>
        <v>Пoнoвo искaзaнo стaњe нa дaн 01.01.2021. гoд. (912 ± 913 ± 914)</v>
      </c>
      <c r="I407" s="162" t="str">
        <f>CONCATENATE("New value on day ",  Podesavanja!$Y$4," (912 ± 913 ± 914)")</f>
        <v>New value on day 01.01.2021 (912 ± 913 ± 914)</v>
      </c>
      <c r="J407" s="275" t="s">
        <v>1856</v>
      </c>
      <c r="K407" s="275" t="s">
        <v>1856</v>
      </c>
      <c r="L407" s="275">
        <v>15</v>
      </c>
      <c r="M407" s="10">
        <v>1</v>
      </c>
      <c r="N407" s="10"/>
    </row>
    <row r="408" spans="1:14" x14ac:dyDescent="0.2">
      <c r="A408">
        <f t="shared" si="6"/>
        <v>407</v>
      </c>
      <c r="B408" t="s">
        <v>420</v>
      </c>
      <c r="C408" s="3">
        <v>2</v>
      </c>
      <c r="D408">
        <v>916</v>
      </c>
      <c r="E408" s="2" t="str">
        <f>VLOOKUP( T_Aop[[#This Row],[Id]], T_Aop[], ID_Jezik + 9, 1)</f>
        <v>16.</v>
      </c>
      <c r="F408" t="str">
        <f>REPT( "  ", T_Aop[[#This Row],[Aop nivo]]) &amp; VLOOKUP( T_Aop[[#This Row],[Id]], T_Aop[], ID_Jezik + 6, 1)</f>
        <v xml:space="preserve">    Efekti revalorizacije materijalnih i nematerijalnih sredstava</v>
      </c>
      <c r="G408" t="s">
        <v>237</v>
      </c>
      <c r="H408" t="s">
        <v>617</v>
      </c>
      <c r="I408" t="s">
        <v>126</v>
      </c>
      <c r="J408" s="275" t="s">
        <v>1857</v>
      </c>
      <c r="K408" s="275" t="s">
        <v>1857</v>
      </c>
      <c r="L408" s="275">
        <v>16</v>
      </c>
      <c r="M408" s="10"/>
      <c r="N408" s="10"/>
    </row>
    <row r="409" spans="1:14" x14ac:dyDescent="0.2">
      <c r="A409">
        <f t="shared" si="6"/>
        <v>408</v>
      </c>
      <c r="B409" t="s">
        <v>420</v>
      </c>
      <c r="C409" s="3">
        <v>2</v>
      </c>
      <c r="D409">
        <v>917</v>
      </c>
      <c r="E409" s="2" t="str">
        <f>VLOOKUP( T_Aop[[#This Row],[Id]], T_Aop[], ID_Jezik + 9, 1)</f>
        <v>17.</v>
      </c>
      <c r="F409" t="str">
        <f>REPT( "  ", T_Aop[[#This Row],[Aop nivo]]) &amp; VLOOKUP( T_Aop[[#This Row],[Id]], T_Aop[], ID_Jezik + 6, 1)</f>
        <v xml:space="preserve">    Nerealizovani dobici/gubici po osnovu finansijskih sredstava raspoloživih za prodaju</v>
      </c>
      <c r="G409" t="s">
        <v>110</v>
      </c>
      <c r="H409" t="s">
        <v>618</v>
      </c>
      <c r="I409" t="s">
        <v>130</v>
      </c>
      <c r="J409" s="275" t="s">
        <v>1858</v>
      </c>
      <c r="K409" s="275" t="s">
        <v>1858</v>
      </c>
      <c r="L409" s="275">
        <v>17</v>
      </c>
      <c r="M409" s="10"/>
      <c r="N409" s="10">
        <v>1</v>
      </c>
    </row>
    <row r="410" spans="1:14" x14ac:dyDescent="0.2">
      <c r="A410">
        <f t="shared" si="6"/>
        <v>409</v>
      </c>
      <c r="B410" t="s">
        <v>420</v>
      </c>
      <c r="C410" s="3">
        <v>2</v>
      </c>
      <c r="D410">
        <v>918</v>
      </c>
      <c r="E410" s="2" t="str">
        <f>VLOOKUP( T_Aop[[#This Row],[Id]], T_Aop[], ID_Jezik + 9, 1)</f>
        <v>18.</v>
      </c>
      <c r="F410" t="str">
        <f>REPT( "  ", T_Aop[[#This Row],[Aop nivo]]) &amp; VLOOKUP( T_Aop[[#This Row],[Id]], T_Aop[], ID_Jezik + 6, 1)</f>
        <v xml:space="preserve">    Kursne razlike nastale po osnovu preračuna finansijskih izvještaja u drugu funkcionalnu valutu</v>
      </c>
      <c r="G410" t="s">
        <v>111</v>
      </c>
      <c r="H410" t="s">
        <v>619</v>
      </c>
      <c r="I410" t="s">
        <v>134</v>
      </c>
      <c r="J410" s="275" t="s">
        <v>1859</v>
      </c>
      <c r="K410" s="275" t="s">
        <v>1859</v>
      </c>
      <c r="L410" s="275">
        <v>18</v>
      </c>
      <c r="M410" s="10"/>
      <c r="N410" s="10">
        <v>1</v>
      </c>
    </row>
    <row r="411" spans="1:14" x14ac:dyDescent="0.2">
      <c r="A411">
        <f t="shared" si="6"/>
        <v>410</v>
      </c>
      <c r="B411" t="s">
        <v>420</v>
      </c>
      <c r="C411" s="3">
        <v>2</v>
      </c>
      <c r="D411">
        <v>919</v>
      </c>
      <c r="E411" s="2" t="str">
        <f>VLOOKUP( T_Aop[[#This Row],[Id]], T_Aop[], ID_Jezik + 9, 1)</f>
        <v>19.</v>
      </c>
      <c r="F411" t="str">
        <f>REPT( "  ", T_Aop[[#This Row],[Aop nivo]]) &amp; VLOOKUP( T_Aop[[#This Row],[Id]], T_Aop[], ID_Jezik + 6, 1)</f>
        <v xml:space="preserve">    Neto dobitak/gubitak perioda iskazan u bilansu uspjeha</v>
      </c>
      <c r="G411" t="s">
        <v>112</v>
      </c>
      <c r="H411" t="s">
        <v>620</v>
      </c>
      <c r="I411" t="s">
        <v>131</v>
      </c>
      <c r="J411" s="275" t="s">
        <v>1860</v>
      </c>
      <c r="K411" s="275" t="s">
        <v>1860</v>
      </c>
      <c r="L411" s="275">
        <v>19</v>
      </c>
      <c r="M411" s="10"/>
      <c r="N411" s="10"/>
    </row>
    <row r="412" spans="1:14" x14ac:dyDescent="0.2">
      <c r="A412">
        <f t="shared" si="6"/>
        <v>411</v>
      </c>
      <c r="B412" t="s">
        <v>420</v>
      </c>
      <c r="C412" s="3">
        <v>2</v>
      </c>
      <c r="D412">
        <v>920</v>
      </c>
      <c r="E412" s="2" t="str">
        <f>VLOOKUP( T_Aop[[#This Row],[Id]], T_Aop[], ID_Jezik + 9, 1)</f>
        <v>20.</v>
      </c>
      <c r="F412" t="str">
        <f>REPT( "  ", T_Aop[[#This Row],[Aop nivo]]) &amp; VLOOKUP( T_Aop[[#This Row],[Id]], T_Aop[], ID_Jezik + 6, 1)</f>
        <v xml:space="preserve">    Neto dobici/gubici perioda priznati direktno u kapitalu</v>
      </c>
      <c r="G412" t="s">
        <v>113</v>
      </c>
      <c r="H412" t="s">
        <v>621</v>
      </c>
      <c r="I412" t="s">
        <v>132</v>
      </c>
      <c r="J412" s="275" t="s">
        <v>1861</v>
      </c>
      <c r="K412" s="275" t="s">
        <v>1861</v>
      </c>
      <c r="L412" s="275">
        <v>20</v>
      </c>
      <c r="M412" s="10"/>
      <c r="N412" s="10"/>
    </row>
    <row r="413" spans="1:14" x14ac:dyDescent="0.2">
      <c r="A413">
        <f t="shared" si="6"/>
        <v>412</v>
      </c>
      <c r="B413" t="s">
        <v>420</v>
      </c>
      <c r="C413" s="3">
        <v>2</v>
      </c>
      <c r="D413">
        <v>921</v>
      </c>
      <c r="E413" s="2" t="str">
        <f>VLOOKUP( T_Aop[[#This Row],[Id]], T_Aop[], ID_Jezik + 9, 1)</f>
        <v>21.</v>
      </c>
      <c r="F413" t="str">
        <f>REPT( "  ", T_Aop[[#This Row],[Aop nivo]]) &amp; VLOOKUP( T_Aop[[#This Row],[Id]], T_Aop[], ID_Jezik + 6, 1)</f>
        <v xml:space="preserve">    Objavljene dividende i drugi vidovi raspodjele dobitka i pokriće gubitka</v>
      </c>
      <c r="G413" t="s">
        <v>114</v>
      </c>
      <c r="H413" t="s">
        <v>622</v>
      </c>
      <c r="I413" t="s">
        <v>127</v>
      </c>
      <c r="J413" s="275" t="s">
        <v>1862</v>
      </c>
      <c r="K413" s="275" t="s">
        <v>1862</v>
      </c>
      <c r="L413" s="275">
        <v>21</v>
      </c>
      <c r="M413" s="10"/>
      <c r="N413" s="10"/>
    </row>
    <row r="414" spans="1:14" x14ac:dyDescent="0.2">
      <c r="A414">
        <f t="shared" si="6"/>
        <v>413</v>
      </c>
      <c r="B414" t="s">
        <v>420</v>
      </c>
      <c r="C414" s="3">
        <v>2</v>
      </c>
      <c r="D414">
        <v>922</v>
      </c>
      <c r="E414" s="2" t="str">
        <f>VLOOKUP( T_Aop[[#This Row],[Id]], T_Aop[], ID_Jezik + 9, 1)</f>
        <v>22.</v>
      </c>
      <c r="F414" t="str">
        <f>REPT( "  ", T_Aop[[#This Row],[Aop nivo]]) &amp; VLOOKUP( T_Aop[[#This Row],[Id]], T_Aop[], ID_Jezik + 6, 1)</f>
        <v xml:space="preserve">    Emisija akcijskog kapitala i drugi vidovi povećanja ili smanjenje osnovnog kapitala</v>
      </c>
      <c r="G414" t="s">
        <v>115</v>
      </c>
      <c r="H414" t="s">
        <v>623</v>
      </c>
      <c r="I414" t="s">
        <v>129</v>
      </c>
      <c r="J414" s="275" t="s">
        <v>1863</v>
      </c>
      <c r="K414" s="275" t="s">
        <v>1863</v>
      </c>
      <c r="L414" s="275">
        <v>22</v>
      </c>
      <c r="M414" s="10"/>
      <c r="N414" s="10"/>
    </row>
    <row r="415" spans="1:14" x14ac:dyDescent="0.2">
      <c r="A415">
        <f t="shared" si="6"/>
        <v>414</v>
      </c>
      <c r="B415" t="s">
        <v>420</v>
      </c>
      <c r="C415" s="3">
        <v>0</v>
      </c>
      <c r="D415">
        <v>923</v>
      </c>
      <c r="E415" s="2" t="str">
        <f>VLOOKUP( T_Aop[[#This Row],[Id]], T_Aop[], ID_Jezik + 9, 1)</f>
        <v>23.</v>
      </c>
      <c r="F415" t="str">
        <f>REPT( "  ", T_Aop[[#This Row],[Aop nivo]]) &amp; VLOOKUP( T_Aop[[#This Row],[Id]], T_Aop[], ID_Jezik + 6, 1)</f>
        <v>Stanje na dan 30.06.2021. god. (915 ± 916 ± 917 ± 918 ± 919 ± 920 - 921 + 922)</v>
      </c>
      <c r="G415" s="162" t="str">
        <f>CONCATENATE("Stanje na dan ",Datum_Format," god. (915 ± 916 ± 917 ± 918 ± 919 ± 920 - 921 + 922)")</f>
        <v>Stanje na dan 30.06.2021. god. (915 ± 916 ± 917 ± 918 ± 919 ± 920 - 921 + 922)</v>
      </c>
      <c r="H415" s="162" t="str">
        <f>CONCATENATE("Стaњe нa дaн ",Datum_Format," гoд. (915 ± 916 ± 917 ± 918 ± 919 ± 920 - 921 + 922)")</f>
        <v>Стaњe нa дaн 30.06.2021. гoд. (915 ± 916 ± 917 ± 918 ± 919 ± 920 - 921 + 922)</v>
      </c>
      <c r="I415" s="162" t="str">
        <f>CONCATENATE("Value on day ",  Podesavanja!$Y$3," (915 ± 916 ± 917 ± 918 ± 919 ± 920 - 921 + 922)")</f>
        <v>Value on day 30.06.2021 (915 ± 916 ± 917 ± 918 ± 919 ± 920 - 921 + 922)</v>
      </c>
      <c r="J415" s="275" t="s">
        <v>1864</v>
      </c>
      <c r="K415" s="275" t="s">
        <v>1864</v>
      </c>
      <c r="L415" s="275">
        <v>23</v>
      </c>
      <c r="M415" s="10">
        <v>1</v>
      </c>
      <c r="N415" s="10"/>
    </row>
    <row r="420" spans="9:9" x14ac:dyDescent="0.2">
      <c r="I420" s="11"/>
    </row>
    <row r="421" spans="9:9" x14ac:dyDescent="0.2">
      <c r="I421" s="11"/>
    </row>
  </sheetData>
  <sheetProtection password="832E" sheet="1" objects="1" scenarios="1"/>
  <conditionalFormatting sqref="A2:N2 B333:G373 I333:N357 H371 I359:N373 J358:N358 B374:N415 C341:C392 B3:N332 A3:A415">
    <cfRule type="expression" dxfId="80" priority="1" stopIfTrue="1">
      <formula>$B2&lt;&gt;$B3</formula>
    </cfRule>
  </conditionalFormatting>
  <conditionalFormatting sqref="H335:H357">
    <cfRule type="expression" dxfId="79" priority="67" stopIfTrue="1">
      <formula>$B333&lt;&gt;$B334</formula>
    </cfRule>
  </conditionalFormatting>
  <conditionalFormatting sqref="H372">
    <cfRule type="expression" dxfId="78" priority="69" stopIfTrue="1">
      <formula>$B372&lt;&gt;$B373</formula>
    </cfRule>
  </conditionalFormatting>
  <conditionalFormatting sqref="H359:H370">
    <cfRule type="expression" dxfId="77" priority="71" stopIfTrue="1">
      <formula>$B356&lt;&gt;$B357</formula>
    </cfRule>
  </conditionalFormatting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tabColor theme="1"/>
  </sheetPr>
  <dimension ref="B1:AD24"/>
  <sheetViews>
    <sheetView showGridLines="0" topLeftCell="J1" zoomScaleNormal="100" workbookViewId="0">
      <selection activeCell="AA13" sqref="AA13"/>
    </sheetView>
  </sheetViews>
  <sheetFormatPr defaultRowHeight="12.75" x14ac:dyDescent="0.2"/>
  <cols>
    <col min="1" max="1" width="4.5703125" customWidth="1"/>
    <col min="2" max="2" width="10.28515625" customWidth="1"/>
    <col min="3" max="3" width="18.28515625" customWidth="1"/>
    <col min="4" max="4" width="3.140625" customWidth="1"/>
    <col min="5" max="5" width="14.42578125" customWidth="1"/>
    <col min="6" max="6" width="23.140625" customWidth="1"/>
    <col min="7" max="7" width="4" customWidth="1"/>
    <col min="8" max="8" width="18" customWidth="1"/>
    <col min="9" max="9" width="10.5703125" customWidth="1"/>
    <col min="10" max="10" width="16.7109375" customWidth="1"/>
    <col min="11" max="11" width="9.7109375" customWidth="1"/>
    <col min="12" max="13" width="6.7109375" customWidth="1"/>
    <col min="14" max="14" width="8.5703125" customWidth="1"/>
    <col min="15" max="15" width="9" customWidth="1"/>
    <col min="16" max="17" width="9.28515625" customWidth="1"/>
    <col min="18" max="18" width="6.5703125" customWidth="1"/>
    <col min="19" max="19" width="21.7109375" bestFit="1" customWidth="1"/>
    <col min="20" max="21" width="8.7109375" bestFit="1" customWidth="1"/>
    <col min="22" max="22" width="6.7109375" customWidth="1"/>
    <col min="23" max="23" width="10.140625" customWidth="1"/>
    <col min="24" max="24" width="14.42578125" bestFit="1" customWidth="1"/>
    <col min="25" max="25" width="17.85546875" bestFit="1" customWidth="1"/>
    <col min="26" max="26" width="4.28515625" customWidth="1"/>
    <col min="27" max="27" width="12.42578125" bestFit="1" customWidth="1"/>
    <col min="28" max="28" width="8.5703125" bestFit="1" customWidth="1"/>
    <col min="29" max="29" width="13.140625" bestFit="1" customWidth="1"/>
    <col min="30" max="30" width="13.28515625" bestFit="1" customWidth="1"/>
  </cols>
  <sheetData>
    <row r="1" spans="2:30" x14ac:dyDescent="0.2">
      <c r="B1" s="81">
        <v>1</v>
      </c>
      <c r="C1" t="str">
        <f>VLOOKUP(ID_Jezik, $B$3:$C$5, 2, 1)</f>
        <v>Srpski - latinica</v>
      </c>
      <c r="E1" s="200">
        <v>1</v>
      </c>
      <c r="F1" t="str">
        <f>VLOOKUP(E1, $E$3:$F$6, 2, 1)</f>
        <v/>
      </c>
      <c r="H1" s="5">
        <f>DATE( Godina, Period_Kraj_Mjesec, Period_Kraj_Dan)</f>
        <v>44377</v>
      </c>
      <c r="I1" s="163">
        <f>VLOOKUP(Datum_Broj, $H$3:$L$6, 2, 0)</f>
        <v>2</v>
      </c>
      <c r="J1">
        <f>VLOOKUP(ID_Izvjestaj,$I$3:$L$6,3,1)</f>
        <v>6</v>
      </c>
      <c r="U1">
        <f>Period_Kraj_Godina</f>
        <v>2021</v>
      </c>
      <c r="V1">
        <f>Period_Kraj_Mjesec</f>
        <v>6</v>
      </c>
      <c r="W1">
        <f>Period_Kraj_Dan</f>
        <v>30</v>
      </c>
      <c r="X1" s="6" t="str">
        <f>TEXT( DATE( Godina, Period_Kraj_Mjesec, Period_Kraj_Dan), "dd.mm.yyyy.")</f>
        <v>30.06.2021.</v>
      </c>
      <c r="Y1" s="6" t="str">
        <f>TEXT( DATE( Godina, Period_Kraj_Mjesec, Period_Kraj_Dan), "dd.mm.yyyy")</f>
        <v>30.06.2021</v>
      </c>
    </row>
    <row r="2" spans="2:30" ht="15" x14ac:dyDescent="0.25">
      <c r="B2" t="s">
        <v>469</v>
      </c>
      <c r="C2" t="s">
        <v>405</v>
      </c>
      <c r="E2" s="9" t="s">
        <v>800</v>
      </c>
      <c r="F2" s="119" t="s">
        <v>801</v>
      </c>
      <c r="H2" t="s">
        <v>461</v>
      </c>
      <c r="I2" t="s">
        <v>468</v>
      </c>
      <c r="J2" t="s">
        <v>459</v>
      </c>
      <c r="K2" t="s">
        <v>466</v>
      </c>
      <c r="L2" t="s">
        <v>467</v>
      </c>
      <c r="N2" t="s">
        <v>535</v>
      </c>
      <c r="O2" t="s">
        <v>544</v>
      </c>
      <c r="P2" t="s">
        <v>545</v>
      </c>
      <c r="Q2" t="s">
        <v>2041</v>
      </c>
      <c r="S2" t="s">
        <v>805</v>
      </c>
      <c r="T2" t="s">
        <v>462</v>
      </c>
      <c r="U2" t="s">
        <v>466</v>
      </c>
      <c r="V2" t="s">
        <v>467</v>
      </c>
      <c r="W2" t="s">
        <v>644</v>
      </c>
      <c r="X2" t="s">
        <v>816</v>
      </c>
      <c r="Y2" t="s">
        <v>817</v>
      </c>
      <c r="AA2" t="s">
        <v>2044</v>
      </c>
      <c r="AB2" s="376" t="s">
        <v>535</v>
      </c>
      <c r="AC2" s="376" t="s">
        <v>2042</v>
      </c>
      <c r="AD2" s="376" t="s">
        <v>2043</v>
      </c>
    </row>
    <row r="3" spans="2:30" x14ac:dyDescent="0.2">
      <c r="B3">
        <v>1</v>
      </c>
      <c r="C3" t="s">
        <v>406</v>
      </c>
      <c r="E3" s="9">
        <v>1</v>
      </c>
      <c r="F3" s="156" t="str">
        <f>IF( Revidiran_izvjestaj, Revizija_Pozitivno, "")</f>
        <v/>
      </c>
      <c r="H3" s="5">
        <f>DATE(Godina, K3, L3)</f>
        <v>44286</v>
      </c>
      <c r="I3">
        <v>1</v>
      </c>
      <c r="J3" t="str">
        <f>Vrsta_izvjestaja_Prvi_kvartal</f>
        <v>Prvi kvartal</v>
      </c>
      <c r="K3" s="3">
        <v>3</v>
      </c>
      <c r="L3" s="3">
        <v>31</v>
      </c>
      <c r="N3" t="s">
        <v>2040</v>
      </c>
      <c r="O3">
        <f t="array" ref="O3">MIN(IF(Aop!$B$2:$B$415=Podesavanja!$N3,Aop!$A$2:$A$415))</f>
        <v>1</v>
      </c>
      <c r="P3">
        <f t="array" ref="P3">MAX(IF(Aop!$B$2:$B$415=Podesavanja!$N3,Aop!$A$2:$A$415))</f>
        <v>67</v>
      </c>
      <c r="Q3">
        <v>1</v>
      </c>
      <c r="S3" t="s">
        <v>802</v>
      </c>
      <c r="T3">
        <v>0</v>
      </c>
      <c r="U3">
        <f>Period_Kraj_Mjesec</f>
        <v>6</v>
      </c>
      <c r="V3">
        <f>Period_Kraj_Dan</f>
        <v>30</v>
      </c>
      <c r="W3" s="155">
        <f>DATE( Godina + T3, U3, V3)</f>
        <v>44377</v>
      </c>
      <c r="X3" t="str">
        <f>TEXT(W3, "dd.mm.yyyy.")</f>
        <v>30.06.2021.</v>
      </c>
      <c r="Y3" t="str">
        <f>TEXT(W3, "dd.mm.yyyy")</f>
        <v>30.06.2021</v>
      </c>
      <c r="AA3" t="str">
        <f>CONCATENATE(T_ApifKolone[[#This Row],[Bilans]],T_ApifKolone[[#This Row],[ApifKolona]])</f>
        <v>BSaKolona1</v>
      </c>
      <c r="AB3" t="s">
        <v>2040</v>
      </c>
      <c r="AC3" t="s">
        <v>2031</v>
      </c>
      <c r="AD3">
        <v>2</v>
      </c>
    </row>
    <row r="4" spans="2:30" x14ac:dyDescent="0.2">
      <c r="B4">
        <v>2</v>
      </c>
      <c r="C4" t="s">
        <v>407</v>
      </c>
      <c r="E4" s="9">
        <v>2</v>
      </c>
      <c r="F4" s="156" t="str">
        <f>IF( Revidiran_izvjestaj, Revizija_Sa_rezervom, "")</f>
        <v/>
      </c>
      <c r="H4" s="5">
        <f>DATE(Godina, K4, L4)</f>
        <v>44377</v>
      </c>
      <c r="I4">
        <v>2</v>
      </c>
      <c r="J4" t="str">
        <f>Vrsta_izvjestaja_Polugodisnji</f>
        <v>Polugodišnji</v>
      </c>
      <c r="K4" s="3">
        <v>6</v>
      </c>
      <c r="L4" s="3">
        <v>30</v>
      </c>
      <c r="N4" t="s">
        <v>2039</v>
      </c>
      <c r="O4">
        <f t="array" ref="O4">MIN(IF(Aop!$B$2:$B$415=Podesavanja!$N4,Aop!$A$2:$A$415))</f>
        <v>68</v>
      </c>
      <c r="P4">
        <f t="array" ref="P4">MAX(IF(Aop!$B$2:$B$415=Podesavanja!$N4,Aop!$A$2:$A$415))</f>
        <v>134</v>
      </c>
      <c r="Q4">
        <v>2</v>
      </c>
      <c r="S4" t="s">
        <v>604</v>
      </c>
      <c r="T4">
        <v>0</v>
      </c>
      <c r="U4">
        <v>1</v>
      </c>
      <c r="V4">
        <v>1</v>
      </c>
      <c r="W4" s="155">
        <f>DATE( Godina + T4, U4, V4)</f>
        <v>44197</v>
      </c>
      <c r="X4" t="str">
        <f>TEXT(W4, "dd.mm.yyyy.")</f>
        <v>01.01.2021.</v>
      </c>
      <c r="Y4" t="str">
        <f>TEXT(W4, "dd.mm.yyyy")</f>
        <v>01.01.2021</v>
      </c>
      <c r="AA4" t="str">
        <f>CONCATENATE(T_ApifKolone[[#This Row],[Bilans]],T_ApifKolone[[#This Row],[ApifKolona]])</f>
        <v>BSaKolona2</v>
      </c>
      <c r="AB4" t="s">
        <v>2040</v>
      </c>
      <c r="AC4" t="s">
        <v>2032</v>
      </c>
      <c r="AD4">
        <v>3</v>
      </c>
    </row>
    <row r="5" spans="2:30" x14ac:dyDescent="0.2">
      <c r="B5">
        <v>3</v>
      </c>
      <c r="C5" t="s">
        <v>387</v>
      </c>
      <c r="E5" s="9">
        <v>3</v>
      </c>
      <c r="F5" s="156" t="str">
        <f>IF( Revidiran_izvjestaj, Revizija_Negativno, "")</f>
        <v/>
      </c>
      <c r="H5" s="5">
        <f>DATE(Godina, K5, L5)</f>
        <v>44469</v>
      </c>
      <c r="I5">
        <v>3</v>
      </c>
      <c r="J5" t="str">
        <f>Vrsta_izvjestaja_Treci_kvartal</f>
        <v>Treći kvartal</v>
      </c>
      <c r="K5" s="3">
        <v>9</v>
      </c>
      <c r="L5" s="3">
        <v>30</v>
      </c>
      <c r="N5" t="s">
        <v>541</v>
      </c>
      <c r="O5">
        <f t="array" ref="O5">MIN(IF(Aop!$B$2:$B$415=Podesavanja!$N5,Aop!$A$2:$A$415))</f>
        <v>135</v>
      </c>
      <c r="P5">
        <f t="array" ref="P5">MAX(IF(Aop!$B$2:$B$415=Podesavanja!$N5,Aop!$A$2:$A$415))</f>
        <v>250</v>
      </c>
      <c r="Q5">
        <v>3</v>
      </c>
      <c r="S5" t="s">
        <v>803</v>
      </c>
      <c r="T5">
        <v>-1</v>
      </c>
      <c r="U5">
        <v>12</v>
      </c>
      <c r="V5">
        <v>31</v>
      </c>
      <c r="W5" s="155">
        <f>DATE( Godina + T5, U5, V5)</f>
        <v>44196</v>
      </c>
      <c r="X5" t="str">
        <f>TEXT(W5, "dd.mm.yyyy.")</f>
        <v>31.12.2020.</v>
      </c>
      <c r="Y5" t="str">
        <f>TEXT(W5, "dd.mm.yyyy")</f>
        <v>31.12.2020</v>
      </c>
      <c r="AA5" t="str">
        <f>CONCATENATE(T_ApifKolone[[#This Row],[Bilans]],T_ApifKolone[[#This Row],[ApifKolona]])</f>
        <v>BSaKolona3</v>
      </c>
      <c r="AB5" t="s">
        <v>2040</v>
      </c>
      <c r="AC5" t="s">
        <v>2033</v>
      </c>
      <c r="AD5">
        <v>4</v>
      </c>
    </row>
    <row r="6" spans="2:30" x14ac:dyDescent="0.2">
      <c r="E6" s="9">
        <v>4</v>
      </c>
      <c r="F6" s="156" t="str">
        <f>IF( Revidiran_izvjestaj, Revizija_Uzdrzavanje, "")</f>
        <v/>
      </c>
      <c r="H6" s="5">
        <f>DATE(Godina, K6, L6)</f>
        <v>44561</v>
      </c>
      <c r="I6">
        <v>4</v>
      </c>
      <c r="J6" t="str">
        <f>Vrsta_izvjestaja_Godisnji</f>
        <v>Godišnji</v>
      </c>
      <c r="K6" s="3">
        <v>12</v>
      </c>
      <c r="L6" s="3">
        <v>31</v>
      </c>
      <c r="M6" s="3"/>
      <c r="N6" t="s">
        <v>552</v>
      </c>
      <c r="O6">
        <f t="array" ref="O6">MIN(IF(Aop!$B$2:$B$415=Podesavanja!$N6,Aop!$A$2:$A$415))</f>
        <v>251</v>
      </c>
      <c r="P6">
        <f t="array" ref="P6">MAX(IF(Aop!$B$2:$B$415=Podesavanja!$N6,Aop!$A$2:$A$415))</f>
        <v>270</v>
      </c>
      <c r="Q6">
        <v>3</v>
      </c>
      <c r="S6" t="s">
        <v>804</v>
      </c>
      <c r="T6">
        <v>-1</v>
      </c>
      <c r="U6">
        <v>1</v>
      </c>
      <c r="V6">
        <v>1</v>
      </c>
      <c r="W6" s="155">
        <f>DATE( Godina + T6, U6, V6)</f>
        <v>43831</v>
      </c>
      <c r="X6" t="str">
        <f>TEXT(W6, "dd.mm.yyyy.")</f>
        <v>01.01.2020.</v>
      </c>
      <c r="Y6" t="str">
        <f>TEXT(W6, "dd.mm.yyyy")</f>
        <v>01.01.2020</v>
      </c>
      <c r="AA6" s="119" t="str">
        <f>CONCATENATE(T_ApifKolone[[#This Row],[Bilans]],T_ApifKolone[[#This Row],[ApifKolona]])</f>
        <v>BSaKolona4</v>
      </c>
      <c r="AB6" s="372" t="s">
        <v>2040</v>
      </c>
      <c r="AC6" s="372" t="s">
        <v>2034</v>
      </c>
      <c r="AD6" s="372">
        <v>5</v>
      </c>
    </row>
    <row r="7" spans="2:30" x14ac:dyDescent="0.2">
      <c r="N7" t="s">
        <v>418</v>
      </c>
      <c r="O7">
        <f t="array" ref="O7">MIN(IF(Aop!$B$2:$B$415=Podesavanja!$N7,Aop!$A$2:$A$415))</f>
        <v>271</v>
      </c>
      <c r="P7">
        <f t="array" ref="P7">MAX(IF(Aop!$B$2:$B$415=Podesavanja!$N7,Aop!$A$2:$A$415))</f>
        <v>321</v>
      </c>
      <c r="Q7">
        <v>5</v>
      </c>
      <c r="AA7" t="str">
        <f>CONCATENATE(T_ApifKolone[[#This Row],[Bilans]],T_ApifKolone[[#This Row],[ApifKolona]])</f>
        <v>BSpKolona1</v>
      </c>
      <c r="AB7" t="s">
        <v>2039</v>
      </c>
      <c r="AC7" t="s">
        <v>2031</v>
      </c>
      <c r="AD7" s="146">
        <v>4</v>
      </c>
    </row>
    <row r="8" spans="2:30" x14ac:dyDescent="0.2">
      <c r="N8" t="s">
        <v>419</v>
      </c>
      <c r="O8">
        <f t="array" ref="O8">MIN(IF(Aop!$B$2:$B$415=Podesavanja!$N8,Aop!$A$2:$A$415))</f>
        <v>322</v>
      </c>
      <c r="P8">
        <f t="array" ref="P8">MAX(IF(Aop!$B$2:$B$415=Podesavanja!$N8,Aop!$A$2:$A$415))</f>
        <v>391</v>
      </c>
      <c r="Q8">
        <v>4</v>
      </c>
      <c r="AA8" s="119" t="str">
        <f>CONCATENATE(T_ApifKolone[[#This Row],[Bilans]],T_ApifKolone[[#This Row],[ApifKolona]])</f>
        <v>BSpKolona2</v>
      </c>
      <c r="AB8" s="372" t="s">
        <v>2039</v>
      </c>
      <c r="AC8" s="372" t="s">
        <v>2032</v>
      </c>
      <c r="AD8" s="375">
        <v>5</v>
      </c>
    </row>
    <row r="9" spans="2:30" x14ac:dyDescent="0.2">
      <c r="N9" t="s">
        <v>420</v>
      </c>
      <c r="O9">
        <f t="array" ref="O9">MIN(IF(Aop!$B$2:$B$415=Podesavanja!$N9,Aop!$A$2:$A$415))</f>
        <v>392</v>
      </c>
      <c r="P9">
        <f t="array" ref="P9">MAX(IF(Aop!$B$2:$B$415=Podesavanja!$N9,Aop!$A$2:$A$415))</f>
        <v>414</v>
      </c>
      <c r="Q9">
        <v>6</v>
      </c>
      <c r="AA9" t="str">
        <f>CONCATENATE(T_ApifKolone[[#This Row],[Bilans]],T_ApifKolone[[#This Row],[ApifKolona]])</f>
        <v>BUaKolona1</v>
      </c>
      <c r="AB9" t="s">
        <v>541</v>
      </c>
      <c r="AC9" t="s">
        <v>2031</v>
      </c>
      <c r="AD9" s="146">
        <v>2</v>
      </c>
    </row>
    <row r="10" spans="2:30" x14ac:dyDescent="0.2">
      <c r="AA10" s="119" t="str">
        <f>CONCATENATE(T_ApifKolone[[#This Row],[Bilans]],T_ApifKolone[[#This Row],[ApifKolona]])</f>
        <v>BUaKolona2</v>
      </c>
      <c r="AB10" s="372" t="s">
        <v>541</v>
      </c>
      <c r="AC10" s="372" t="s">
        <v>2032</v>
      </c>
      <c r="AD10" s="375">
        <v>3</v>
      </c>
    </row>
    <row r="11" spans="2:30" x14ac:dyDescent="0.2">
      <c r="AA11" t="str">
        <f>CONCATENATE(T_ApifKolone[[#This Row],[Bilans]],T_ApifKolone[[#This Row],[ApifKolona]])</f>
        <v>BUbKolona1</v>
      </c>
      <c r="AB11" t="s">
        <v>552</v>
      </c>
      <c r="AC11" t="s">
        <v>2031</v>
      </c>
      <c r="AD11">
        <v>2</v>
      </c>
    </row>
    <row r="12" spans="2:30" x14ac:dyDescent="0.2">
      <c r="B12" t="s">
        <v>727</v>
      </c>
      <c r="C12" t="b">
        <f>Osnovni_podaci!$Y$76</f>
        <v>0</v>
      </c>
      <c r="AA12" s="119" t="str">
        <f>CONCATENATE(T_ApifKolone[[#This Row],[Bilans]],T_ApifKolone[[#This Row],[ApifKolona]])</f>
        <v>BUbKolona2</v>
      </c>
      <c r="AB12" s="372" t="s">
        <v>552</v>
      </c>
      <c r="AC12" s="372" t="s">
        <v>2032</v>
      </c>
      <c r="AD12" s="372">
        <v>3</v>
      </c>
    </row>
    <row r="13" spans="2:30" x14ac:dyDescent="0.2">
      <c r="AA13" t="str">
        <f>CONCATENATE(T_ApifKolone[[#This Row],[Bilans]],T_ApifKolone[[#This Row],[ApifKolona]])</f>
        <v>BTGKolona1</v>
      </c>
      <c r="AB13" t="s">
        <v>418</v>
      </c>
      <c r="AC13" t="s">
        <v>2031</v>
      </c>
      <c r="AD13">
        <v>2</v>
      </c>
    </row>
    <row r="14" spans="2:30" x14ac:dyDescent="0.2">
      <c r="AA14" s="119" t="str">
        <f>CONCATENATE(T_ApifKolone[[#This Row],[Bilans]],T_ApifKolone[[#This Row],[ApifKolona]])</f>
        <v>BTGKolona2</v>
      </c>
      <c r="AB14" s="372" t="s">
        <v>418</v>
      </c>
      <c r="AC14" s="372" t="s">
        <v>2032</v>
      </c>
      <c r="AD14" s="372">
        <v>3</v>
      </c>
    </row>
    <row r="15" spans="2:30" x14ac:dyDescent="0.2">
      <c r="AA15" t="str">
        <f>CONCATENATE(T_ApifKolone[[#This Row],[Bilans]],T_ApifKolone[[#This Row],[ApifKolona]])</f>
        <v>AneksKolona1</v>
      </c>
      <c r="AB15" t="s">
        <v>419</v>
      </c>
      <c r="AC15" t="s">
        <v>2031</v>
      </c>
      <c r="AD15">
        <v>2</v>
      </c>
    </row>
    <row r="16" spans="2:30" x14ac:dyDescent="0.2">
      <c r="AA16" s="119" t="str">
        <f>CONCATENATE(T_ApifKolone[[#This Row],[Bilans]],T_ApifKolone[[#This Row],[ApifKolona]])</f>
        <v>AneksKolona2</v>
      </c>
      <c r="AB16" s="372" t="s">
        <v>419</v>
      </c>
      <c r="AC16" s="372" t="s">
        <v>2032</v>
      </c>
      <c r="AD16" s="372">
        <v>3</v>
      </c>
    </row>
    <row r="17" spans="24:30" x14ac:dyDescent="0.2">
      <c r="X17" s="154"/>
      <c r="AA17" t="str">
        <f>CONCATENATE(T_ApifKolone[[#This Row],[Bilans]],T_ApifKolone[[#This Row],[ApifKolona]])</f>
        <v>BPKKolona1</v>
      </c>
      <c r="AB17" t="s">
        <v>420</v>
      </c>
      <c r="AC17" t="s">
        <v>2031</v>
      </c>
      <c r="AD17">
        <v>2</v>
      </c>
    </row>
    <row r="18" spans="24:30" x14ac:dyDescent="0.2">
      <c r="X18" s="154"/>
      <c r="AA18" t="str">
        <f>CONCATENATE(T_ApifKolone[[#This Row],[Bilans]],T_ApifKolone[[#This Row],[ApifKolona]])</f>
        <v>BPKKolona2</v>
      </c>
      <c r="AB18" t="s">
        <v>420</v>
      </c>
      <c r="AC18" t="s">
        <v>2032</v>
      </c>
      <c r="AD18">
        <v>3</v>
      </c>
    </row>
    <row r="19" spans="24:30" x14ac:dyDescent="0.2">
      <c r="X19" s="154"/>
      <c r="AA19" t="str">
        <f>CONCATENATE(T_ApifKolone[[#This Row],[Bilans]],T_ApifKolone[[#This Row],[ApifKolona]])</f>
        <v>BPKKolona3</v>
      </c>
      <c r="AB19" t="s">
        <v>420</v>
      </c>
      <c r="AC19" t="s">
        <v>2033</v>
      </c>
      <c r="AD19">
        <v>4</v>
      </c>
    </row>
    <row r="20" spans="24:30" x14ac:dyDescent="0.2">
      <c r="X20" s="154"/>
      <c r="AA20" t="str">
        <f>CONCATENATE(T_ApifKolone[[#This Row],[Bilans]],T_ApifKolone[[#This Row],[ApifKolona]])</f>
        <v>BPKKolona4</v>
      </c>
      <c r="AB20" t="s">
        <v>420</v>
      </c>
      <c r="AC20" t="s">
        <v>2034</v>
      </c>
      <c r="AD20">
        <v>5</v>
      </c>
    </row>
    <row r="21" spans="24:30" x14ac:dyDescent="0.2">
      <c r="AA21" t="str">
        <f>CONCATENATE(T_ApifKolone[[#This Row],[Bilans]],T_ApifKolone[[#This Row],[ApifKolona]])</f>
        <v>BPKKolona5</v>
      </c>
      <c r="AB21" t="s">
        <v>420</v>
      </c>
      <c r="AC21" t="s">
        <v>2035</v>
      </c>
      <c r="AD21">
        <v>6</v>
      </c>
    </row>
    <row r="22" spans="24:30" x14ac:dyDescent="0.2">
      <c r="AA22" t="str">
        <f>CONCATENATE(T_ApifKolone[[#This Row],[Bilans]],T_ApifKolone[[#This Row],[ApifKolona]])</f>
        <v>BPKKolona6</v>
      </c>
      <c r="AB22" t="s">
        <v>420</v>
      </c>
      <c r="AC22" t="s">
        <v>2036</v>
      </c>
      <c r="AD22">
        <v>7</v>
      </c>
    </row>
    <row r="23" spans="24:30" x14ac:dyDescent="0.2">
      <c r="AA23" t="str">
        <f>CONCATENATE(T_ApifKolone[[#This Row],[Bilans]],T_ApifKolone[[#This Row],[ApifKolona]])</f>
        <v>BPKKolona7</v>
      </c>
      <c r="AB23" t="s">
        <v>420</v>
      </c>
      <c r="AC23" t="s">
        <v>2037</v>
      </c>
      <c r="AD23">
        <v>8</v>
      </c>
    </row>
    <row r="24" spans="24:30" x14ac:dyDescent="0.2">
      <c r="AA24" t="str">
        <f>CONCATENATE(T_ApifKolone[[#This Row],[Bilans]],T_ApifKolone[[#This Row],[ApifKolona]])</f>
        <v>BPKKolona8</v>
      </c>
      <c r="AB24" t="s">
        <v>420</v>
      </c>
      <c r="AC24" t="s">
        <v>2038</v>
      </c>
      <c r="AD24">
        <v>9</v>
      </c>
    </row>
  </sheetData>
  <sheetProtection password="832E" sheet="1" objects="1" scenarios="1"/>
  <pageMargins left="0.7" right="0.7" top="0.75" bottom="0.75" header="0.3" footer="0.3"/>
  <pageSetup paperSize="9" orientation="portrait" verticalDpi="0" r:id="rId1"/>
  <ignoredErrors>
    <ignoredError sqref="K3:K6" calculatedColumn="1"/>
  </ignoredErrors>
  <legacyDrawing r:id="rId2"/>
  <tableParts count="6">
    <tablePart r:id="rId3"/>
    <tablePart r:id="rId4"/>
    <tablePart r:id="rId5"/>
    <tablePart r:id="rId6"/>
    <tablePart r:id="rId7"/>
    <tablePart r:id="rId8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S379"/>
  <sheetViews>
    <sheetView showGridLines="0" workbookViewId="0">
      <selection activeCell="M2" sqref="M2"/>
    </sheetView>
  </sheetViews>
  <sheetFormatPr defaultRowHeight="12.75" x14ac:dyDescent="0.2"/>
  <cols>
    <col min="1" max="1" width="4.7109375" customWidth="1"/>
    <col min="2" max="2" width="7.42578125" customWidth="1"/>
    <col min="3" max="3" width="15.42578125" customWidth="1"/>
    <col min="4" max="4" width="29.42578125" customWidth="1"/>
    <col min="5" max="5" width="30.42578125" customWidth="1"/>
    <col min="6" max="6" width="14.140625" customWidth="1"/>
    <col min="7" max="7" width="11.85546875" customWidth="1"/>
    <col min="8" max="8" width="10.28515625" customWidth="1"/>
    <col min="9" max="9" width="8.7109375" customWidth="1"/>
    <col min="10" max="13" width="9.42578125" customWidth="1"/>
  </cols>
  <sheetData>
    <row r="1" spans="1:19" x14ac:dyDescent="0.2">
      <c r="A1" s="260" t="s">
        <v>408</v>
      </c>
      <c r="B1" s="261" t="s">
        <v>535</v>
      </c>
      <c r="C1" s="262" t="s">
        <v>605</v>
      </c>
      <c r="D1" s="146" t="s">
        <v>410</v>
      </c>
      <c r="E1" s="146" t="s">
        <v>235</v>
      </c>
      <c r="F1" s="146" t="s">
        <v>728</v>
      </c>
      <c r="G1" s="262" t="s">
        <v>644</v>
      </c>
      <c r="H1" t="s">
        <v>285</v>
      </c>
      <c r="I1" s="262" t="s">
        <v>462</v>
      </c>
      <c r="J1" s="262" t="s">
        <v>269</v>
      </c>
      <c r="K1" s="262" t="s">
        <v>607</v>
      </c>
      <c r="L1" s="262" t="s">
        <v>608</v>
      </c>
      <c r="M1" s="262" t="s">
        <v>609</v>
      </c>
      <c r="O1" s="2"/>
      <c r="P1" s="2"/>
      <c r="Q1" s="2"/>
      <c r="R1" s="2">
        <v>2</v>
      </c>
      <c r="S1" s="2">
        <v>3</v>
      </c>
    </row>
    <row r="2" spans="1:19" x14ac:dyDescent="0.2">
      <c r="A2" s="146">
        <v>2</v>
      </c>
      <c r="B2" s="146" t="str">
        <f>VLOOKUP( $A2, Aop!$A$2:$N$415, 2, 0)</f>
        <v>BSa</v>
      </c>
      <c r="C2" s="146">
        <f t="shared" ref="C2:C65" si="0">ID_Izvjestaj</f>
        <v>2</v>
      </c>
      <c r="D2" s="146" t="str">
        <f t="shared" ref="D2:D65" si="1">Podatak_MB</f>
        <v>01494562</v>
      </c>
      <c r="E2" s="146" t="str">
        <f>Podatak_JIB</f>
        <v>4400025960001</v>
      </c>
      <c r="F2" s="146" t="b">
        <f t="shared" ref="F2:F65" si="2">Konsolidovan_izvjestaj</f>
        <v>0</v>
      </c>
      <c r="G2" s="190">
        <f t="shared" ref="G2:G65" si="3">Datum_Broj</f>
        <v>44377</v>
      </c>
      <c r="H2" s="146">
        <f>VLOOKUP( $A2, Aop!$A$2:$N$415, 4, 0)</f>
        <v>1</v>
      </c>
      <c r="I2" s="146">
        <f t="shared" ref="I2:I65" si="4">Godina</f>
        <v>2021</v>
      </c>
      <c r="J2" s="79">
        <f ca="1">IF( VLOOKUP( $H2, INDIRECT( "Lookup_" &amp; $B2), IF( LEFT( $B2, 2) = "BS", P$2, P$1), 0) = "", "", VLOOKUP( $H2, INDIRECT( "Lookup_" &amp; $B2), IF( $B2 = "BSa", P$2, P$1), 0))</f>
        <v>1972811720</v>
      </c>
      <c r="K2" s="79">
        <f t="shared" ref="K2:K65" ca="1" si="5">IF( VLOOKUP( $H2, INDIRECT( "Lookup_" &amp; $B2), IF( LEFT( $B2, 2) = "BS", Q$2, Q$1), 0) = "", "", VLOOKUP( $H2, INDIRECT( "Lookup_" &amp; $B2), IF( $B2 = "BSa", Q$2, Q$1), 0))</f>
        <v>1552617823</v>
      </c>
      <c r="L2" s="79">
        <f t="shared" ref="L2:L65" ca="1" si="6">IF( VLOOKUP( $H2, INDIRECT( "Lookup_" &amp; $B2), IF( LEFT( $B2, 2) = "BS", R$2, R$1), 0) = "", "", VLOOKUP( $H2, INDIRECT( "Lookup_" &amp; $B2), IF( LEFT( $B2, 2) = "BS", R$2, R$1), 0))</f>
        <v>420193897</v>
      </c>
      <c r="M2" s="79">
        <f t="shared" ref="M2:M65" ca="1" si="7">IF( VLOOKUP( $H2, INDIRECT( "Lookup_" &amp; $B2), IF( LEFT( $B2, 2) = "BS", S$2, S$1), 0) = "", "", VLOOKUP( $H2, INDIRECT( "Lookup_" &amp; $B2), IF( LEFT( $B2, 2) = "BS", S$2, S$1), 0))</f>
        <v>423688779</v>
      </c>
      <c r="P2" s="2">
        <v>2</v>
      </c>
      <c r="Q2" s="2">
        <v>3</v>
      </c>
      <c r="R2" s="2">
        <v>4</v>
      </c>
      <c r="S2" s="2">
        <v>5</v>
      </c>
    </row>
    <row r="3" spans="1:19" x14ac:dyDescent="0.2">
      <c r="A3" s="146">
        <v>3</v>
      </c>
      <c r="B3" s="146" t="str">
        <f>VLOOKUP( $A3, Aop!$A$2:$N$415, 2, 0)</f>
        <v>BSa</v>
      </c>
      <c r="C3" s="146">
        <f t="shared" si="0"/>
        <v>2</v>
      </c>
      <c r="D3" s="146" t="str">
        <f t="shared" si="1"/>
        <v>01494562</v>
      </c>
      <c r="E3" s="146" t="str">
        <f t="shared" ref="E3:E65" si="8">Podatak_JIB</f>
        <v>4400025960001</v>
      </c>
      <c r="F3" s="146" t="b">
        <f t="shared" si="2"/>
        <v>0</v>
      </c>
      <c r="G3" s="190">
        <f t="shared" si="3"/>
        <v>44377</v>
      </c>
      <c r="H3" s="146">
        <f>VLOOKUP( $A3, Aop!$A$2:$N$415, 4, 0)</f>
        <v>2</v>
      </c>
      <c r="I3" s="146">
        <f t="shared" si="4"/>
        <v>2021</v>
      </c>
      <c r="J3" s="79">
        <f t="shared" ref="J3:J66" ca="1" si="9">IF( VLOOKUP( $H3, INDIRECT( "Lookup_" &amp; $B3), IF( LEFT( $B3, 2) = "BS", P$2, P$1), 0) = "", "", VLOOKUP( $H3, INDIRECT( "Lookup_" &amp; $B3), IF( $B3 = "BSa", P$2, P$1), 0))</f>
        <v>224412</v>
      </c>
      <c r="K3" s="79">
        <f t="shared" ca="1" si="5"/>
        <v>222591</v>
      </c>
      <c r="L3" s="79">
        <f t="shared" ca="1" si="6"/>
        <v>1821</v>
      </c>
      <c r="M3" s="79">
        <f t="shared" ca="1" si="7"/>
        <v>2428</v>
      </c>
    </row>
    <row r="4" spans="1:19" x14ac:dyDescent="0.2">
      <c r="A4" s="146">
        <v>4</v>
      </c>
      <c r="B4" s="146" t="str">
        <f>VLOOKUP( $A4, Aop!$A$2:$N$415, 2, 0)</f>
        <v>BSa</v>
      </c>
      <c r="C4" s="146">
        <f t="shared" si="0"/>
        <v>2</v>
      </c>
      <c r="D4" s="146" t="str">
        <f t="shared" si="1"/>
        <v>01494562</v>
      </c>
      <c r="E4" s="146" t="str">
        <f t="shared" si="8"/>
        <v>4400025960001</v>
      </c>
      <c r="F4" s="146" t="b">
        <f t="shared" si="2"/>
        <v>0</v>
      </c>
      <c r="G4" s="190">
        <f t="shared" si="3"/>
        <v>44377</v>
      </c>
      <c r="H4" s="146">
        <f>VLOOKUP( $A4, Aop!$A$2:$N$415, 4, 0)</f>
        <v>3</v>
      </c>
      <c r="I4" s="146">
        <f t="shared" si="4"/>
        <v>2021</v>
      </c>
      <c r="J4" s="79" t="str">
        <f t="shared" ca="1" si="9"/>
        <v/>
      </c>
      <c r="K4" s="79" t="str">
        <f t="shared" ca="1" si="5"/>
        <v/>
      </c>
      <c r="L4" s="79">
        <f t="shared" ca="1" si="6"/>
        <v>0</v>
      </c>
      <c r="M4" s="79" t="str">
        <f t="shared" ca="1" si="7"/>
        <v/>
      </c>
    </row>
    <row r="5" spans="1:19" x14ac:dyDescent="0.2">
      <c r="A5" s="146">
        <v>5</v>
      </c>
      <c r="B5" s="146" t="str">
        <f>VLOOKUP( $A5, Aop!$A$2:$N$415, 2, 0)</f>
        <v>BSa</v>
      </c>
      <c r="C5" s="146">
        <f t="shared" si="0"/>
        <v>2</v>
      </c>
      <c r="D5" s="146" t="str">
        <f t="shared" si="1"/>
        <v>01494562</v>
      </c>
      <c r="E5" s="146" t="str">
        <f t="shared" si="8"/>
        <v>4400025960001</v>
      </c>
      <c r="F5" s="146" t="b">
        <f t="shared" si="2"/>
        <v>0</v>
      </c>
      <c r="G5" s="190">
        <f t="shared" si="3"/>
        <v>44377</v>
      </c>
      <c r="H5" s="146">
        <f>VLOOKUP( $A5, Aop!$A$2:$N$415, 4, 0)</f>
        <v>4</v>
      </c>
      <c r="I5" s="146">
        <f t="shared" si="4"/>
        <v>2021</v>
      </c>
      <c r="J5" s="79" t="str">
        <f t="shared" ca="1" si="9"/>
        <v/>
      </c>
      <c r="K5" s="79" t="str">
        <f t="shared" ca="1" si="5"/>
        <v/>
      </c>
      <c r="L5" s="79">
        <f t="shared" ca="1" si="6"/>
        <v>0</v>
      </c>
      <c r="M5" s="79" t="str">
        <f t="shared" ca="1" si="7"/>
        <v/>
      </c>
    </row>
    <row r="6" spans="1:19" x14ac:dyDescent="0.2">
      <c r="A6" s="146">
        <v>6</v>
      </c>
      <c r="B6" s="146" t="str">
        <f>VLOOKUP( $A6, Aop!$A$2:$N$415, 2, 0)</f>
        <v>BSa</v>
      </c>
      <c r="C6" s="146">
        <f t="shared" si="0"/>
        <v>2</v>
      </c>
      <c r="D6" s="146" t="str">
        <f t="shared" si="1"/>
        <v>01494562</v>
      </c>
      <c r="E6" s="146" t="str">
        <f t="shared" si="8"/>
        <v>4400025960001</v>
      </c>
      <c r="F6" s="146" t="b">
        <f t="shared" si="2"/>
        <v>0</v>
      </c>
      <c r="G6" s="190">
        <f t="shared" si="3"/>
        <v>44377</v>
      </c>
      <c r="H6" s="146">
        <f>VLOOKUP( $A6, Aop!$A$2:$N$415, 4, 0)</f>
        <v>5</v>
      </c>
      <c r="I6" s="146">
        <f t="shared" si="4"/>
        <v>2021</v>
      </c>
      <c r="J6" s="79" t="str">
        <f t="shared" ca="1" si="9"/>
        <v/>
      </c>
      <c r="K6" s="79" t="str">
        <f t="shared" ca="1" si="5"/>
        <v/>
      </c>
      <c r="L6" s="79">
        <f t="shared" ca="1" si="6"/>
        <v>0</v>
      </c>
      <c r="M6" s="79" t="str">
        <f t="shared" ca="1" si="7"/>
        <v/>
      </c>
    </row>
    <row r="7" spans="1:19" x14ac:dyDescent="0.2">
      <c r="A7" s="146">
        <v>7</v>
      </c>
      <c r="B7" s="146" t="str">
        <f>VLOOKUP( $A7, Aop!$A$2:$N$415, 2, 0)</f>
        <v>BSa</v>
      </c>
      <c r="C7" s="146">
        <f t="shared" si="0"/>
        <v>2</v>
      </c>
      <c r="D7" s="146" t="str">
        <f t="shared" si="1"/>
        <v>01494562</v>
      </c>
      <c r="E7" s="146" t="str">
        <f t="shared" si="8"/>
        <v>4400025960001</v>
      </c>
      <c r="F7" s="146" t="b">
        <f t="shared" si="2"/>
        <v>0</v>
      </c>
      <c r="G7" s="190">
        <f t="shared" si="3"/>
        <v>44377</v>
      </c>
      <c r="H7" s="146">
        <f>VLOOKUP( $A7, Aop!$A$2:$N$415, 4, 0)</f>
        <v>6</v>
      </c>
      <c r="I7" s="146">
        <f t="shared" si="4"/>
        <v>2021</v>
      </c>
      <c r="J7" s="79">
        <f t="shared" ca="1" si="9"/>
        <v>224412</v>
      </c>
      <c r="K7" s="79">
        <f t="shared" ca="1" si="5"/>
        <v>222591</v>
      </c>
      <c r="L7" s="79">
        <f t="shared" ca="1" si="6"/>
        <v>1821</v>
      </c>
      <c r="M7" s="79">
        <f t="shared" ca="1" si="7"/>
        <v>2428</v>
      </c>
    </row>
    <row r="8" spans="1:19" x14ac:dyDescent="0.2">
      <c r="A8" s="146">
        <v>8</v>
      </c>
      <c r="B8" s="146" t="str">
        <f>VLOOKUP( $A8, Aop!$A$2:$N$415, 2, 0)</f>
        <v>BSa</v>
      </c>
      <c r="C8" s="146">
        <f t="shared" si="0"/>
        <v>2</v>
      </c>
      <c r="D8" s="146" t="str">
        <f t="shared" si="1"/>
        <v>01494562</v>
      </c>
      <c r="E8" s="146" t="str">
        <f t="shared" si="8"/>
        <v>4400025960001</v>
      </c>
      <c r="F8" s="146" t="b">
        <f t="shared" si="2"/>
        <v>0</v>
      </c>
      <c r="G8" s="190">
        <f t="shared" si="3"/>
        <v>44377</v>
      </c>
      <c r="H8" s="146">
        <f>VLOOKUP( $A8, Aop!$A$2:$N$415, 4, 0)</f>
        <v>7</v>
      </c>
      <c r="I8" s="146">
        <f t="shared" si="4"/>
        <v>2021</v>
      </c>
      <c r="J8" s="79" t="str">
        <f t="shared" ca="1" si="9"/>
        <v/>
      </c>
      <c r="K8" s="79" t="str">
        <f t="shared" ca="1" si="5"/>
        <v/>
      </c>
      <c r="L8" s="79">
        <f t="shared" ca="1" si="6"/>
        <v>0</v>
      </c>
      <c r="M8" s="79" t="str">
        <f t="shared" ca="1" si="7"/>
        <v/>
      </c>
    </row>
    <row r="9" spans="1:19" x14ac:dyDescent="0.2">
      <c r="A9" s="146">
        <v>9</v>
      </c>
      <c r="B9" s="146" t="str">
        <f>VLOOKUP( $A9, Aop!$A$2:$N$415, 2, 0)</f>
        <v>BSa</v>
      </c>
      <c r="C9" s="146">
        <f t="shared" si="0"/>
        <v>2</v>
      </c>
      <c r="D9" s="146" t="str">
        <f t="shared" si="1"/>
        <v>01494562</v>
      </c>
      <c r="E9" s="146" t="str">
        <f t="shared" si="8"/>
        <v>4400025960001</v>
      </c>
      <c r="F9" s="146" t="b">
        <f t="shared" si="2"/>
        <v>0</v>
      </c>
      <c r="G9" s="190">
        <f t="shared" si="3"/>
        <v>44377</v>
      </c>
      <c r="H9" s="146">
        <f>VLOOKUP( $A9, Aop!$A$2:$N$415, 4, 0)</f>
        <v>8</v>
      </c>
      <c r="I9" s="146">
        <f t="shared" si="4"/>
        <v>2021</v>
      </c>
      <c r="J9" s="79">
        <f t="shared" ca="1" si="9"/>
        <v>1972540919</v>
      </c>
      <c r="K9" s="79">
        <f t="shared" ca="1" si="5"/>
        <v>1552395232</v>
      </c>
      <c r="L9" s="79">
        <f t="shared" ca="1" si="6"/>
        <v>420145687</v>
      </c>
      <c r="M9" s="79">
        <f t="shared" ca="1" si="7"/>
        <v>423639962</v>
      </c>
    </row>
    <row r="10" spans="1:19" x14ac:dyDescent="0.2">
      <c r="A10" s="146">
        <v>10</v>
      </c>
      <c r="B10" s="146" t="str">
        <f>VLOOKUP( $A10, Aop!$A$2:$N$415, 2, 0)</f>
        <v>BSa</v>
      </c>
      <c r="C10" s="146">
        <f t="shared" si="0"/>
        <v>2</v>
      </c>
      <c r="D10" s="146" t="str">
        <f t="shared" si="1"/>
        <v>01494562</v>
      </c>
      <c r="E10" s="146" t="str">
        <f t="shared" si="8"/>
        <v>4400025960001</v>
      </c>
      <c r="F10" s="146" t="b">
        <f t="shared" si="2"/>
        <v>0</v>
      </c>
      <c r="G10" s="190">
        <f t="shared" si="3"/>
        <v>44377</v>
      </c>
      <c r="H10" s="146">
        <f>VLOOKUP( $A10, Aop!$A$2:$N$415, 4, 0)</f>
        <v>9</v>
      </c>
      <c r="I10" s="146">
        <f t="shared" si="4"/>
        <v>2021</v>
      </c>
      <c r="J10" s="79">
        <f t="shared" ca="1" si="9"/>
        <v>91872475</v>
      </c>
      <c r="K10" s="79" t="str">
        <f t="shared" ca="1" si="5"/>
        <v/>
      </c>
      <c r="L10" s="79">
        <f t="shared" ca="1" si="6"/>
        <v>91872475</v>
      </c>
      <c r="M10" s="79">
        <f t="shared" ca="1" si="7"/>
        <v>91872475</v>
      </c>
    </row>
    <row r="11" spans="1:19" x14ac:dyDescent="0.2">
      <c r="A11" s="146">
        <v>11</v>
      </c>
      <c r="B11" s="146" t="str">
        <f>VLOOKUP( $A11, Aop!$A$2:$N$415, 2, 0)</f>
        <v>BSa</v>
      </c>
      <c r="C11" s="146">
        <f t="shared" si="0"/>
        <v>2</v>
      </c>
      <c r="D11" s="146" t="str">
        <f t="shared" si="1"/>
        <v>01494562</v>
      </c>
      <c r="E11" s="146" t="str">
        <f t="shared" si="8"/>
        <v>4400025960001</v>
      </c>
      <c r="F11" s="146" t="b">
        <f t="shared" si="2"/>
        <v>0</v>
      </c>
      <c r="G11" s="190">
        <f t="shared" si="3"/>
        <v>44377</v>
      </c>
      <c r="H11" s="146">
        <f>VLOOKUP( $A11, Aop!$A$2:$N$415, 4, 0)</f>
        <v>10</v>
      </c>
      <c r="I11" s="146">
        <f t="shared" si="4"/>
        <v>2021</v>
      </c>
      <c r="J11" s="79">
        <f t="shared" ca="1" si="9"/>
        <v>1017873178</v>
      </c>
      <c r="K11" s="79">
        <f t="shared" ca="1" si="5"/>
        <v>782681422</v>
      </c>
      <c r="L11" s="79">
        <f t="shared" ca="1" si="6"/>
        <v>235191756</v>
      </c>
      <c r="M11" s="79">
        <f t="shared" ca="1" si="7"/>
        <v>237915912</v>
      </c>
    </row>
    <row r="12" spans="1:19" x14ac:dyDescent="0.2">
      <c r="A12" s="146">
        <v>12</v>
      </c>
      <c r="B12" s="146" t="str">
        <f>VLOOKUP( $A12, Aop!$A$2:$N$415, 2, 0)</f>
        <v>BSa</v>
      </c>
      <c r="C12" s="146">
        <f t="shared" si="0"/>
        <v>2</v>
      </c>
      <c r="D12" s="146" t="str">
        <f t="shared" si="1"/>
        <v>01494562</v>
      </c>
      <c r="E12" s="146" t="str">
        <f t="shared" si="8"/>
        <v>4400025960001</v>
      </c>
      <c r="F12" s="146" t="b">
        <f t="shared" si="2"/>
        <v>0</v>
      </c>
      <c r="G12" s="190">
        <f t="shared" si="3"/>
        <v>44377</v>
      </c>
      <c r="H12" s="146">
        <f>VLOOKUP( $A12, Aop!$A$2:$N$415, 4, 0)</f>
        <v>11</v>
      </c>
      <c r="I12" s="146">
        <f t="shared" si="4"/>
        <v>2021</v>
      </c>
      <c r="J12" s="79">
        <f t="shared" ca="1" si="9"/>
        <v>854384373</v>
      </c>
      <c r="K12" s="79">
        <f t="shared" ca="1" si="5"/>
        <v>769122239</v>
      </c>
      <c r="L12" s="79">
        <f t="shared" ca="1" si="6"/>
        <v>85262134</v>
      </c>
      <c r="M12" s="79">
        <f t="shared" ca="1" si="7"/>
        <v>86685035</v>
      </c>
    </row>
    <row r="13" spans="1:19" x14ac:dyDescent="0.2">
      <c r="A13" s="146">
        <v>13</v>
      </c>
      <c r="B13" s="146" t="str">
        <f>VLOOKUP( $A13, Aop!$A$2:$N$415, 2, 0)</f>
        <v>BSa</v>
      </c>
      <c r="C13" s="146">
        <f t="shared" si="0"/>
        <v>2</v>
      </c>
      <c r="D13" s="146" t="str">
        <f t="shared" si="1"/>
        <v>01494562</v>
      </c>
      <c r="E13" s="146" t="str">
        <f t="shared" si="8"/>
        <v>4400025960001</v>
      </c>
      <c r="F13" s="146" t="b">
        <f t="shared" si="2"/>
        <v>0</v>
      </c>
      <c r="G13" s="190">
        <f t="shared" si="3"/>
        <v>44377</v>
      </c>
      <c r="H13" s="146">
        <f>VLOOKUP( $A13, Aop!$A$2:$N$415, 4, 0)</f>
        <v>12</v>
      </c>
      <c r="I13" s="146">
        <f t="shared" si="4"/>
        <v>2021</v>
      </c>
      <c r="J13" s="79">
        <f t="shared" ca="1" si="9"/>
        <v>1268839</v>
      </c>
      <c r="K13" s="79">
        <f t="shared" ca="1" si="5"/>
        <v>65316</v>
      </c>
      <c r="L13" s="79">
        <f t="shared" ca="1" si="6"/>
        <v>1203523</v>
      </c>
      <c r="M13" s="79">
        <f t="shared" ca="1" si="7"/>
        <v>1207521</v>
      </c>
    </row>
    <row r="14" spans="1:19" x14ac:dyDescent="0.2">
      <c r="A14" s="146">
        <v>14</v>
      </c>
      <c r="B14" s="146" t="str">
        <f>VLOOKUP( $A14, Aop!$A$2:$N$415, 2, 0)</f>
        <v>BSa</v>
      </c>
      <c r="C14" s="146">
        <f t="shared" si="0"/>
        <v>2</v>
      </c>
      <c r="D14" s="146" t="str">
        <f t="shared" si="1"/>
        <v>01494562</v>
      </c>
      <c r="E14" s="146" t="str">
        <f t="shared" si="8"/>
        <v>4400025960001</v>
      </c>
      <c r="F14" s="146" t="b">
        <f t="shared" si="2"/>
        <v>0</v>
      </c>
      <c r="G14" s="190">
        <f t="shared" si="3"/>
        <v>44377</v>
      </c>
      <c r="H14" s="146">
        <f>VLOOKUP( $A14, Aop!$A$2:$N$415, 4, 0)</f>
        <v>13</v>
      </c>
      <c r="I14" s="146">
        <f t="shared" si="4"/>
        <v>2021</v>
      </c>
      <c r="J14" s="79" t="str">
        <f t="shared" ca="1" si="9"/>
        <v/>
      </c>
      <c r="K14" s="79" t="str">
        <f t="shared" ca="1" si="5"/>
        <v/>
      </c>
      <c r="L14" s="79">
        <f t="shared" ca="1" si="6"/>
        <v>0</v>
      </c>
      <c r="M14" s="79" t="str">
        <f t="shared" ca="1" si="7"/>
        <v/>
      </c>
    </row>
    <row r="15" spans="1:19" x14ac:dyDescent="0.2">
      <c r="A15" s="146">
        <v>15</v>
      </c>
      <c r="B15" s="146" t="str">
        <f>VLOOKUP( $A15, Aop!$A$2:$N$415, 2, 0)</f>
        <v>BSa</v>
      </c>
      <c r="C15" s="146">
        <f t="shared" si="0"/>
        <v>2</v>
      </c>
      <c r="D15" s="146" t="str">
        <f t="shared" si="1"/>
        <v>01494562</v>
      </c>
      <c r="E15" s="146" t="str">
        <f t="shared" si="8"/>
        <v>4400025960001</v>
      </c>
      <c r="F15" s="146" t="b">
        <f t="shared" si="2"/>
        <v>0</v>
      </c>
      <c r="G15" s="190">
        <f t="shared" si="3"/>
        <v>44377</v>
      </c>
      <c r="H15" s="146">
        <f>VLOOKUP( $A15, Aop!$A$2:$N$415, 4, 0)</f>
        <v>14</v>
      </c>
      <c r="I15" s="146">
        <f t="shared" si="4"/>
        <v>2021</v>
      </c>
      <c r="J15" s="79">
        <f t="shared" ca="1" si="9"/>
        <v>7142054</v>
      </c>
      <c r="K15" s="79">
        <f t="shared" ca="1" si="5"/>
        <v>526255</v>
      </c>
      <c r="L15" s="79">
        <f t="shared" ca="1" si="6"/>
        <v>6615799</v>
      </c>
      <c r="M15" s="79">
        <f t="shared" ca="1" si="7"/>
        <v>5959019</v>
      </c>
    </row>
    <row r="16" spans="1:19" x14ac:dyDescent="0.2">
      <c r="A16" s="146">
        <v>16</v>
      </c>
      <c r="B16" s="146" t="str">
        <f>VLOOKUP( $A16, Aop!$A$2:$N$415, 2, 0)</f>
        <v>BSa</v>
      </c>
      <c r="C16" s="146">
        <f t="shared" si="0"/>
        <v>2</v>
      </c>
      <c r="D16" s="146" t="str">
        <f t="shared" si="1"/>
        <v>01494562</v>
      </c>
      <c r="E16" s="146" t="str">
        <f t="shared" si="8"/>
        <v>4400025960001</v>
      </c>
      <c r="F16" s="146" t="b">
        <f t="shared" si="2"/>
        <v>0</v>
      </c>
      <c r="G16" s="190">
        <f t="shared" si="3"/>
        <v>44377</v>
      </c>
      <c r="H16" s="146">
        <f>VLOOKUP( $A16, Aop!$A$2:$N$415, 4, 0)</f>
        <v>15</v>
      </c>
      <c r="I16" s="146">
        <f t="shared" si="4"/>
        <v>2021</v>
      </c>
      <c r="J16" s="79">
        <f t="shared" ca="1" si="9"/>
        <v>46389</v>
      </c>
      <c r="K16" s="79">
        <f t="shared" ca="1" si="5"/>
        <v>0</v>
      </c>
      <c r="L16" s="79">
        <f t="shared" ca="1" si="6"/>
        <v>46389</v>
      </c>
      <c r="M16" s="79">
        <f t="shared" ca="1" si="7"/>
        <v>46389</v>
      </c>
    </row>
    <row r="17" spans="1:13" x14ac:dyDescent="0.2">
      <c r="A17" s="146">
        <v>17</v>
      </c>
      <c r="B17" s="146" t="str">
        <f>VLOOKUP( $A17, Aop!$A$2:$N$415, 2, 0)</f>
        <v>BSa</v>
      </c>
      <c r="C17" s="146">
        <f t="shared" si="0"/>
        <v>2</v>
      </c>
      <c r="D17" s="146" t="str">
        <f t="shared" si="1"/>
        <v>01494562</v>
      </c>
      <c r="E17" s="146" t="str">
        <f t="shared" si="8"/>
        <v>4400025960001</v>
      </c>
      <c r="F17" s="146" t="b">
        <f t="shared" si="2"/>
        <v>0</v>
      </c>
      <c r="G17" s="190">
        <f t="shared" si="3"/>
        <v>44377</v>
      </c>
      <c r="H17" s="146">
        <f>VLOOKUP( $A17, Aop!$A$2:$N$415, 4, 0)</f>
        <v>16</v>
      </c>
      <c r="I17" s="146">
        <f t="shared" si="4"/>
        <v>2021</v>
      </c>
      <c r="J17" s="79" t="str">
        <f t="shared" ca="1" si="9"/>
        <v/>
      </c>
      <c r="K17" s="79" t="str">
        <f t="shared" ca="1" si="5"/>
        <v/>
      </c>
      <c r="L17" s="79">
        <f t="shared" ca="1" si="6"/>
        <v>0</v>
      </c>
      <c r="M17" s="79" t="str">
        <f t="shared" ca="1" si="7"/>
        <v/>
      </c>
    </row>
    <row r="18" spans="1:13" x14ac:dyDescent="0.2">
      <c r="A18" s="146">
        <v>18</v>
      </c>
      <c r="B18" s="146" t="str">
        <f>VLOOKUP( $A18, Aop!$A$2:$N$415, 2, 0)</f>
        <v>BSa</v>
      </c>
      <c r="C18" s="146">
        <f t="shared" si="0"/>
        <v>2</v>
      </c>
      <c r="D18" s="146" t="str">
        <f t="shared" si="1"/>
        <v>01494562</v>
      </c>
      <c r="E18" s="146" t="str">
        <f t="shared" si="8"/>
        <v>4400025960001</v>
      </c>
      <c r="F18" s="146" t="b">
        <f t="shared" si="2"/>
        <v>0</v>
      </c>
      <c r="G18" s="190">
        <f t="shared" si="3"/>
        <v>44377</v>
      </c>
      <c r="H18" s="146">
        <f>VLOOKUP( $A18, Aop!$A$2:$N$415, 4, 0)</f>
        <v>17</v>
      </c>
      <c r="I18" s="146">
        <f t="shared" si="4"/>
        <v>2021</v>
      </c>
      <c r="J18" s="79" t="str">
        <f t="shared" ca="1" si="9"/>
        <v/>
      </c>
      <c r="K18" s="79" t="str">
        <f t="shared" ca="1" si="5"/>
        <v/>
      </c>
      <c r="L18" s="79">
        <f t="shared" ca="1" si="6"/>
        <v>0</v>
      </c>
      <c r="M18" s="79" t="str">
        <f t="shared" ca="1" si="7"/>
        <v/>
      </c>
    </row>
    <row r="19" spans="1:13" x14ac:dyDescent="0.2">
      <c r="A19" s="146">
        <v>19</v>
      </c>
      <c r="B19" s="146" t="str">
        <f>VLOOKUP( $A19, Aop!$A$2:$N$415, 2, 0)</f>
        <v>BSa</v>
      </c>
      <c r="C19" s="146">
        <f t="shared" si="0"/>
        <v>2</v>
      </c>
      <c r="D19" s="146" t="str">
        <f t="shared" si="1"/>
        <v>01494562</v>
      </c>
      <c r="E19" s="146" t="str">
        <f t="shared" si="8"/>
        <v>4400025960001</v>
      </c>
      <c r="F19" s="146" t="b">
        <f t="shared" si="2"/>
        <v>0</v>
      </c>
      <c r="G19" s="190">
        <f t="shared" si="3"/>
        <v>44377</v>
      </c>
      <c r="H19" s="146">
        <f>VLOOKUP( $A19, Aop!$A$2:$N$415, 4, 0)</f>
        <v>18</v>
      </c>
      <c r="I19" s="146">
        <f t="shared" si="4"/>
        <v>2021</v>
      </c>
      <c r="J19" s="79" t="str">
        <f t="shared" ca="1" si="9"/>
        <v/>
      </c>
      <c r="K19" s="79" t="str">
        <f t="shared" ca="1" si="5"/>
        <v/>
      </c>
      <c r="L19" s="79">
        <f t="shared" ca="1" si="6"/>
        <v>0</v>
      </c>
      <c r="M19" s="79" t="str">
        <f t="shared" ca="1" si="7"/>
        <v/>
      </c>
    </row>
    <row r="20" spans="1:13" x14ac:dyDescent="0.2">
      <c r="A20" s="146">
        <v>20</v>
      </c>
      <c r="B20" s="146" t="str">
        <f>VLOOKUP( $A20, Aop!$A$2:$N$415, 2, 0)</f>
        <v>BSa</v>
      </c>
      <c r="C20" s="146">
        <f t="shared" si="0"/>
        <v>2</v>
      </c>
      <c r="D20" s="146" t="str">
        <f t="shared" si="1"/>
        <v>01494562</v>
      </c>
      <c r="E20" s="146" t="str">
        <f t="shared" si="8"/>
        <v>4400025960001</v>
      </c>
      <c r="F20" s="146" t="b">
        <f t="shared" si="2"/>
        <v>0</v>
      </c>
      <c r="G20" s="190">
        <f t="shared" si="3"/>
        <v>44377</v>
      </c>
      <c r="H20" s="146">
        <f>VLOOKUP( $A20, Aop!$A$2:$N$415, 4, 0)</f>
        <v>19</v>
      </c>
      <c r="I20" s="146">
        <f t="shared" si="4"/>
        <v>2021</v>
      </c>
      <c r="J20" s="79">
        <f t="shared" ca="1" si="9"/>
        <v>46389</v>
      </c>
      <c r="K20" s="79" t="str">
        <f t="shared" ca="1" si="5"/>
        <v/>
      </c>
      <c r="L20" s="79">
        <f t="shared" ca="1" si="6"/>
        <v>46389</v>
      </c>
      <c r="M20" s="79">
        <f t="shared" ca="1" si="7"/>
        <v>46389</v>
      </c>
    </row>
    <row r="21" spans="1:13" x14ac:dyDescent="0.2">
      <c r="A21" s="146">
        <v>21</v>
      </c>
      <c r="B21" s="146" t="str">
        <f>VLOOKUP( $A21, Aop!$A$2:$N$415, 2, 0)</f>
        <v>BSa</v>
      </c>
      <c r="C21" s="146">
        <f t="shared" si="0"/>
        <v>2</v>
      </c>
      <c r="D21" s="146" t="str">
        <f t="shared" si="1"/>
        <v>01494562</v>
      </c>
      <c r="E21" s="146" t="str">
        <f t="shared" si="8"/>
        <v>4400025960001</v>
      </c>
      <c r="F21" s="146" t="b">
        <f t="shared" si="2"/>
        <v>0</v>
      </c>
      <c r="G21" s="190">
        <f t="shared" si="3"/>
        <v>44377</v>
      </c>
      <c r="H21" s="146">
        <f>VLOOKUP( $A21, Aop!$A$2:$N$415, 4, 0)</f>
        <v>20</v>
      </c>
      <c r="I21" s="146">
        <f t="shared" si="4"/>
        <v>2021</v>
      </c>
      <c r="J21" s="79" t="str">
        <f t="shared" ca="1" si="9"/>
        <v/>
      </c>
      <c r="K21" s="79" t="str">
        <f t="shared" ca="1" si="5"/>
        <v/>
      </c>
      <c r="L21" s="79">
        <f t="shared" ca="1" si="6"/>
        <v>0</v>
      </c>
      <c r="M21" s="79" t="str">
        <f t="shared" ca="1" si="7"/>
        <v/>
      </c>
    </row>
    <row r="22" spans="1:13" x14ac:dyDescent="0.2">
      <c r="A22" s="146">
        <v>22</v>
      </c>
      <c r="B22" s="146" t="str">
        <f>VLOOKUP( $A22, Aop!$A$2:$N$415, 2, 0)</f>
        <v>BSa</v>
      </c>
      <c r="C22" s="146">
        <f t="shared" si="0"/>
        <v>2</v>
      </c>
      <c r="D22" s="146" t="str">
        <f t="shared" si="1"/>
        <v>01494562</v>
      </c>
      <c r="E22" s="146" t="str">
        <f t="shared" si="8"/>
        <v>4400025960001</v>
      </c>
      <c r="F22" s="146" t="b">
        <f t="shared" si="2"/>
        <v>0</v>
      </c>
      <c r="G22" s="190">
        <f t="shared" si="3"/>
        <v>44377</v>
      </c>
      <c r="H22" s="146">
        <f>VLOOKUP( $A22, Aop!$A$2:$N$415, 4, 0)</f>
        <v>21</v>
      </c>
      <c r="I22" s="146">
        <f t="shared" si="4"/>
        <v>2021</v>
      </c>
      <c r="J22" s="79">
        <f t="shared" ca="1" si="9"/>
        <v>0</v>
      </c>
      <c r="K22" s="79">
        <f t="shared" ca="1" si="5"/>
        <v>0</v>
      </c>
      <c r="L22" s="79">
        <f t="shared" ca="1" si="6"/>
        <v>0</v>
      </c>
      <c r="M22" s="79">
        <f t="shared" ca="1" si="7"/>
        <v>0</v>
      </c>
    </row>
    <row r="23" spans="1:13" x14ac:dyDescent="0.2">
      <c r="A23" s="146">
        <v>23</v>
      </c>
      <c r="B23" s="146" t="str">
        <f>VLOOKUP( $A23, Aop!$A$2:$N$415, 2, 0)</f>
        <v>BSa</v>
      </c>
      <c r="C23" s="146">
        <f t="shared" si="0"/>
        <v>2</v>
      </c>
      <c r="D23" s="146" t="str">
        <f t="shared" si="1"/>
        <v>01494562</v>
      </c>
      <c r="E23" s="146" t="str">
        <f t="shared" si="8"/>
        <v>4400025960001</v>
      </c>
      <c r="F23" s="146" t="b">
        <f t="shared" si="2"/>
        <v>0</v>
      </c>
      <c r="G23" s="190">
        <f t="shared" si="3"/>
        <v>44377</v>
      </c>
      <c r="H23" s="146">
        <f>VLOOKUP( $A23, Aop!$A$2:$N$415, 4, 0)</f>
        <v>22</v>
      </c>
      <c r="I23" s="146">
        <f t="shared" si="4"/>
        <v>2021</v>
      </c>
      <c r="J23" s="79" t="str">
        <f t="shared" ca="1" si="9"/>
        <v/>
      </c>
      <c r="K23" s="79" t="str">
        <f t="shared" ca="1" si="5"/>
        <v/>
      </c>
      <c r="L23" s="79">
        <f t="shared" ca="1" si="6"/>
        <v>0</v>
      </c>
      <c r="M23" s="79" t="str">
        <f t="shared" ca="1" si="7"/>
        <v/>
      </c>
    </row>
    <row r="24" spans="1:13" x14ac:dyDescent="0.2">
      <c r="A24" s="146">
        <v>24</v>
      </c>
      <c r="B24" s="146" t="str">
        <f>VLOOKUP( $A24, Aop!$A$2:$N$415, 2, 0)</f>
        <v>BSa</v>
      </c>
      <c r="C24" s="146">
        <f t="shared" si="0"/>
        <v>2</v>
      </c>
      <c r="D24" s="146" t="str">
        <f t="shared" si="1"/>
        <v>01494562</v>
      </c>
      <c r="E24" s="146" t="str">
        <f t="shared" si="8"/>
        <v>4400025960001</v>
      </c>
      <c r="F24" s="146" t="b">
        <f t="shared" si="2"/>
        <v>0</v>
      </c>
      <c r="G24" s="190">
        <f t="shared" si="3"/>
        <v>44377</v>
      </c>
      <c r="H24" s="146">
        <f>VLOOKUP( $A24, Aop!$A$2:$N$415, 4, 0)</f>
        <v>23</v>
      </c>
      <c r="I24" s="146">
        <f t="shared" si="4"/>
        <v>2021</v>
      </c>
      <c r="J24" s="79" t="str">
        <f t="shared" ca="1" si="9"/>
        <v/>
      </c>
      <c r="K24" s="79" t="str">
        <f t="shared" ca="1" si="5"/>
        <v/>
      </c>
      <c r="L24" s="79">
        <f t="shared" ca="1" si="6"/>
        <v>0</v>
      </c>
      <c r="M24" s="79" t="str">
        <f t="shared" ca="1" si="7"/>
        <v/>
      </c>
    </row>
    <row r="25" spans="1:13" x14ac:dyDescent="0.2">
      <c r="A25" s="146">
        <v>25</v>
      </c>
      <c r="B25" s="146" t="str">
        <f>VLOOKUP( $A25, Aop!$A$2:$N$415, 2, 0)</f>
        <v>BSa</v>
      </c>
      <c r="C25" s="146">
        <f t="shared" si="0"/>
        <v>2</v>
      </c>
      <c r="D25" s="146" t="str">
        <f t="shared" si="1"/>
        <v>01494562</v>
      </c>
      <c r="E25" s="146" t="str">
        <f t="shared" si="8"/>
        <v>4400025960001</v>
      </c>
      <c r="F25" s="146" t="b">
        <f t="shared" si="2"/>
        <v>0</v>
      </c>
      <c r="G25" s="190">
        <f t="shared" si="3"/>
        <v>44377</v>
      </c>
      <c r="H25" s="146">
        <f>VLOOKUP( $A25, Aop!$A$2:$N$415, 4, 0)</f>
        <v>24</v>
      </c>
      <c r="I25" s="146">
        <f t="shared" si="4"/>
        <v>2021</v>
      </c>
      <c r="J25" s="79" t="str">
        <f t="shared" ca="1" si="9"/>
        <v/>
      </c>
      <c r="K25" s="79" t="str">
        <f t="shared" ca="1" si="5"/>
        <v/>
      </c>
      <c r="L25" s="79">
        <f t="shared" ca="1" si="6"/>
        <v>0</v>
      </c>
      <c r="M25" s="79" t="str">
        <f t="shared" ca="1" si="7"/>
        <v/>
      </c>
    </row>
    <row r="26" spans="1:13" x14ac:dyDescent="0.2">
      <c r="A26" s="146">
        <v>26</v>
      </c>
      <c r="B26" s="146" t="str">
        <f>VLOOKUP( $A26, Aop!$A$2:$N$415, 2, 0)</f>
        <v>BSa</v>
      </c>
      <c r="C26" s="146">
        <f t="shared" si="0"/>
        <v>2</v>
      </c>
      <c r="D26" s="146" t="str">
        <f t="shared" si="1"/>
        <v>01494562</v>
      </c>
      <c r="E26" s="146" t="str">
        <f t="shared" si="8"/>
        <v>4400025960001</v>
      </c>
      <c r="F26" s="146" t="b">
        <f t="shared" si="2"/>
        <v>0</v>
      </c>
      <c r="G26" s="190">
        <f t="shared" si="3"/>
        <v>44377</v>
      </c>
      <c r="H26" s="146">
        <f>VLOOKUP( $A26, Aop!$A$2:$N$415, 4, 0)</f>
        <v>25</v>
      </c>
      <c r="I26" s="146">
        <f t="shared" si="4"/>
        <v>2021</v>
      </c>
      <c r="J26" s="79" t="str">
        <f t="shared" ca="1" si="9"/>
        <v/>
      </c>
      <c r="K26" s="79" t="str">
        <f t="shared" ca="1" si="5"/>
        <v/>
      </c>
      <c r="L26" s="79">
        <f t="shared" ca="1" si="6"/>
        <v>0</v>
      </c>
      <c r="M26" s="79" t="str">
        <f t="shared" ca="1" si="7"/>
        <v/>
      </c>
    </row>
    <row r="27" spans="1:13" x14ac:dyDescent="0.2">
      <c r="A27" s="146">
        <v>27</v>
      </c>
      <c r="B27" s="146" t="str">
        <f>VLOOKUP( $A27, Aop!$A$2:$N$415, 2, 0)</f>
        <v>BSa</v>
      </c>
      <c r="C27" s="146">
        <f t="shared" si="0"/>
        <v>2</v>
      </c>
      <c r="D27" s="146" t="str">
        <f t="shared" si="1"/>
        <v>01494562</v>
      </c>
      <c r="E27" s="146" t="str">
        <f t="shared" si="8"/>
        <v>4400025960001</v>
      </c>
      <c r="F27" s="146" t="b">
        <f t="shared" si="2"/>
        <v>0</v>
      </c>
      <c r="G27" s="190">
        <f t="shared" si="3"/>
        <v>44377</v>
      </c>
      <c r="H27" s="146">
        <f>VLOOKUP( $A27, Aop!$A$2:$N$415, 4, 0)</f>
        <v>26</v>
      </c>
      <c r="I27" s="146">
        <f t="shared" si="4"/>
        <v>2021</v>
      </c>
      <c r="J27" s="79" t="str">
        <f t="shared" ca="1" si="9"/>
        <v/>
      </c>
      <c r="K27" s="79" t="str">
        <f t="shared" ca="1" si="5"/>
        <v/>
      </c>
      <c r="L27" s="79">
        <f t="shared" ca="1" si="6"/>
        <v>0</v>
      </c>
      <c r="M27" s="79" t="str">
        <f t="shared" ca="1" si="7"/>
        <v/>
      </c>
    </row>
    <row r="28" spans="1:13" x14ac:dyDescent="0.2">
      <c r="A28" s="146">
        <v>28</v>
      </c>
      <c r="B28" s="146" t="str">
        <f>VLOOKUP( $A28, Aop!$A$2:$N$415, 2, 0)</f>
        <v>BSa</v>
      </c>
      <c r="C28" s="146">
        <f t="shared" si="0"/>
        <v>2</v>
      </c>
      <c r="D28" s="146" t="str">
        <f t="shared" si="1"/>
        <v>01494562</v>
      </c>
      <c r="E28" s="146" t="str">
        <f t="shared" si="8"/>
        <v>4400025960001</v>
      </c>
      <c r="F28" s="146" t="b">
        <f t="shared" si="2"/>
        <v>0</v>
      </c>
      <c r="G28" s="190">
        <f t="shared" si="3"/>
        <v>44377</v>
      </c>
      <c r="H28" s="146">
        <f>VLOOKUP( $A28, Aop!$A$2:$N$415, 4, 0)</f>
        <v>27</v>
      </c>
      <c r="I28" s="146">
        <f t="shared" si="4"/>
        <v>2021</v>
      </c>
      <c r="J28" s="79" t="str">
        <f t="shared" ca="1" si="9"/>
        <v/>
      </c>
      <c r="K28" s="79" t="str">
        <f t="shared" ca="1" si="5"/>
        <v/>
      </c>
      <c r="L28" s="79">
        <f t="shared" ca="1" si="6"/>
        <v>0</v>
      </c>
      <c r="M28" s="79" t="str">
        <f t="shared" ca="1" si="7"/>
        <v/>
      </c>
    </row>
    <row r="29" spans="1:13" x14ac:dyDescent="0.2">
      <c r="A29" s="146">
        <v>29</v>
      </c>
      <c r="B29" s="146" t="str">
        <f>VLOOKUP( $A29, Aop!$A$2:$N$415, 2, 0)</f>
        <v>BSa</v>
      </c>
      <c r="C29" s="146">
        <f t="shared" si="0"/>
        <v>2</v>
      </c>
      <c r="D29" s="146" t="str">
        <f t="shared" si="1"/>
        <v>01494562</v>
      </c>
      <c r="E29" s="146" t="str">
        <f t="shared" si="8"/>
        <v>4400025960001</v>
      </c>
      <c r="F29" s="146" t="b">
        <f t="shared" si="2"/>
        <v>0</v>
      </c>
      <c r="G29" s="190">
        <f t="shared" si="3"/>
        <v>44377</v>
      </c>
      <c r="H29" s="146">
        <f>VLOOKUP( $A29, Aop!$A$2:$N$415, 4, 0)</f>
        <v>28</v>
      </c>
      <c r="I29" s="146">
        <f t="shared" si="4"/>
        <v>2021</v>
      </c>
      <c r="J29" s="79" t="str">
        <f t="shared" ca="1" si="9"/>
        <v/>
      </c>
      <c r="K29" s="79" t="str">
        <f t="shared" ca="1" si="5"/>
        <v/>
      </c>
      <c r="L29" s="79">
        <f t="shared" ca="1" si="6"/>
        <v>0</v>
      </c>
      <c r="M29" s="79" t="str">
        <f t="shared" ca="1" si="7"/>
        <v/>
      </c>
    </row>
    <row r="30" spans="1:13" x14ac:dyDescent="0.2">
      <c r="A30" s="146">
        <v>30</v>
      </c>
      <c r="B30" s="146" t="str">
        <f>VLOOKUP( $A30, Aop!$A$2:$N$415, 2, 0)</f>
        <v>BSa</v>
      </c>
      <c r="C30" s="146">
        <f t="shared" si="0"/>
        <v>2</v>
      </c>
      <c r="D30" s="146" t="str">
        <f t="shared" si="1"/>
        <v>01494562</v>
      </c>
      <c r="E30" s="146" t="str">
        <f t="shared" si="8"/>
        <v>4400025960001</v>
      </c>
      <c r="F30" s="146" t="b">
        <f t="shared" si="2"/>
        <v>0</v>
      </c>
      <c r="G30" s="190">
        <f t="shared" si="3"/>
        <v>44377</v>
      </c>
      <c r="H30" s="146">
        <f>VLOOKUP( $A30, Aop!$A$2:$N$415, 4, 0)</f>
        <v>29</v>
      </c>
      <c r="I30" s="146">
        <f t="shared" si="4"/>
        <v>2021</v>
      </c>
      <c r="J30" s="79" t="str">
        <f t="shared" ca="1" si="9"/>
        <v/>
      </c>
      <c r="K30" s="79" t="str">
        <f t="shared" ca="1" si="5"/>
        <v/>
      </c>
      <c r="L30" s="79">
        <f t="shared" ca="1" si="6"/>
        <v>0</v>
      </c>
      <c r="M30" s="79" t="str">
        <f t="shared" ca="1" si="7"/>
        <v/>
      </c>
    </row>
    <row r="31" spans="1:13" x14ac:dyDescent="0.2">
      <c r="A31" s="146">
        <v>31</v>
      </c>
      <c r="B31" s="146" t="str">
        <f>VLOOKUP( $A31, Aop!$A$2:$N$415, 2, 0)</f>
        <v>BSa</v>
      </c>
      <c r="C31" s="146">
        <f t="shared" si="0"/>
        <v>2</v>
      </c>
      <c r="D31" s="146" t="str">
        <f t="shared" si="1"/>
        <v>01494562</v>
      </c>
      <c r="E31" s="146" t="str">
        <f t="shared" si="8"/>
        <v>4400025960001</v>
      </c>
      <c r="F31" s="146" t="b">
        <f t="shared" si="2"/>
        <v>0</v>
      </c>
      <c r="G31" s="190">
        <f t="shared" si="3"/>
        <v>44377</v>
      </c>
      <c r="H31" s="146">
        <f>VLOOKUP( $A31, Aop!$A$2:$N$415, 4, 0)</f>
        <v>30</v>
      </c>
      <c r="I31" s="146">
        <f t="shared" si="4"/>
        <v>2021</v>
      </c>
      <c r="J31" s="79" t="str">
        <f t="shared" ca="1" si="9"/>
        <v/>
      </c>
      <c r="K31" s="79" t="str">
        <f t="shared" ca="1" si="5"/>
        <v/>
      </c>
      <c r="L31" s="79">
        <f t="shared" ca="1" si="6"/>
        <v>0</v>
      </c>
      <c r="M31" s="79" t="str">
        <f t="shared" ca="1" si="7"/>
        <v/>
      </c>
    </row>
    <row r="32" spans="1:13" x14ac:dyDescent="0.2">
      <c r="A32" s="146">
        <v>32</v>
      </c>
      <c r="B32" s="146" t="str">
        <f>VLOOKUP( $A32, Aop!$A$2:$N$415, 2, 0)</f>
        <v>BSa</v>
      </c>
      <c r="C32" s="146">
        <f t="shared" si="0"/>
        <v>2</v>
      </c>
      <c r="D32" s="146" t="str">
        <f t="shared" si="1"/>
        <v>01494562</v>
      </c>
      <c r="E32" s="146" t="str">
        <f t="shared" si="8"/>
        <v>4400025960001</v>
      </c>
      <c r="F32" s="146" t="b">
        <f t="shared" si="2"/>
        <v>0</v>
      </c>
      <c r="G32" s="190">
        <f t="shared" si="3"/>
        <v>44377</v>
      </c>
      <c r="H32" s="146">
        <f>VLOOKUP( $A32, Aop!$A$2:$N$415, 4, 0)</f>
        <v>31</v>
      </c>
      <c r="I32" s="146">
        <f t="shared" si="4"/>
        <v>2021</v>
      </c>
      <c r="J32" s="79">
        <f t="shared" ca="1" si="9"/>
        <v>81695765</v>
      </c>
      <c r="K32" s="79">
        <f t="shared" ca="1" si="5"/>
        <v>23796205</v>
      </c>
      <c r="L32" s="79">
        <f t="shared" ca="1" si="6"/>
        <v>57899560</v>
      </c>
      <c r="M32" s="79">
        <f t="shared" ca="1" si="7"/>
        <v>58599170</v>
      </c>
    </row>
    <row r="33" spans="1:13" x14ac:dyDescent="0.2">
      <c r="A33" s="146">
        <v>33</v>
      </c>
      <c r="B33" s="146" t="str">
        <f>VLOOKUP( $A33, Aop!$A$2:$N$415, 2, 0)</f>
        <v>BSa</v>
      </c>
      <c r="C33" s="146">
        <f t="shared" si="0"/>
        <v>2</v>
      </c>
      <c r="D33" s="146" t="str">
        <f t="shared" si="1"/>
        <v>01494562</v>
      </c>
      <c r="E33" s="146" t="str">
        <f t="shared" si="8"/>
        <v>4400025960001</v>
      </c>
      <c r="F33" s="146" t="b">
        <f t="shared" si="2"/>
        <v>0</v>
      </c>
      <c r="G33" s="190">
        <f t="shared" si="3"/>
        <v>44377</v>
      </c>
      <c r="H33" s="146">
        <f>VLOOKUP( $A33, Aop!$A$2:$N$415, 4, 0)</f>
        <v>32</v>
      </c>
      <c r="I33" s="146">
        <f t="shared" si="4"/>
        <v>2021</v>
      </c>
      <c r="J33" s="79">
        <f t="shared" ca="1" si="9"/>
        <v>38126255</v>
      </c>
      <c r="K33" s="79">
        <f t="shared" ca="1" si="5"/>
        <v>16846321</v>
      </c>
      <c r="L33" s="79">
        <f t="shared" ca="1" si="6"/>
        <v>21279934</v>
      </c>
      <c r="M33" s="79">
        <f t="shared" ca="1" si="7"/>
        <v>20236738</v>
      </c>
    </row>
    <row r="34" spans="1:13" x14ac:dyDescent="0.2">
      <c r="A34" s="146">
        <v>34</v>
      </c>
      <c r="B34" s="146" t="str">
        <f>VLOOKUP( $A34, Aop!$A$2:$N$415, 2, 0)</f>
        <v>BSa</v>
      </c>
      <c r="C34" s="146">
        <f t="shared" si="0"/>
        <v>2</v>
      </c>
      <c r="D34" s="146" t="str">
        <f t="shared" si="1"/>
        <v>01494562</v>
      </c>
      <c r="E34" s="146" t="str">
        <f t="shared" si="8"/>
        <v>4400025960001</v>
      </c>
      <c r="F34" s="146" t="b">
        <f t="shared" si="2"/>
        <v>0</v>
      </c>
      <c r="G34" s="190">
        <f t="shared" si="3"/>
        <v>44377</v>
      </c>
      <c r="H34" s="146">
        <f>VLOOKUP( $A34, Aop!$A$2:$N$415, 4, 0)</f>
        <v>33</v>
      </c>
      <c r="I34" s="146">
        <f t="shared" si="4"/>
        <v>2021</v>
      </c>
      <c r="J34" s="79">
        <f t="shared" ca="1" si="9"/>
        <v>35321217</v>
      </c>
      <c r="K34" s="79">
        <f t="shared" ca="1" si="5"/>
        <v>14041674</v>
      </c>
      <c r="L34" s="79">
        <f t="shared" ca="1" si="6"/>
        <v>21279543</v>
      </c>
      <c r="M34" s="79">
        <f t="shared" ca="1" si="7"/>
        <v>20229361</v>
      </c>
    </row>
    <row r="35" spans="1:13" x14ac:dyDescent="0.2">
      <c r="A35" s="146">
        <v>35</v>
      </c>
      <c r="B35" s="146" t="str">
        <f>VLOOKUP( $A35, Aop!$A$2:$N$415, 2, 0)</f>
        <v>BSa</v>
      </c>
      <c r="C35" s="146">
        <f t="shared" si="0"/>
        <v>2</v>
      </c>
      <c r="D35" s="146" t="str">
        <f t="shared" si="1"/>
        <v>01494562</v>
      </c>
      <c r="E35" s="146" t="str">
        <f t="shared" si="8"/>
        <v>4400025960001</v>
      </c>
      <c r="F35" s="146" t="b">
        <f t="shared" si="2"/>
        <v>0</v>
      </c>
      <c r="G35" s="190">
        <f t="shared" si="3"/>
        <v>44377</v>
      </c>
      <c r="H35" s="146">
        <f>VLOOKUP( $A35, Aop!$A$2:$N$415, 4, 0)</f>
        <v>34</v>
      </c>
      <c r="I35" s="146">
        <f t="shared" si="4"/>
        <v>2021</v>
      </c>
      <c r="J35" s="79" t="str">
        <f t="shared" ca="1" si="9"/>
        <v/>
      </c>
      <c r="K35" s="79" t="str">
        <f t="shared" ca="1" si="5"/>
        <v/>
      </c>
      <c r="L35" s="79">
        <f t="shared" ca="1" si="6"/>
        <v>0</v>
      </c>
      <c r="M35" s="79" t="str">
        <f t="shared" ca="1" si="7"/>
        <v/>
      </c>
    </row>
    <row r="36" spans="1:13" x14ac:dyDescent="0.2">
      <c r="A36" s="146">
        <v>36</v>
      </c>
      <c r="B36" s="146" t="str">
        <f>VLOOKUP( $A36, Aop!$A$2:$N$415, 2, 0)</f>
        <v>BSa</v>
      </c>
      <c r="C36" s="146">
        <f t="shared" si="0"/>
        <v>2</v>
      </c>
      <c r="D36" s="146" t="str">
        <f t="shared" si="1"/>
        <v>01494562</v>
      </c>
      <c r="E36" s="146" t="str">
        <f t="shared" si="8"/>
        <v>4400025960001</v>
      </c>
      <c r="F36" s="146" t="b">
        <f t="shared" si="2"/>
        <v>0</v>
      </c>
      <c r="G36" s="190">
        <f t="shared" si="3"/>
        <v>44377</v>
      </c>
      <c r="H36" s="146">
        <f>VLOOKUP( $A36, Aop!$A$2:$N$415, 4, 0)</f>
        <v>35</v>
      </c>
      <c r="I36" s="146">
        <f t="shared" si="4"/>
        <v>2021</v>
      </c>
      <c r="J36" s="79" t="str">
        <f t="shared" ca="1" si="9"/>
        <v/>
      </c>
      <c r="K36" s="79" t="str">
        <f t="shared" ca="1" si="5"/>
        <v/>
      </c>
      <c r="L36" s="79">
        <f t="shared" ca="1" si="6"/>
        <v>0</v>
      </c>
      <c r="M36" s="79" t="str">
        <f t="shared" ca="1" si="7"/>
        <v/>
      </c>
    </row>
    <row r="37" spans="1:13" x14ac:dyDescent="0.2">
      <c r="A37" s="146">
        <v>37</v>
      </c>
      <c r="B37" s="146" t="str">
        <f>VLOOKUP( $A37, Aop!$A$2:$N$415, 2, 0)</f>
        <v>BSa</v>
      </c>
      <c r="C37" s="146">
        <f t="shared" si="0"/>
        <v>2</v>
      </c>
      <c r="D37" s="146" t="str">
        <f t="shared" si="1"/>
        <v>01494562</v>
      </c>
      <c r="E37" s="146" t="str">
        <f t="shared" si="8"/>
        <v>4400025960001</v>
      </c>
      <c r="F37" s="146" t="b">
        <f t="shared" si="2"/>
        <v>0</v>
      </c>
      <c r="G37" s="190">
        <f t="shared" si="3"/>
        <v>44377</v>
      </c>
      <c r="H37" s="146">
        <f>VLOOKUP( $A37, Aop!$A$2:$N$415, 4, 0)</f>
        <v>36</v>
      </c>
      <c r="I37" s="146">
        <f t="shared" si="4"/>
        <v>2021</v>
      </c>
      <c r="J37" s="79" t="str">
        <f t="shared" ca="1" si="9"/>
        <v/>
      </c>
      <c r="K37" s="79" t="str">
        <f t="shared" ca="1" si="5"/>
        <v/>
      </c>
      <c r="L37" s="79">
        <f t="shared" ca="1" si="6"/>
        <v>0</v>
      </c>
      <c r="M37" s="79" t="str">
        <f t="shared" ca="1" si="7"/>
        <v/>
      </c>
    </row>
    <row r="38" spans="1:13" x14ac:dyDescent="0.2">
      <c r="A38" s="146">
        <v>38</v>
      </c>
      <c r="B38" s="146" t="str">
        <f>VLOOKUP( $A38, Aop!$A$2:$N$415, 2, 0)</f>
        <v>BSa</v>
      </c>
      <c r="C38" s="146">
        <f t="shared" si="0"/>
        <v>2</v>
      </c>
      <c r="D38" s="146" t="str">
        <f t="shared" si="1"/>
        <v>01494562</v>
      </c>
      <c r="E38" s="146" t="str">
        <f t="shared" si="8"/>
        <v>4400025960001</v>
      </c>
      <c r="F38" s="146" t="b">
        <f t="shared" si="2"/>
        <v>0</v>
      </c>
      <c r="G38" s="190">
        <f t="shared" si="3"/>
        <v>44377</v>
      </c>
      <c r="H38" s="146">
        <f>VLOOKUP( $A38, Aop!$A$2:$N$415, 4, 0)</f>
        <v>37</v>
      </c>
      <c r="I38" s="146">
        <f t="shared" si="4"/>
        <v>2021</v>
      </c>
      <c r="J38" s="79" t="str">
        <f t="shared" ca="1" si="9"/>
        <v/>
      </c>
      <c r="K38" s="79" t="str">
        <f t="shared" ca="1" si="5"/>
        <v/>
      </c>
      <c r="L38" s="79">
        <f t="shared" ca="1" si="6"/>
        <v>0</v>
      </c>
      <c r="M38" s="79" t="str">
        <f t="shared" ca="1" si="7"/>
        <v/>
      </c>
    </row>
    <row r="39" spans="1:13" x14ac:dyDescent="0.2">
      <c r="A39" s="146">
        <v>39</v>
      </c>
      <c r="B39" s="146" t="str">
        <f>VLOOKUP( $A39, Aop!$A$2:$N$415, 2, 0)</f>
        <v>BSa</v>
      </c>
      <c r="C39" s="146">
        <f t="shared" si="0"/>
        <v>2</v>
      </c>
      <c r="D39" s="146" t="str">
        <f t="shared" si="1"/>
        <v>01494562</v>
      </c>
      <c r="E39" s="146" t="str">
        <f t="shared" si="8"/>
        <v>4400025960001</v>
      </c>
      <c r="F39" s="146" t="b">
        <f t="shared" si="2"/>
        <v>0</v>
      </c>
      <c r="G39" s="190">
        <f t="shared" si="3"/>
        <v>44377</v>
      </c>
      <c r="H39" s="146">
        <f>VLOOKUP( $A39, Aop!$A$2:$N$415, 4, 0)</f>
        <v>38</v>
      </c>
      <c r="I39" s="146">
        <f t="shared" si="4"/>
        <v>2021</v>
      </c>
      <c r="J39" s="79">
        <f t="shared" ca="1" si="9"/>
        <v>2805038</v>
      </c>
      <c r="K39" s="79">
        <f t="shared" ca="1" si="5"/>
        <v>2804647</v>
      </c>
      <c r="L39" s="79">
        <f t="shared" ca="1" si="6"/>
        <v>391</v>
      </c>
      <c r="M39" s="79">
        <f t="shared" ca="1" si="7"/>
        <v>7377</v>
      </c>
    </row>
    <row r="40" spans="1:13" x14ac:dyDescent="0.2">
      <c r="A40" s="146">
        <v>40</v>
      </c>
      <c r="B40" s="146" t="str">
        <f>VLOOKUP( $A40, Aop!$A$2:$N$415, 2, 0)</f>
        <v>BSa</v>
      </c>
      <c r="C40" s="146">
        <f t="shared" si="0"/>
        <v>2</v>
      </c>
      <c r="D40" s="146" t="str">
        <f t="shared" si="1"/>
        <v>01494562</v>
      </c>
      <c r="E40" s="146" t="str">
        <f t="shared" si="8"/>
        <v>4400025960001</v>
      </c>
      <c r="F40" s="146" t="b">
        <f t="shared" si="2"/>
        <v>0</v>
      </c>
      <c r="G40" s="190">
        <f t="shared" si="3"/>
        <v>44377</v>
      </c>
      <c r="H40" s="146">
        <f>VLOOKUP( $A40, Aop!$A$2:$N$415, 4, 0)</f>
        <v>39</v>
      </c>
      <c r="I40" s="146">
        <f t="shared" si="4"/>
        <v>2021</v>
      </c>
      <c r="J40" s="79">
        <f t="shared" ca="1" si="9"/>
        <v>43569510</v>
      </c>
      <c r="K40" s="79">
        <f t="shared" ca="1" si="5"/>
        <v>6949884</v>
      </c>
      <c r="L40" s="79">
        <f t="shared" ca="1" si="6"/>
        <v>36619626</v>
      </c>
      <c r="M40" s="79">
        <f t="shared" ca="1" si="7"/>
        <v>38362432</v>
      </c>
    </row>
    <row r="41" spans="1:13" x14ac:dyDescent="0.2">
      <c r="A41" s="146">
        <v>41</v>
      </c>
      <c r="B41" s="146" t="str">
        <f>VLOOKUP( $A41, Aop!$A$2:$N$415, 2, 0)</f>
        <v>BSa</v>
      </c>
      <c r="C41" s="146">
        <f t="shared" si="0"/>
        <v>2</v>
      </c>
      <c r="D41" s="146" t="str">
        <f t="shared" si="1"/>
        <v>01494562</v>
      </c>
      <c r="E41" s="146" t="str">
        <f t="shared" si="8"/>
        <v>4400025960001</v>
      </c>
      <c r="F41" s="146" t="b">
        <f t="shared" si="2"/>
        <v>0</v>
      </c>
      <c r="G41" s="190">
        <f t="shared" si="3"/>
        <v>44377</v>
      </c>
      <c r="H41" s="146">
        <f>VLOOKUP( $A41, Aop!$A$2:$N$415, 4, 0)</f>
        <v>40</v>
      </c>
      <c r="I41" s="146">
        <f t="shared" si="4"/>
        <v>2021</v>
      </c>
      <c r="J41" s="79">
        <f t="shared" ca="1" si="9"/>
        <v>23407560</v>
      </c>
      <c r="K41" s="79">
        <f t="shared" ca="1" si="5"/>
        <v>6949884</v>
      </c>
      <c r="L41" s="79">
        <f t="shared" ca="1" si="6"/>
        <v>16457676</v>
      </c>
      <c r="M41" s="79">
        <f t="shared" ca="1" si="7"/>
        <v>16882268</v>
      </c>
    </row>
    <row r="42" spans="1:13" x14ac:dyDescent="0.2">
      <c r="A42" s="146">
        <v>42</v>
      </c>
      <c r="B42" s="146" t="str">
        <f>VLOOKUP( $A42, Aop!$A$2:$N$415, 2, 0)</f>
        <v>BSa</v>
      </c>
      <c r="C42" s="146">
        <f t="shared" si="0"/>
        <v>2</v>
      </c>
      <c r="D42" s="146" t="str">
        <f t="shared" si="1"/>
        <v>01494562</v>
      </c>
      <c r="E42" s="146" t="str">
        <f t="shared" si="8"/>
        <v>4400025960001</v>
      </c>
      <c r="F42" s="146" t="b">
        <f t="shared" si="2"/>
        <v>0</v>
      </c>
      <c r="G42" s="190">
        <f t="shared" si="3"/>
        <v>44377</v>
      </c>
      <c r="H42" s="146">
        <f>VLOOKUP( $A42, Aop!$A$2:$N$415, 4, 0)</f>
        <v>41</v>
      </c>
      <c r="I42" s="146">
        <f t="shared" si="4"/>
        <v>2021</v>
      </c>
      <c r="J42" s="79" t="str">
        <f t="shared" ca="1" si="9"/>
        <v/>
      </c>
      <c r="K42" s="79" t="str">
        <f t="shared" ca="1" si="5"/>
        <v/>
      </c>
      <c r="L42" s="79">
        <f t="shared" ca="1" si="6"/>
        <v>0</v>
      </c>
      <c r="M42" s="79" t="str">
        <f t="shared" ca="1" si="7"/>
        <v/>
      </c>
    </row>
    <row r="43" spans="1:13" x14ac:dyDescent="0.2">
      <c r="A43" s="146">
        <v>43</v>
      </c>
      <c r="B43" s="146" t="str">
        <f>VLOOKUP( $A43, Aop!$A$2:$N$415, 2, 0)</f>
        <v>BSa</v>
      </c>
      <c r="C43" s="146">
        <f t="shared" si="0"/>
        <v>2</v>
      </c>
      <c r="D43" s="146" t="str">
        <f t="shared" si="1"/>
        <v>01494562</v>
      </c>
      <c r="E43" s="146" t="str">
        <f t="shared" si="8"/>
        <v>4400025960001</v>
      </c>
      <c r="F43" s="146" t="b">
        <f t="shared" si="2"/>
        <v>0</v>
      </c>
      <c r="G43" s="190">
        <f t="shared" si="3"/>
        <v>44377</v>
      </c>
      <c r="H43" s="146">
        <f>VLOOKUP( $A43, Aop!$A$2:$N$415, 4, 0)</f>
        <v>42</v>
      </c>
      <c r="I43" s="146">
        <f t="shared" si="4"/>
        <v>2021</v>
      </c>
      <c r="J43" s="79">
        <f t="shared" ca="1" si="9"/>
        <v>10805335</v>
      </c>
      <c r="K43" s="79">
        <f t="shared" ca="1" si="5"/>
        <v>2835536</v>
      </c>
      <c r="L43" s="79">
        <f t="shared" ca="1" si="6"/>
        <v>7969799</v>
      </c>
      <c r="M43" s="79">
        <f t="shared" ca="1" si="7"/>
        <v>9274163</v>
      </c>
    </row>
    <row r="44" spans="1:13" x14ac:dyDescent="0.2">
      <c r="A44" s="146">
        <v>44</v>
      </c>
      <c r="B44" s="146" t="str">
        <f>VLOOKUP( $A44, Aop!$A$2:$N$415, 2, 0)</f>
        <v>BSa</v>
      </c>
      <c r="C44" s="146">
        <f t="shared" si="0"/>
        <v>2</v>
      </c>
      <c r="D44" s="146" t="str">
        <f t="shared" si="1"/>
        <v>01494562</v>
      </c>
      <c r="E44" s="146" t="str">
        <f t="shared" si="8"/>
        <v>4400025960001</v>
      </c>
      <c r="F44" s="146" t="b">
        <f t="shared" si="2"/>
        <v>0</v>
      </c>
      <c r="G44" s="190">
        <f t="shared" si="3"/>
        <v>44377</v>
      </c>
      <c r="H44" s="146">
        <f>VLOOKUP( $A44, Aop!$A$2:$N$415, 4, 0)</f>
        <v>43</v>
      </c>
      <c r="I44" s="146">
        <f t="shared" si="4"/>
        <v>2021</v>
      </c>
      <c r="J44" s="79">
        <f t="shared" ca="1" si="9"/>
        <v>1784763</v>
      </c>
      <c r="K44" s="79">
        <f t="shared" ca="1" si="5"/>
        <v>1625497</v>
      </c>
      <c r="L44" s="79">
        <f t="shared" ca="1" si="6"/>
        <v>159266</v>
      </c>
      <c r="M44" s="79">
        <f t="shared" ca="1" si="7"/>
        <v>155901</v>
      </c>
    </row>
    <row r="45" spans="1:13" x14ac:dyDescent="0.2">
      <c r="A45" s="146">
        <v>45</v>
      </c>
      <c r="B45" s="146" t="str">
        <f>VLOOKUP( $A45, Aop!$A$2:$N$415, 2, 0)</f>
        <v>BSa</v>
      </c>
      <c r="C45" s="146">
        <f t="shared" si="0"/>
        <v>2</v>
      </c>
      <c r="D45" s="146" t="str">
        <f t="shared" si="1"/>
        <v>01494562</v>
      </c>
      <c r="E45" s="146" t="str">
        <f t="shared" si="8"/>
        <v>4400025960001</v>
      </c>
      <c r="F45" s="146" t="b">
        <f t="shared" si="2"/>
        <v>0</v>
      </c>
      <c r="G45" s="190">
        <f t="shared" si="3"/>
        <v>44377</v>
      </c>
      <c r="H45" s="146">
        <f>VLOOKUP( $A45, Aop!$A$2:$N$415, 4, 0)</f>
        <v>44</v>
      </c>
      <c r="I45" s="146">
        <f t="shared" si="4"/>
        <v>2021</v>
      </c>
      <c r="J45" s="79">
        <f t="shared" ca="1" si="9"/>
        <v>2635306</v>
      </c>
      <c r="K45" s="79" t="str">
        <f t="shared" ca="1" si="5"/>
        <v/>
      </c>
      <c r="L45" s="79">
        <f t="shared" ca="1" si="6"/>
        <v>2635306</v>
      </c>
      <c r="M45" s="79">
        <f t="shared" ca="1" si="7"/>
        <v>2635337</v>
      </c>
    </row>
    <row r="46" spans="1:13" x14ac:dyDescent="0.2">
      <c r="A46" s="146">
        <v>46</v>
      </c>
      <c r="B46" s="146" t="str">
        <f>VLOOKUP( $A46, Aop!$A$2:$N$415, 2, 0)</f>
        <v>BSa</v>
      </c>
      <c r="C46" s="146">
        <f t="shared" si="0"/>
        <v>2</v>
      </c>
      <c r="D46" s="146" t="str">
        <f t="shared" si="1"/>
        <v>01494562</v>
      </c>
      <c r="E46" s="146" t="str">
        <f t="shared" si="8"/>
        <v>4400025960001</v>
      </c>
      <c r="F46" s="146" t="b">
        <f t="shared" si="2"/>
        <v>0</v>
      </c>
      <c r="G46" s="190">
        <f t="shared" si="3"/>
        <v>44377</v>
      </c>
      <c r="H46" s="146">
        <f>VLOOKUP( $A46, Aop!$A$2:$N$415, 4, 0)</f>
        <v>45</v>
      </c>
      <c r="I46" s="146">
        <f t="shared" si="4"/>
        <v>2021</v>
      </c>
      <c r="J46" s="79" t="str">
        <f t="shared" ca="1" si="9"/>
        <v/>
      </c>
      <c r="K46" s="79" t="str">
        <f t="shared" ca="1" si="5"/>
        <v/>
      </c>
      <c r="L46" s="79">
        <f t="shared" ca="1" si="6"/>
        <v>0</v>
      </c>
      <c r="M46" s="79" t="str">
        <f t="shared" ca="1" si="7"/>
        <v/>
      </c>
    </row>
    <row r="47" spans="1:13" x14ac:dyDescent="0.2">
      <c r="A47" s="146">
        <v>47</v>
      </c>
      <c r="B47" s="146" t="str">
        <f>VLOOKUP( $A47, Aop!$A$2:$N$415, 2, 0)</f>
        <v>BSa</v>
      </c>
      <c r="C47" s="146">
        <f t="shared" si="0"/>
        <v>2</v>
      </c>
      <c r="D47" s="146" t="str">
        <f t="shared" si="1"/>
        <v>01494562</v>
      </c>
      <c r="E47" s="146" t="str">
        <f t="shared" si="8"/>
        <v>4400025960001</v>
      </c>
      <c r="F47" s="146" t="b">
        <f t="shared" si="2"/>
        <v>0</v>
      </c>
      <c r="G47" s="190">
        <f t="shared" si="3"/>
        <v>44377</v>
      </c>
      <c r="H47" s="146">
        <f>VLOOKUP( $A47, Aop!$A$2:$N$415, 4, 0)</f>
        <v>46</v>
      </c>
      <c r="I47" s="146">
        <f t="shared" si="4"/>
        <v>2021</v>
      </c>
      <c r="J47" s="79">
        <f t="shared" ca="1" si="9"/>
        <v>8182156</v>
      </c>
      <c r="K47" s="79">
        <f t="shared" ca="1" si="5"/>
        <v>2488851</v>
      </c>
      <c r="L47" s="79">
        <f t="shared" ca="1" si="6"/>
        <v>5693305</v>
      </c>
      <c r="M47" s="79">
        <f t="shared" ca="1" si="7"/>
        <v>4816867</v>
      </c>
    </row>
    <row r="48" spans="1:13" x14ac:dyDescent="0.2">
      <c r="A48" s="146">
        <v>48</v>
      </c>
      <c r="B48" s="146" t="str">
        <f>VLOOKUP( $A48, Aop!$A$2:$N$415, 2, 0)</f>
        <v>BSa</v>
      </c>
      <c r="C48" s="146">
        <f t="shared" si="0"/>
        <v>2</v>
      </c>
      <c r="D48" s="146" t="str">
        <f t="shared" si="1"/>
        <v>01494562</v>
      </c>
      <c r="E48" s="146" t="str">
        <f t="shared" si="8"/>
        <v>4400025960001</v>
      </c>
      <c r="F48" s="146" t="b">
        <f t="shared" si="2"/>
        <v>0</v>
      </c>
      <c r="G48" s="190">
        <f t="shared" si="3"/>
        <v>44377</v>
      </c>
      <c r="H48" s="146">
        <f>VLOOKUP( $A48, Aop!$A$2:$N$415, 4, 0)</f>
        <v>47</v>
      </c>
      <c r="I48" s="146">
        <f t="shared" si="4"/>
        <v>2021</v>
      </c>
      <c r="J48" s="79">
        <f t="shared" ca="1" si="9"/>
        <v>0</v>
      </c>
      <c r="K48" s="79">
        <f t="shared" ca="1" si="5"/>
        <v>0</v>
      </c>
      <c r="L48" s="79">
        <f t="shared" ca="1" si="6"/>
        <v>0</v>
      </c>
      <c r="M48" s="79">
        <f t="shared" ca="1" si="7"/>
        <v>0</v>
      </c>
    </row>
    <row r="49" spans="1:13" x14ac:dyDescent="0.2">
      <c r="A49" s="146">
        <v>49</v>
      </c>
      <c r="B49" s="146" t="str">
        <f>VLOOKUP( $A49, Aop!$A$2:$N$415, 2, 0)</f>
        <v>BSa</v>
      </c>
      <c r="C49" s="146">
        <f t="shared" si="0"/>
        <v>2</v>
      </c>
      <c r="D49" s="146" t="str">
        <f t="shared" si="1"/>
        <v>01494562</v>
      </c>
      <c r="E49" s="146" t="str">
        <f t="shared" si="8"/>
        <v>4400025960001</v>
      </c>
      <c r="F49" s="146" t="b">
        <f t="shared" si="2"/>
        <v>0</v>
      </c>
      <c r="G49" s="190">
        <f t="shared" si="3"/>
        <v>44377</v>
      </c>
      <c r="H49" s="146">
        <f>VLOOKUP( $A49, Aop!$A$2:$N$415, 4, 0)</f>
        <v>48</v>
      </c>
      <c r="I49" s="146">
        <f t="shared" si="4"/>
        <v>2021</v>
      </c>
      <c r="J49" s="79" t="str">
        <f t="shared" ca="1" si="9"/>
        <v/>
      </c>
      <c r="K49" s="79" t="str">
        <f t="shared" ca="1" si="5"/>
        <v/>
      </c>
      <c r="L49" s="79">
        <f t="shared" ca="1" si="6"/>
        <v>0</v>
      </c>
      <c r="M49" s="79" t="str">
        <f t="shared" ca="1" si="7"/>
        <v/>
      </c>
    </row>
    <row r="50" spans="1:13" x14ac:dyDescent="0.2">
      <c r="A50" s="146">
        <v>50</v>
      </c>
      <c r="B50" s="146" t="str">
        <f>VLOOKUP( $A50, Aop!$A$2:$N$415, 2, 0)</f>
        <v>BSa</v>
      </c>
      <c r="C50" s="146">
        <f t="shared" si="0"/>
        <v>2</v>
      </c>
      <c r="D50" s="146" t="str">
        <f t="shared" si="1"/>
        <v>01494562</v>
      </c>
      <c r="E50" s="146" t="str">
        <f t="shared" si="8"/>
        <v>4400025960001</v>
      </c>
      <c r="F50" s="146" t="b">
        <f t="shared" si="2"/>
        <v>0</v>
      </c>
      <c r="G50" s="190">
        <f t="shared" si="3"/>
        <v>44377</v>
      </c>
      <c r="H50" s="146">
        <f>VLOOKUP( $A50, Aop!$A$2:$N$415, 4, 0)</f>
        <v>49</v>
      </c>
      <c r="I50" s="146">
        <f t="shared" si="4"/>
        <v>2021</v>
      </c>
      <c r="J50" s="79" t="str">
        <f t="shared" ca="1" si="9"/>
        <v/>
      </c>
      <c r="K50" s="79" t="str">
        <f t="shared" ca="1" si="5"/>
        <v/>
      </c>
      <c r="L50" s="79">
        <f t="shared" ca="1" si="6"/>
        <v>0</v>
      </c>
      <c r="M50" s="79" t="str">
        <f t="shared" ca="1" si="7"/>
        <v/>
      </c>
    </row>
    <row r="51" spans="1:13" x14ac:dyDescent="0.2">
      <c r="A51" s="146">
        <v>51</v>
      </c>
      <c r="B51" s="146" t="str">
        <f>VLOOKUP( $A51, Aop!$A$2:$N$415, 2, 0)</f>
        <v>BSa</v>
      </c>
      <c r="C51" s="146">
        <f t="shared" si="0"/>
        <v>2</v>
      </c>
      <c r="D51" s="146" t="str">
        <f t="shared" si="1"/>
        <v>01494562</v>
      </c>
      <c r="E51" s="146" t="str">
        <f t="shared" si="8"/>
        <v>4400025960001</v>
      </c>
      <c r="F51" s="146" t="b">
        <f t="shared" si="2"/>
        <v>0</v>
      </c>
      <c r="G51" s="190">
        <f t="shared" si="3"/>
        <v>44377</v>
      </c>
      <c r="H51" s="146">
        <f>VLOOKUP( $A51, Aop!$A$2:$N$415, 4, 0)</f>
        <v>50</v>
      </c>
      <c r="I51" s="146">
        <f t="shared" si="4"/>
        <v>2021</v>
      </c>
      <c r="J51" s="79" t="str">
        <f t="shared" ca="1" si="9"/>
        <v/>
      </c>
      <c r="K51" s="79" t="str">
        <f t="shared" ca="1" si="5"/>
        <v/>
      </c>
      <c r="L51" s="79">
        <f t="shared" ca="1" si="6"/>
        <v>0</v>
      </c>
      <c r="M51" s="79" t="str">
        <f t="shared" ca="1" si="7"/>
        <v/>
      </c>
    </row>
    <row r="52" spans="1:13" x14ac:dyDescent="0.2">
      <c r="A52" s="146">
        <v>52</v>
      </c>
      <c r="B52" s="146" t="str">
        <f>VLOOKUP( $A52, Aop!$A$2:$N$415, 2, 0)</f>
        <v>BSa</v>
      </c>
      <c r="C52" s="146">
        <f t="shared" si="0"/>
        <v>2</v>
      </c>
      <c r="D52" s="146" t="str">
        <f t="shared" si="1"/>
        <v>01494562</v>
      </c>
      <c r="E52" s="146" t="str">
        <f t="shared" si="8"/>
        <v>4400025960001</v>
      </c>
      <c r="F52" s="146" t="b">
        <f t="shared" si="2"/>
        <v>0</v>
      </c>
      <c r="G52" s="190">
        <f t="shared" si="3"/>
        <v>44377</v>
      </c>
      <c r="H52" s="146">
        <f>VLOOKUP( $A52, Aop!$A$2:$N$415, 4, 0)</f>
        <v>51</v>
      </c>
      <c r="I52" s="146">
        <f t="shared" si="4"/>
        <v>2021</v>
      </c>
      <c r="J52" s="79" t="str">
        <f t="shared" ca="1" si="9"/>
        <v/>
      </c>
      <c r="K52" s="79" t="str">
        <f t="shared" ca="1" si="5"/>
        <v/>
      </c>
      <c r="L52" s="79">
        <f t="shared" ca="1" si="6"/>
        <v>0</v>
      </c>
      <c r="M52" s="79" t="str">
        <f t="shared" ca="1" si="7"/>
        <v/>
      </c>
    </row>
    <row r="53" spans="1:13" x14ac:dyDescent="0.2">
      <c r="A53" s="146">
        <v>53</v>
      </c>
      <c r="B53" s="146" t="str">
        <f>VLOOKUP( $A53, Aop!$A$2:$N$415, 2, 0)</f>
        <v>BSa</v>
      </c>
      <c r="C53" s="146">
        <f t="shared" si="0"/>
        <v>2</v>
      </c>
      <c r="D53" s="146" t="str">
        <f t="shared" si="1"/>
        <v>01494562</v>
      </c>
      <c r="E53" s="146" t="str">
        <f t="shared" si="8"/>
        <v>4400025960001</v>
      </c>
      <c r="F53" s="146" t="b">
        <f t="shared" si="2"/>
        <v>0</v>
      </c>
      <c r="G53" s="190">
        <f t="shared" si="3"/>
        <v>44377</v>
      </c>
      <c r="H53" s="146">
        <f>VLOOKUP( $A53, Aop!$A$2:$N$415, 4, 0)</f>
        <v>52</v>
      </c>
      <c r="I53" s="146">
        <f t="shared" si="4"/>
        <v>2021</v>
      </c>
      <c r="J53" s="79" t="str">
        <f t="shared" ca="1" si="9"/>
        <v/>
      </c>
      <c r="K53" s="79" t="str">
        <f t="shared" ca="1" si="5"/>
        <v/>
      </c>
      <c r="L53" s="79">
        <f t="shared" ca="1" si="6"/>
        <v>0</v>
      </c>
      <c r="M53" s="79" t="str">
        <f t="shared" ca="1" si="7"/>
        <v/>
      </c>
    </row>
    <row r="54" spans="1:13" x14ac:dyDescent="0.2">
      <c r="A54" s="146">
        <v>54</v>
      </c>
      <c r="B54" s="146" t="str">
        <f>VLOOKUP( $A54, Aop!$A$2:$N$415, 2, 0)</f>
        <v>BSa</v>
      </c>
      <c r="C54" s="146">
        <f t="shared" si="0"/>
        <v>2</v>
      </c>
      <c r="D54" s="146" t="str">
        <f t="shared" si="1"/>
        <v>01494562</v>
      </c>
      <c r="E54" s="146" t="str">
        <f t="shared" si="8"/>
        <v>4400025960001</v>
      </c>
      <c r="F54" s="146" t="b">
        <f t="shared" si="2"/>
        <v>0</v>
      </c>
      <c r="G54" s="190">
        <f t="shared" si="3"/>
        <v>44377</v>
      </c>
      <c r="H54" s="146">
        <f>VLOOKUP( $A54, Aop!$A$2:$N$415, 4, 0)</f>
        <v>53</v>
      </c>
      <c r="I54" s="146">
        <f t="shared" si="4"/>
        <v>2021</v>
      </c>
      <c r="J54" s="79" t="str">
        <f t="shared" ca="1" si="9"/>
        <v/>
      </c>
      <c r="K54" s="79" t="str">
        <f t="shared" ca="1" si="5"/>
        <v/>
      </c>
      <c r="L54" s="79">
        <f t="shared" ca="1" si="6"/>
        <v>0</v>
      </c>
      <c r="M54" s="79" t="str">
        <f t="shared" ca="1" si="7"/>
        <v/>
      </c>
    </row>
    <row r="55" spans="1:13" x14ac:dyDescent="0.2">
      <c r="A55" s="146">
        <v>55</v>
      </c>
      <c r="B55" s="146" t="str">
        <f>VLOOKUP( $A55, Aop!$A$2:$N$415, 2, 0)</f>
        <v>BSa</v>
      </c>
      <c r="C55" s="146">
        <f t="shared" si="0"/>
        <v>2</v>
      </c>
      <c r="D55" s="146" t="str">
        <f t="shared" si="1"/>
        <v>01494562</v>
      </c>
      <c r="E55" s="146" t="str">
        <f t="shared" si="8"/>
        <v>4400025960001</v>
      </c>
      <c r="F55" s="146" t="b">
        <f t="shared" si="2"/>
        <v>0</v>
      </c>
      <c r="G55" s="190">
        <f t="shared" si="3"/>
        <v>44377</v>
      </c>
      <c r="H55" s="146">
        <f>VLOOKUP( $A55, Aop!$A$2:$N$415, 4, 0)</f>
        <v>54</v>
      </c>
      <c r="I55" s="146">
        <f t="shared" si="4"/>
        <v>2021</v>
      </c>
      <c r="J55" s="79" t="str">
        <f t="shared" ca="1" si="9"/>
        <v/>
      </c>
      <c r="K55" s="79" t="str">
        <f t="shared" ca="1" si="5"/>
        <v/>
      </c>
      <c r="L55" s="79">
        <f t="shared" ca="1" si="6"/>
        <v>0</v>
      </c>
      <c r="M55" s="79" t="str">
        <f t="shared" ca="1" si="7"/>
        <v/>
      </c>
    </row>
    <row r="56" spans="1:13" x14ac:dyDescent="0.2">
      <c r="A56" s="146">
        <v>56</v>
      </c>
      <c r="B56" s="146" t="str">
        <f>VLOOKUP( $A56, Aop!$A$2:$N$415, 2, 0)</f>
        <v>BSa</v>
      </c>
      <c r="C56" s="146">
        <f t="shared" si="0"/>
        <v>2</v>
      </c>
      <c r="D56" s="146" t="str">
        <f t="shared" si="1"/>
        <v>01494562</v>
      </c>
      <c r="E56" s="146" t="str">
        <f t="shared" si="8"/>
        <v>4400025960001</v>
      </c>
      <c r="F56" s="146" t="b">
        <f t="shared" si="2"/>
        <v>0</v>
      </c>
      <c r="G56" s="190">
        <f t="shared" si="3"/>
        <v>44377</v>
      </c>
      <c r="H56" s="146">
        <f>VLOOKUP( $A56, Aop!$A$2:$N$415, 4, 0)</f>
        <v>55</v>
      </c>
      <c r="I56" s="146">
        <f t="shared" si="4"/>
        <v>2021</v>
      </c>
      <c r="J56" s="79" t="str">
        <f t="shared" ca="1" si="9"/>
        <v/>
      </c>
      <c r="K56" s="79" t="str">
        <f t="shared" ca="1" si="5"/>
        <v/>
      </c>
      <c r="L56" s="79">
        <f t="shared" ca="1" si="6"/>
        <v>0</v>
      </c>
      <c r="M56" s="79" t="str">
        <f t="shared" ca="1" si="7"/>
        <v/>
      </c>
    </row>
    <row r="57" spans="1:13" x14ac:dyDescent="0.2">
      <c r="A57" s="146">
        <v>57</v>
      </c>
      <c r="B57" s="146" t="str">
        <f>VLOOKUP( $A57, Aop!$A$2:$N$415, 2, 0)</f>
        <v>BSa</v>
      </c>
      <c r="C57" s="146">
        <f t="shared" si="0"/>
        <v>2</v>
      </c>
      <c r="D57" s="146" t="str">
        <f t="shared" si="1"/>
        <v>01494562</v>
      </c>
      <c r="E57" s="146" t="str">
        <f t="shared" si="8"/>
        <v>4400025960001</v>
      </c>
      <c r="F57" s="146" t="b">
        <f t="shared" si="2"/>
        <v>0</v>
      </c>
      <c r="G57" s="190">
        <f t="shared" si="3"/>
        <v>44377</v>
      </c>
      <c r="H57" s="146">
        <f>VLOOKUP( $A57, Aop!$A$2:$N$415, 4, 0)</f>
        <v>56</v>
      </c>
      <c r="I57" s="146">
        <f t="shared" si="4"/>
        <v>2021</v>
      </c>
      <c r="J57" s="79">
        <f t="shared" ca="1" si="9"/>
        <v>19496831</v>
      </c>
      <c r="K57" s="79">
        <f t="shared" ca="1" si="5"/>
        <v>0</v>
      </c>
      <c r="L57" s="79">
        <f t="shared" ca="1" si="6"/>
        <v>19496831</v>
      </c>
      <c r="M57" s="79">
        <f t="shared" ca="1" si="7"/>
        <v>20733130</v>
      </c>
    </row>
    <row r="58" spans="1:13" x14ac:dyDescent="0.2">
      <c r="A58" s="146">
        <v>58</v>
      </c>
      <c r="B58" s="146" t="str">
        <f>VLOOKUP( $A58, Aop!$A$2:$N$415, 2, 0)</f>
        <v>BSa</v>
      </c>
      <c r="C58" s="146">
        <f t="shared" si="0"/>
        <v>2</v>
      </c>
      <c r="D58" s="146" t="str">
        <f t="shared" si="1"/>
        <v>01494562</v>
      </c>
      <c r="E58" s="146" t="str">
        <f t="shared" si="8"/>
        <v>4400025960001</v>
      </c>
      <c r="F58" s="146" t="b">
        <f t="shared" si="2"/>
        <v>0</v>
      </c>
      <c r="G58" s="190">
        <f t="shared" si="3"/>
        <v>44377</v>
      </c>
      <c r="H58" s="146">
        <f>VLOOKUP( $A58, Aop!$A$2:$N$415, 4, 0)</f>
        <v>57</v>
      </c>
      <c r="I58" s="146">
        <f t="shared" si="4"/>
        <v>2021</v>
      </c>
      <c r="J58" s="79" t="str">
        <f t="shared" ca="1" si="9"/>
        <v/>
      </c>
      <c r="K58" s="79" t="str">
        <f t="shared" ca="1" si="5"/>
        <v/>
      </c>
      <c r="L58" s="79">
        <f t="shared" ca="1" si="6"/>
        <v>0</v>
      </c>
      <c r="M58" s="79" t="str">
        <f t="shared" ca="1" si="7"/>
        <v/>
      </c>
    </row>
    <row r="59" spans="1:13" x14ac:dyDescent="0.2">
      <c r="A59" s="146">
        <v>59</v>
      </c>
      <c r="B59" s="146" t="str">
        <f>VLOOKUP( $A59, Aop!$A$2:$N$415, 2, 0)</f>
        <v>BSa</v>
      </c>
      <c r="C59" s="146">
        <f t="shared" si="0"/>
        <v>2</v>
      </c>
      <c r="D59" s="146" t="str">
        <f t="shared" si="1"/>
        <v>01494562</v>
      </c>
      <c r="E59" s="146" t="str">
        <f t="shared" si="8"/>
        <v>4400025960001</v>
      </c>
      <c r="F59" s="146" t="b">
        <f t="shared" si="2"/>
        <v>0</v>
      </c>
      <c r="G59" s="190">
        <f t="shared" si="3"/>
        <v>44377</v>
      </c>
      <c r="H59" s="146">
        <f>VLOOKUP( $A59, Aop!$A$2:$N$415, 4, 0)</f>
        <v>58</v>
      </c>
      <c r="I59" s="146">
        <f t="shared" si="4"/>
        <v>2021</v>
      </c>
      <c r="J59" s="79">
        <f t="shared" ca="1" si="9"/>
        <v>19496831</v>
      </c>
      <c r="K59" s="79" t="str">
        <f t="shared" ca="1" si="5"/>
        <v/>
      </c>
      <c r="L59" s="79">
        <f t="shared" ca="1" si="6"/>
        <v>19496831</v>
      </c>
      <c r="M59" s="79">
        <f t="shared" ca="1" si="7"/>
        <v>20733130</v>
      </c>
    </row>
    <row r="60" spans="1:13" x14ac:dyDescent="0.2">
      <c r="A60" s="146">
        <v>60</v>
      </c>
      <c r="B60" s="146" t="str">
        <f>VLOOKUP( $A60, Aop!$A$2:$N$415, 2, 0)</f>
        <v>BSa</v>
      </c>
      <c r="C60" s="146">
        <f t="shared" si="0"/>
        <v>2</v>
      </c>
      <c r="D60" s="146" t="str">
        <f t="shared" si="1"/>
        <v>01494562</v>
      </c>
      <c r="E60" s="146" t="str">
        <f t="shared" si="8"/>
        <v>4400025960001</v>
      </c>
      <c r="F60" s="146" t="b">
        <f t="shared" si="2"/>
        <v>0</v>
      </c>
      <c r="G60" s="190">
        <f t="shared" si="3"/>
        <v>44377</v>
      </c>
      <c r="H60" s="146">
        <f>VLOOKUP( $A60, Aop!$A$2:$N$415, 4, 0)</f>
        <v>59</v>
      </c>
      <c r="I60" s="146">
        <f t="shared" si="4"/>
        <v>2021</v>
      </c>
      <c r="J60" s="79">
        <f t="shared" ca="1" si="9"/>
        <v>258524</v>
      </c>
      <c r="K60" s="79" t="str">
        <f t="shared" ca="1" si="5"/>
        <v/>
      </c>
      <c r="L60" s="79">
        <f t="shared" ca="1" si="6"/>
        <v>258524</v>
      </c>
      <c r="M60" s="79">
        <f t="shared" ca="1" si="7"/>
        <v>269037</v>
      </c>
    </row>
    <row r="61" spans="1:13" x14ac:dyDescent="0.2">
      <c r="A61" s="146">
        <v>61</v>
      </c>
      <c r="B61" s="146" t="str">
        <f>VLOOKUP( $A61, Aop!$A$2:$N$415, 2, 0)</f>
        <v>BSa</v>
      </c>
      <c r="C61" s="146">
        <f t="shared" si="0"/>
        <v>2</v>
      </c>
      <c r="D61" s="146" t="str">
        <f t="shared" si="1"/>
        <v>01494562</v>
      </c>
      <c r="E61" s="146" t="str">
        <f t="shared" si="8"/>
        <v>4400025960001</v>
      </c>
      <c r="F61" s="146" t="b">
        <f t="shared" si="2"/>
        <v>0</v>
      </c>
      <c r="G61" s="190">
        <f t="shared" si="3"/>
        <v>44377</v>
      </c>
      <c r="H61" s="146">
        <f>VLOOKUP( $A61, Aop!$A$2:$N$415, 4, 0)</f>
        <v>60</v>
      </c>
      <c r="I61" s="146">
        <f t="shared" si="4"/>
        <v>2021</v>
      </c>
      <c r="J61" s="79">
        <f t="shared" ca="1" si="9"/>
        <v>406595</v>
      </c>
      <c r="K61" s="79" t="str">
        <f t="shared" ca="1" si="5"/>
        <v/>
      </c>
      <c r="L61" s="79">
        <f t="shared" ca="1" si="6"/>
        <v>406595</v>
      </c>
      <c r="M61" s="79">
        <f t="shared" ca="1" si="7"/>
        <v>477997</v>
      </c>
    </row>
    <row r="62" spans="1:13" x14ac:dyDescent="0.2">
      <c r="A62" s="146">
        <v>62</v>
      </c>
      <c r="B62" s="146" t="str">
        <f>VLOOKUP( $A62, Aop!$A$2:$N$415, 2, 0)</f>
        <v>BSa</v>
      </c>
      <c r="C62" s="146">
        <f t="shared" si="0"/>
        <v>2</v>
      </c>
      <c r="D62" s="146" t="str">
        <f t="shared" si="1"/>
        <v>01494562</v>
      </c>
      <c r="E62" s="146" t="str">
        <f t="shared" si="8"/>
        <v>4400025960001</v>
      </c>
      <c r="F62" s="146" t="b">
        <f t="shared" si="2"/>
        <v>0</v>
      </c>
      <c r="G62" s="190">
        <f t="shared" si="3"/>
        <v>44377</v>
      </c>
      <c r="H62" s="146">
        <f>VLOOKUP( $A62, Aop!$A$2:$N$415, 4, 0)</f>
        <v>61</v>
      </c>
      <c r="I62" s="146">
        <f t="shared" si="4"/>
        <v>2021</v>
      </c>
      <c r="J62" s="79" t="str">
        <f t="shared" ca="1" si="9"/>
        <v/>
      </c>
      <c r="K62" s="79" t="str">
        <f t="shared" ca="1" si="5"/>
        <v/>
      </c>
      <c r="L62" s="79">
        <f t="shared" ca="1" si="6"/>
        <v>0</v>
      </c>
      <c r="M62" s="79" t="str">
        <f t="shared" ca="1" si="7"/>
        <v/>
      </c>
    </row>
    <row r="63" spans="1:13" x14ac:dyDescent="0.2">
      <c r="A63" s="146">
        <v>63</v>
      </c>
      <c r="B63" s="146" t="str">
        <f>VLOOKUP( $A63, Aop!$A$2:$N$415, 2, 0)</f>
        <v>BSa</v>
      </c>
      <c r="C63" s="146">
        <f t="shared" si="0"/>
        <v>2</v>
      </c>
      <c r="D63" s="146" t="str">
        <f t="shared" si="1"/>
        <v>01494562</v>
      </c>
      <c r="E63" s="146" t="str">
        <f t="shared" si="8"/>
        <v>4400025960001</v>
      </c>
      <c r="F63" s="146" t="b">
        <f t="shared" si="2"/>
        <v>0</v>
      </c>
      <c r="G63" s="190">
        <f t="shared" si="3"/>
        <v>44377</v>
      </c>
      <c r="H63" s="146">
        <f>VLOOKUP( $A63, Aop!$A$2:$N$415, 4, 0)</f>
        <v>62</v>
      </c>
      <c r="I63" s="146">
        <f t="shared" si="4"/>
        <v>2021</v>
      </c>
      <c r="J63" s="79">
        <f t="shared" ca="1" si="9"/>
        <v>2054507485</v>
      </c>
      <c r="K63" s="79">
        <f t="shared" ca="1" si="5"/>
        <v>1576414028</v>
      </c>
      <c r="L63" s="79">
        <f t="shared" ca="1" si="6"/>
        <v>478093457</v>
      </c>
      <c r="M63" s="79">
        <f t="shared" ca="1" si="7"/>
        <v>482287949</v>
      </c>
    </row>
    <row r="64" spans="1:13" x14ac:dyDescent="0.2">
      <c r="A64" s="146">
        <v>64</v>
      </c>
      <c r="B64" s="146" t="str">
        <f>VLOOKUP( $A64, Aop!$A$2:$N$415, 2, 0)</f>
        <v>BSa</v>
      </c>
      <c r="C64" s="146">
        <f t="shared" si="0"/>
        <v>2</v>
      </c>
      <c r="D64" s="146" t="str">
        <f t="shared" si="1"/>
        <v>01494562</v>
      </c>
      <c r="E64" s="146" t="str">
        <f t="shared" si="8"/>
        <v>4400025960001</v>
      </c>
      <c r="F64" s="146" t="b">
        <f t="shared" si="2"/>
        <v>0</v>
      </c>
      <c r="G64" s="190">
        <f t="shared" si="3"/>
        <v>44377</v>
      </c>
      <c r="H64" s="146">
        <f>VLOOKUP( $A64, Aop!$A$2:$N$415, 4, 0)</f>
        <v>63</v>
      </c>
      <c r="I64" s="146">
        <f t="shared" si="4"/>
        <v>2021</v>
      </c>
      <c r="J64" s="79" t="str">
        <f t="shared" ca="1" si="9"/>
        <v/>
      </c>
      <c r="K64" s="79" t="str">
        <f t="shared" ca="1" si="5"/>
        <v/>
      </c>
      <c r="L64" s="79">
        <f t="shared" ca="1" si="6"/>
        <v>0</v>
      </c>
      <c r="M64" s="79" t="str">
        <f t="shared" ca="1" si="7"/>
        <v/>
      </c>
    </row>
    <row r="65" spans="1:13" x14ac:dyDescent="0.2">
      <c r="A65" s="146">
        <v>65</v>
      </c>
      <c r="B65" s="146" t="str">
        <f>VLOOKUP( $A65, Aop!$A$2:$N$415, 2, 0)</f>
        <v>BSa</v>
      </c>
      <c r="C65" s="146">
        <f t="shared" si="0"/>
        <v>2</v>
      </c>
      <c r="D65" s="146" t="str">
        <f t="shared" si="1"/>
        <v>01494562</v>
      </c>
      <c r="E65" s="146" t="str">
        <f t="shared" si="8"/>
        <v>4400025960001</v>
      </c>
      <c r="F65" s="146" t="b">
        <f t="shared" si="2"/>
        <v>0</v>
      </c>
      <c r="G65" s="190">
        <f t="shared" si="3"/>
        <v>44377</v>
      </c>
      <c r="H65" s="146">
        <f>VLOOKUP( $A65, Aop!$A$2:$N$415, 4, 0)</f>
        <v>64</v>
      </c>
      <c r="I65" s="146">
        <f t="shared" si="4"/>
        <v>2021</v>
      </c>
      <c r="J65" s="79">
        <f t="shared" ca="1" si="9"/>
        <v>2054507485</v>
      </c>
      <c r="K65" s="79">
        <f t="shared" ca="1" si="5"/>
        <v>1576414028</v>
      </c>
      <c r="L65" s="79">
        <f t="shared" ca="1" si="6"/>
        <v>478093457</v>
      </c>
      <c r="M65" s="79">
        <f t="shared" ca="1" si="7"/>
        <v>482287949</v>
      </c>
    </row>
    <row r="66" spans="1:13" x14ac:dyDescent="0.2">
      <c r="A66" s="146">
        <v>66</v>
      </c>
      <c r="B66" s="79" t="str">
        <f>VLOOKUP( $A66, Aop!$A$2:$N$415, 2, 0)</f>
        <v>BSa</v>
      </c>
      <c r="C66" s="79">
        <f>ID_Izvjestaj</f>
        <v>2</v>
      </c>
      <c r="D66" s="79" t="str">
        <f>Podatak_MB</f>
        <v>01494562</v>
      </c>
      <c r="E66" s="79" t="str">
        <f>Podatak_JIB</f>
        <v>4400025960001</v>
      </c>
      <c r="F66" s="79" t="b">
        <f>Konsolidovan_izvjestaj</f>
        <v>0</v>
      </c>
      <c r="G66" s="190">
        <f>Datum_Broj</f>
        <v>44377</v>
      </c>
      <c r="H66" s="79">
        <f>VLOOKUP( $A66, Aop!$A$2:$N$415, 4, 0)</f>
        <v>65</v>
      </c>
      <c r="I66" s="79">
        <f>Godina</f>
        <v>2021</v>
      </c>
      <c r="J66" s="79">
        <f t="shared" ca="1" si="9"/>
        <v>80802875</v>
      </c>
      <c r="K66" s="79" t="str">
        <f t="shared" ref="K66:K129" ca="1" si="10">IF( VLOOKUP( $H66, INDIRECT( "Lookup_" &amp; $B66), IF( LEFT( $B66, 2) = "BS", Q$2, Q$1), 0) = "", "", VLOOKUP( $H66, INDIRECT( "Lookup_" &amp; $B66), IF( $B66 = "BSa", Q$2, Q$1), 0))</f>
        <v/>
      </c>
      <c r="L66" s="79">
        <f t="shared" ref="L66:L129" ca="1" si="11">IF( VLOOKUP( $H66, INDIRECT( "Lookup_" &amp; $B66), IF( LEFT( $B66, 2) = "BS", R$2, R$1), 0) = "", "", VLOOKUP( $H66, INDIRECT( "Lookup_" &amp; $B66), IF( LEFT( $B66, 2) = "BS", R$2, R$1), 0))</f>
        <v>80802875</v>
      </c>
      <c r="M66" s="79">
        <f t="shared" ref="M66:M129" ca="1" si="12">IF( VLOOKUP( $H66, INDIRECT( "Lookup_" &amp; $B66), IF( LEFT( $B66, 2) = "BS", S$2, S$1), 0) = "", "", VLOOKUP( $H66, INDIRECT( "Lookup_" &amp; $B66), IF( LEFT( $B66, 2) = "BS", S$2, S$1), 0))</f>
        <v>80658561</v>
      </c>
    </row>
    <row r="67" spans="1:13" x14ac:dyDescent="0.2">
      <c r="A67" s="146">
        <v>67</v>
      </c>
      <c r="B67" s="146" t="str">
        <f>VLOOKUP( $A67, Aop!$A$2:$N$415, 2, 0)</f>
        <v>BSa</v>
      </c>
      <c r="C67" s="146">
        <f t="shared" ref="C67:C129" si="13">ID_Izvjestaj</f>
        <v>2</v>
      </c>
      <c r="D67" s="146" t="str">
        <f t="shared" ref="D67:D127" si="14">Podatak_MB</f>
        <v>01494562</v>
      </c>
      <c r="E67" s="146" t="str">
        <f t="shared" ref="E67:E127" si="15">Podatak_JIB</f>
        <v>4400025960001</v>
      </c>
      <c r="F67" s="146" t="b">
        <f t="shared" ref="F67:F129" si="16">Konsolidovan_izvjestaj</f>
        <v>0</v>
      </c>
      <c r="G67" s="190">
        <f t="shared" ref="G67:G129" si="17">Datum_Broj</f>
        <v>44377</v>
      </c>
      <c r="H67" s="146">
        <f>VLOOKUP( $A67, Aop!$A$2:$N$415, 4, 0)</f>
        <v>66</v>
      </c>
      <c r="I67" s="146">
        <f t="shared" ref="I67:I127" si="18">Godina</f>
        <v>2021</v>
      </c>
      <c r="J67" s="79">
        <f t="shared" ref="J67:J130" ca="1" si="19">IF( VLOOKUP( $H67, INDIRECT( "Lookup_" &amp; $B67), IF( LEFT( $B67, 2) = "BS", P$2, P$1), 0) = "", "", VLOOKUP( $H67, INDIRECT( "Lookup_" &amp; $B67), IF( $B67 = "BSa", P$2, P$1), 0))</f>
        <v>2135310360</v>
      </c>
      <c r="K67" s="79">
        <f t="shared" ca="1" si="10"/>
        <v>1576414028</v>
      </c>
      <c r="L67" s="79">
        <f t="shared" ca="1" si="11"/>
        <v>558896332</v>
      </c>
      <c r="M67" s="79">
        <f t="shared" ca="1" si="12"/>
        <v>562946510</v>
      </c>
    </row>
    <row r="68" spans="1:13" x14ac:dyDescent="0.2">
      <c r="A68" s="146">
        <v>69</v>
      </c>
      <c r="B68" s="146" t="str">
        <f>VLOOKUP( $A68, Aop!$A$2:$N$415, 2, 0)</f>
        <v>BSp</v>
      </c>
      <c r="C68" s="146">
        <f t="shared" si="13"/>
        <v>2</v>
      </c>
      <c r="D68" s="146" t="str">
        <f t="shared" si="14"/>
        <v>01494562</v>
      </c>
      <c r="E68" s="146" t="str">
        <f t="shared" si="15"/>
        <v>4400025960001</v>
      </c>
      <c r="F68" s="146" t="b">
        <f t="shared" si="16"/>
        <v>0</v>
      </c>
      <c r="G68" s="190">
        <f t="shared" si="17"/>
        <v>44377</v>
      </c>
      <c r="H68" s="146">
        <f>VLOOKUP( $A68, Aop!$A$2:$N$415, 4, 0)</f>
        <v>101</v>
      </c>
      <c r="I68" s="146">
        <f t="shared" si="18"/>
        <v>2021</v>
      </c>
      <c r="J68" s="79" t="str">
        <f t="shared" ca="1" si="19"/>
        <v/>
      </c>
      <c r="K68" s="79" t="str">
        <f t="shared" ca="1" si="10"/>
        <v/>
      </c>
      <c r="L68" s="79">
        <f t="shared" ca="1" si="11"/>
        <v>120480632</v>
      </c>
      <c r="M68" s="79">
        <f t="shared" ca="1" si="12"/>
        <v>124938595</v>
      </c>
    </row>
    <row r="69" spans="1:13" x14ac:dyDescent="0.2">
      <c r="A69" s="146">
        <v>70</v>
      </c>
      <c r="B69" s="146" t="str">
        <f>VLOOKUP( $A69, Aop!$A$2:$N$415, 2, 0)</f>
        <v>BSp</v>
      </c>
      <c r="C69" s="146">
        <f t="shared" si="13"/>
        <v>2</v>
      </c>
      <c r="D69" s="146" t="str">
        <f t="shared" si="14"/>
        <v>01494562</v>
      </c>
      <c r="E69" s="146" t="str">
        <f t="shared" si="15"/>
        <v>4400025960001</v>
      </c>
      <c r="F69" s="146" t="b">
        <f t="shared" si="16"/>
        <v>0</v>
      </c>
      <c r="G69" s="190">
        <f t="shared" si="17"/>
        <v>44377</v>
      </c>
      <c r="H69" s="146">
        <f>VLOOKUP( $A69, Aop!$A$2:$N$415, 4, 0)</f>
        <v>102</v>
      </c>
      <c r="I69" s="146">
        <f t="shared" si="18"/>
        <v>2021</v>
      </c>
      <c r="J69" s="79" t="str">
        <f t="shared" ca="1" si="19"/>
        <v/>
      </c>
      <c r="K69" s="79" t="str">
        <f t="shared" ca="1" si="10"/>
        <v/>
      </c>
      <c r="L69" s="79">
        <f t="shared" ca="1" si="11"/>
        <v>50000</v>
      </c>
      <c r="M69" s="79">
        <f t="shared" ca="1" si="12"/>
        <v>50000</v>
      </c>
    </row>
    <row r="70" spans="1:13" x14ac:dyDescent="0.2">
      <c r="A70" s="146">
        <v>71</v>
      </c>
      <c r="B70" s="146" t="str">
        <f>VLOOKUP( $A70, Aop!$A$2:$N$415, 2, 0)</f>
        <v>BSp</v>
      </c>
      <c r="C70" s="146">
        <f t="shared" si="13"/>
        <v>2</v>
      </c>
      <c r="D70" s="146" t="str">
        <f t="shared" si="14"/>
        <v>01494562</v>
      </c>
      <c r="E70" s="146" t="str">
        <f t="shared" si="15"/>
        <v>4400025960001</v>
      </c>
      <c r="F70" s="146" t="b">
        <f t="shared" si="16"/>
        <v>0</v>
      </c>
      <c r="G70" s="190">
        <f t="shared" si="17"/>
        <v>44377</v>
      </c>
      <c r="H70" s="146">
        <f>VLOOKUP( $A70, Aop!$A$2:$N$415, 4, 0)</f>
        <v>103</v>
      </c>
      <c r="I70" s="146">
        <f t="shared" si="18"/>
        <v>2021</v>
      </c>
      <c r="J70" s="79" t="str">
        <f t="shared" ca="1" si="19"/>
        <v/>
      </c>
      <c r="K70" s="79" t="str">
        <f t="shared" ca="1" si="10"/>
        <v/>
      </c>
      <c r="L70" s="79">
        <f t="shared" ca="1" si="11"/>
        <v>50000</v>
      </c>
      <c r="M70" s="79">
        <f t="shared" ca="1" si="12"/>
        <v>50000</v>
      </c>
    </row>
    <row r="71" spans="1:13" x14ac:dyDescent="0.2">
      <c r="A71" s="146">
        <v>72</v>
      </c>
      <c r="B71" s="146" t="str">
        <f>VLOOKUP( $A71, Aop!$A$2:$N$415, 2, 0)</f>
        <v>BSp</v>
      </c>
      <c r="C71" s="146">
        <f t="shared" si="13"/>
        <v>2</v>
      </c>
      <c r="D71" s="146" t="str">
        <f t="shared" si="14"/>
        <v>01494562</v>
      </c>
      <c r="E71" s="146" t="str">
        <f t="shared" si="15"/>
        <v>4400025960001</v>
      </c>
      <c r="F71" s="146" t="b">
        <f t="shared" si="16"/>
        <v>0</v>
      </c>
      <c r="G71" s="190">
        <f t="shared" si="17"/>
        <v>44377</v>
      </c>
      <c r="H71" s="146">
        <f>VLOOKUP( $A71, Aop!$A$2:$N$415, 4, 0)</f>
        <v>104</v>
      </c>
      <c r="I71" s="146">
        <f t="shared" si="18"/>
        <v>2021</v>
      </c>
      <c r="J71" s="79" t="str">
        <f t="shared" ca="1" si="19"/>
        <v/>
      </c>
      <c r="K71" s="79" t="str">
        <f t="shared" ca="1" si="10"/>
        <v/>
      </c>
      <c r="L71" s="79" t="str">
        <f t="shared" ca="1" si="11"/>
        <v/>
      </c>
      <c r="M71" s="79" t="str">
        <f t="shared" ca="1" si="12"/>
        <v/>
      </c>
    </row>
    <row r="72" spans="1:13" x14ac:dyDescent="0.2">
      <c r="A72" s="146">
        <v>73</v>
      </c>
      <c r="B72" s="146" t="str">
        <f>VLOOKUP( $A72, Aop!$A$2:$N$415, 2, 0)</f>
        <v>BSp</v>
      </c>
      <c r="C72" s="146">
        <f t="shared" si="13"/>
        <v>2</v>
      </c>
      <c r="D72" s="146" t="str">
        <f t="shared" si="14"/>
        <v>01494562</v>
      </c>
      <c r="E72" s="146" t="str">
        <f t="shared" si="15"/>
        <v>4400025960001</v>
      </c>
      <c r="F72" s="146" t="b">
        <f t="shared" si="16"/>
        <v>0</v>
      </c>
      <c r="G72" s="190">
        <f t="shared" si="17"/>
        <v>44377</v>
      </c>
      <c r="H72" s="146">
        <f>VLOOKUP( $A72, Aop!$A$2:$N$415, 4, 0)</f>
        <v>105</v>
      </c>
      <c r="I72" s="146">
        <f t="shared" si="18"/>
        <v>2021</v>
      </c>
      <c r="J72" s="79" t="str">
        <f t="shared" ca="1" si="19"/>
        <v/>
      </c>
      <c r="K72" s="79" t="str">
        <f t="shared" ca="1" si="10"/>
        <v/>
      </c>
      <c r="L72" s="79" t="str">
        <f t="shared" ca="1" si="11"/>
        <v/>
      </c>
      <c r="M72" s="79" t="str">
        <f t="shared" ca="1" si="12"/>
        <v/>
      </c>
    </row>
    <row r="73" spans="1:13" x14ac:dyDescent="0.2">
      <c r="A73" s="146">
        <v>74</v>
      </c>
      <c r="B73" s="146" t="str">
        <f>VLOOKUP( $A73, Aop!$A$2:$N$415, 2, 0)</f>
        <v>BSp</v>
      </c>
      <c r="C73" s="146">
        <f t="shared" si="13"/>
        <v>2</v>
      </c>
      <c r="D73" s="146" t="str">
        <f t="shared" si="14"/>
        <v>01494562</v>
      </c>
      <c r="E73" s="146" t="str">
        <f t="shared" si="15"/>
        <v>4400025960001</v>
      </c>
      <c r="F73" s="146" t="b">
        <f t="shared" si="16"/>
        <v>0</v>
      </c>
      <c r="G73" s="190">
        <f t="shared" si="17"/>
        <v>44377</v>
      </c>
      <c r="H73" s="146">
        <f>VLOOKUP( $A73, Aop!$A$2:$N$415, 4, 0)</f>
        <v>106</v>
      </c>
      <c r="I73" s="146">
        <f t="shared" si="18"/>
        <v>2021</v>
      </c>
      <c r="J73" s="79" t="str">
        <f t="shared" ca="1" si="19"/>
        <v/>
      </c>
      <c r="K73" s="79" t="str">
        <f t="shared" ca="1" si="10"/>
        <v/>
      </c>
      <c r="L73" s="79" t="str">
        <f t="shared" ca="1" si="11"/>
        <v/>
      </c>
      <c r="M73" s="79" t="str">
        <f t="shared" ca="1" si="12"/>
        <v/>
      </c>
    </row>
    <row r="74" spans="1:13" x14ac:dyDescent="0.2">
      <c r="A74" s="146">
        <v>75</v>
      </c>
      <c r="B74" s="146" t="str">
        <f>VLOOKUP( $A74, Aop!$A$2:$N$415, 2, 0)</f>
        <v>BSp</v>
      </c>
      <c r="C74" s="146">
        <f t="shared" si="13"/>
        <v>2</v>
      </c>
      <c r="D74" s="146" t="str">
        <f t="shared" si="14"/>
        <v>01494562</v>
      </c>
      <c r="E74" s="146" t="str">
        <f t="shared" si="15"/>
        <v>4400025960001</v>
      </c>
      <c r="F74" s="146" t="b">
        <f t="shared" si="16"/>
        <v>0</v>
      </c>
      <c r="G74" s="190">
        <f t="shared" si="17"/>
        <v>44377</v>
      </c>
      <c r="H74" s="146">
        <f>VLOOKUP( $A74, Aop!$A$2:$N$415, 4, 0)</f>
        <v>107</v>
      </c>
      <c r="I74" s="146">
        <f t="shared" si="18"/>
        <v>2021</v>
      </c>
      <c r="J74" s="79" t="str">
        <f t="shared" ca="1" si="19"/>
        <v/>
      </c>
      <c r="K74" s="79" t="str">
        <f t="shared" ca="1" si="10"/>
        <v/>
      </c>
      <c r="L74" s="79" t="str">
        <f t="shared" ca="1" si="11"/>
        <v/>
      </c>
      <c r="M74" s="79" t="str">
        <f t="shared" ca="1" si="12"/>
        <v/>
      </c>
    </row>
    <row r="75" spans="1:13" x14ac:dyDescent="0.2">
      <c r="A75" s="146">
        <v>76</v>
      </c>
      <c r="B75" s="146" t="str">
        <f>VLOOKUP( $A75, Aop!$A$2:$N$415, 2, 0)</f>
        <v>BSp</v>
      </c>
      <c r="C75" s="146">
        <f t="shared" si="13"/>
        <v>2</v>
      </c>
      <c r="D75" s="146" t="str">
        <f t="shared" si="14"/>
        <v>01494562</v>
      </c>
      <c r="E75" s="146" t="str">
        <f t="shared" si="15"/>
        <v>4400025960001</v>
      </c>
      <c r="F75" s="146" t="b">
        <f t="shared" si="16"/>
        <v>0</v>
      </c>
      <c r="G75" s="190">
        <f t="shared" si="17"/>
        <v>44377</v>
      </c>
      <c r="H75" s="146">
        <f>VLOOKUP( $A75, Aop!$A$2:$N$415, 4, 0)</f>
        <v>108</v>
      </c>
      <c r="I75" s="146">
        <f t="shared" si="18"/>
        <v>2021</v>
      </c>
      <c r="J75" s="79" t="str">
        <f t="shared" ca="1" si="19"/>
        <v/>
      </c>
      <c r="K75" s="79" t="str">
        <f t="shared" ca="1" si="10"/>
        <v/>
      </c>
      <c r="L75" s="79" t="str">
        <f t="shared" ca="1" si="11"/>
        <v/>
      </c>
      <c r="M75" s="79" t="str">
        <f t="shared" ca="1" si="12"/>
        <v/>
      </c>
    </row>
    <row r="76" spans="1:13" x14ac:dyDescent="0.2">
      <c r="A76" s="146">
        <v>77</v>
      </c>
      <c r="B76" s="146" t="str">
        <f>VLOOKUP( $A76, Aop!$A$2:$N$415, 2, 0)</f>
        <v>BSp</v>
      </c>
      <c r="C76" s="146">
        <f t="shared" si="13"/>
        <v>2</v>
      </c>
      <c r="D76" s="146" t="str">
        <f t="shared" si="14"/>
        <v>01494562</v>
      </c>
      <c r="E76" s="146" t="str">
        <f t="shared" si="15"/>
        <v>4400025960001</v>
      </c>
      <c r="F76" s="146" t="b">
        <f t="shared" si="16"/>
        <v>0</v>
      </c>
      <c r="G76" s="190">
        <f t="shared" si="17"/>
        <v>44377</v>
      </c>
      <c r="H76" s="146">
        <f>VLOOKUP( $A76, Aop!$A$2:$N$415, 4, 0)</f>
        <v>109</v>
      </c>
      <c r="I76" s="146">
        <f t="shared" si="18"/>
        <v>2021</v>
      </c>
      <c r="J76" s="79" t="str">
        <f t="shared" ca="1" si="19"/>
        <v/>
      </c>
      <c r="K76" s="79" t="str">
        <f t="shared" ca="1" si="10"/>
        <v/>
      </c>
      <c r="L76" s="79" t="str">
        <f t="shared" ca="1" si="11"/>
        <v/>
      </c>
      <c r="M76" s="79" t="str">
        <f t="shared" ca="1" si="12"/>
        <v/>
      </c>
    </row>
    <row r="77" spans="1:13" x14ac:dyDescent="0.2">
      <c r="A77" s="146">
        <v>78</v>
      </c>
      <c r="B77" s="146" t="str">
        <f>VLOOKUP( $A77, Aop!$A$2:$N$415, 2, 0)</f>
        <v>BSp</v>
      </c>
      <c r="C77" s="146">
        <f t="shared" si="13"/>
        <v>2</v>
      </c>
      <c r="D77" s="146" t="str">
        <f t="shared" si="14"/>
        <v>01494562</v>
      </c>
      <c r="E77" s="146" t="str">
        <f t="shared" si="15"/>
        <v>4400025960001</v>
      </c>
      <c r="F77" s="146" t="b">
        <f t="shared" si="16"/>
        <v>0</v>
      </c>
      <c r="G77" s="190">
        <f t="shared" si="17"/>
        <v>44377</v>
      </c>
      <c r="H77" s="146">
        <f>VLOOKUP( $A77, Aop!$A$2:$N$415, 4, 0)</f>
        <v>110</v>
      </c>
      <c r="I77" s="146">
        <f t="shared" si="18"/>
        <v>2021</v>
      </c>
      <c r="J77" s="79" t="str">
        <f t="shared" ca="1" si="19"/>
        <v/>
      </c>
      <c r="K77" s="79" t="str">
        <f t="shared" ca="1" si="10"/>
        <v/>
      </c>
      <c r="L77" s="79" t="str">
        <f t="shared" ca="1" si="11"/>
        <v/>
      </c>
      <c r="M77" s="79" t="str">
        <f t="shared" ca="1" si="12"/>
        <v/>
      </c>
    </row>
    <row r="78" spans="1:13" x14ac:dyDescent="0.2">
      <c r="A78" s="146">
        <v>79</v>
      </c>
      <c r="B78" s="146" t="str">
        <f>VLOOKUP( $A78, Aop!$A$2:$N$415, 2, 0)</f>
        <v>BSp</v>
      </c>
      <c r="C78" s="146">
        <f t="shared" si="13"/>
        <v>2</v>
      </c>
      <c r="D78" s="146" t="str">
        <f t="shared" si="14"/>
        <v>01494562</v>
      </c>
      <c r="E78" s="146" t="str">
        <f t="shared" si="15"/>
        <v>4400025960001</v>
      </c>
      <c r="F78" s="146" t="b">
        <f t="shared" si="16"/>
        <v>0</v>
      </c>
      <c r="G78" s="190">
        <f t="shared" si="17"/>
        <v>44377</v>
      </c>
      <c r="H78" s="146">
        <f>VLOOKUP( $A78, Aop!$A$2:$N$415, 4, 0)</f>
        <v>111</v>
      </c>
      <c r="I78" s="146">
        <f t="shared" si="18"/>
        <v>2021</v>
      </c>
      <c r="J78" s="79" t="str">
        <f t="shared" ca="1" si="19"/>
        <v/>
      </c>
      <c r="K78" s="79" t="str">
        <f t="shared" ca="1" si="10"/>
        <v/>
      </c>
      <c r="L78" s="79" t="str">
        <f t="shared" ca="1" si="11"/>
        <v/>
      </c>
      <c r="M78" s="79" t="str">
        <f t="shared" ca="1" si="12"/>
        <v/>
      </c>
    </row>
    <row r="79" spans="1:13" x14ac:dyDescent="0.2">
      <c r="A79" s="146">
        <v>80</v>
      </c>
      <c r="B79" s="146" t="str">
        <f>VLOOKUP( $A79, Aop!$A$2:$N$415, 2, 0)</f>
        <v>BSp</v>
      </c>
      <c r="C79" s="146">
        <f t="shared" si="13"/>
        <v>2</v>
      </c>
      <c r="D79" s="146" t="str">
        <f t="shared" si="14"/>
        <v>01494562</v>
      </c>
      <c r="E79" s="146" t="str">
        <f t="shared" si="15"/>
        <v>4400025960001</v>
      </c>
      <c r="F79" s="146" t="b">
        <f t="shared" si="16"/>
        <v>0</v>
      </c>
      <c r="G79" s="190">
        <f t="shared" si="17"/>
        <v>44377</v>
      </c>
      <c r="H79" s="146">
        <f>VLOOKUP( $A79, Aop!$A$2:$N$415, 4, 0)</f>
        <v>112</v>
      </c>
      <c r="I79" s="146">
        <f t="shared" si="18"/>
        <v>2021</v>
      </c>
      <c r="J79" s="79" t="str">
        <f t="shared" ca="1" si="19"/>
        <v/>
      </c>
      <c r="K79" s="79" t="str">
        <f t="shared" ca="1" si="10"/>
        <v/>
      </c>
      <c r="L79" s="79">
        <f t="shared" ca="1" si="11"/>
        <v>0</v>
      </c>
      <c r="M79" s="79">
        <f t="shared" ca="1" si="12"/>
        <v>0</v>
      </c>
    </row>
    <row r="80" spans="1:13" x14ac:dyDescent="0.2">
      <c r="A80" s="146">
        <v>81</v>
      </c>
      <c r="B80" s="146" t="str">
        <f>VLOOKUP( $A80, Aop!$A$2:$N$415, 2, 0)</f>
        <v>BSp</v>
      </c>
      <c r="C80" s="146">
        <f t="shared" si="13"/>
        <v>2</v>
      </c>
      <c r="D80" s="146" t="str">
        <f t="shared" si="14"/>
        <v>01494562</v>
      </c>
      <c r="E80" s="146" t="str">
        <f t="shared" si="15"/>
        <v>4400025960001</v>
      </c>
      <c r="F80" s="146" t="b">
        <f t="shared" si="16"/>
        <v>0</v>
      </c>
      <c r="G80" s="190">
        <f t="shared" si="17"/>
        <v>44377</v>
      </c>
      <c r="H80" s="146">
        <f>VLOOKUP( $A80, Aop!$A$2:$N$415, 4, 0)</f>
        <v>113</v>
      </c>
      <c r="I80" s="146">
        <f t="shared" si="18"/>
        <v>2021</v>
      </c>
      <c r="J80" s="79" t="str">
        <f t="shared" ca="1" si="19"/>
        <v/>
      </c>
      <c r="K80" s="79" t="str">
        <f t="shared" ca="1" si="10"/>
        <v/>
      </c>
      <c r="L80" s="79" t="str">
        <f t="shared" ca="1" si="11"/>
        <v/>
      </c>
      <c r="M80" s="79" t="str">
        <f t="shared" ca="1" si="12"/>
        <v/>
      </c>
    </row>
    <row r="81" spans="1:13" x14ac:dyDescent="0.2">
      <c r="A81" s="146">
        <v>82</v>
      </c>
      <c r="B81" s="146" t="str">
        <f>VLOOKUP( $A81, Aop!$A$2:$N$415, 2, 0)</f>
        <v>BSp</v>
      </c>
      <c r="C81" s="146">
        <f t="shared" si="13"/>
        <v>2</v>
      </c>
      <c r="D81" s="146" t="str">
        <f t="shared" si="14"/>
        <v>01494562</v>
      </c>
      <c r="E81" s="146" t="str">
        <f t="shared" si="15"/>
        <v>4400025960001</v>
      </c>
      <c r="F81" s="146" t="b">
        <f t="shared" si="16"/>
        <v>0</v>
      </c>
      <c r="G81" s="190">
        <f t="shared" si="17"/>
        <v>44377</v>
      </c>
      <c r="H81" s="146">
        <f>VLOOKUP( $A81, Aop!$A$2:$N$415, 4, 0)</f>
        <v>114</v>
      </c>
      <c r="I81" s="146">
        <f t="shared" si="18"/>
        <v>2021</v>
      </c>
      <c r="J81" s="79" t="str">
        <f t="shared" ca="1" si="19"/>
        <v/>
      </c>
      <c r="K81" s="79" t="str">
        <f t="shared" ca="1" si="10"/>
        <v/>
      </c>
      <c r="L81" s="79" t="str">
        <f t="shared" ca="1" si="11"/>
        <v/>
      </c>
      <c r="M81" s="79" t="str">
        <f t="shared" ca="1" si="12"/>
        <v/>
      </c>
    </row>
    <row r="82" spans="1:13" x14ac:dyDescent="0.2">
      <c r="A82" s="146">
        <v>83</v>
      </c>
      <c r="B82" s="146" t="str">
        <f>VLOOKUP( $A82, Aop!$A$2:$N$415, 2, 0)</f>
        <v>BSp</v>
      </c>
      <c r="C82" s="146">
        <f t="shared" si="13"/>
        <v>2</v>
      </c>
      <c r="D82" s="146" t="str">
        <f t="shared" si="14"/>
        <v>01494562</v>
      </c>
      <c r="E82" s="146" t="str">
        <f t="shared" si="15"/>
        <v>4400025960001</v>
      </c>
      <c r="F82" s="146" t="b">
        <f t="shared" si="16"/>
        <v>0</v>
      </c>
      <c r="G82" s="190">
        <f t="shared" si="17"/>
        <v>44377</v>
      </c>
      <c r="H82" s="146">
        <f>VLOOKUP( $A82, Aop!$A$2:$N$415, 4, 0)</f>
        <v>115</v>
      </c>
      <c r="I82" s="146">
        <f t="shared" si="18"/>
        <v>2021</v>
      </c>
      <c r="J82" s="79" t="str">
        <f t="shared" ca="1" si="19"/>
        <v/>
      </c>
      <c r="K82" s="79" t="str">
        <f t="shared" ca="1" si="10"/>
        <v/>
      </c>
      <c r="L82" s="79" t="str">
        <f t="shared" ca="1" si="11"/>
        <v/>
      </c>
      <c r="M82" s="79" t="str">
        <f t="shared" ca="1" si="12"/>
        <v/>
      </c>
    </row>
    <row r="83" spans="1:13" x14ac:dyDescent="0.2">
      <c r="A83" s="146">
        <v>84</v>
      </c>
      <c r="B83" s="146" t="str">
        <f>VLOOKUP( $A83, Aop!$A$2:$N$415, 2, 0)</f>
        <v>BSp</v>
      </c>
      <c r="C83" s="146">
        <f t="shared" si="13"/>
        <v>2</v>
      </c>
      <c r="D83" s="146" t="str">
        <f t="shared" si="14"/>
        <v>01494562</v>
      </c>
      <c r="E83" s="146" t="str">
        <f t="shared" si="15"/>
        <v>4400025960001</v>
      </c>
      <c r="F83" s="146" t="b">
        <f t="shared" si="16"/>
        <v>0</v>
      </c>
      <c r="G83" s="190">
        <f t="shared" si="17"/>
        <v>44377</v>
      </c>
      <c r="H83" s="146">
        <f>VLOOKUP( $A83, Aop!$A$2:$N$415, 4, 0)</f>
        <v>116</v>
      </c>
      <c r="I83" s="146">
        <f t="shared" si="18"/>
        <v>2021</v>
      </c>
      <c r="J83" s="79" t="str">
        <f t="shared" ca="1" si="19"/>
        <v/>
      </c>
      <c r="K83" s="79" t="str">
        <f t="shared" ca="1" si="10"/>
        <v/>
      </c>
      <c r="L83" s="79">
        <f t="shared" ca="1" si="11"/>
        <v>225286778</v>
      </c>
      <c r="M83" s="79">
        <f t="shared" ca="1" si="12"/>
        <v>225286778</v>
      </c>
    </row>
    <row r="84" spans="1:13" x14ac:dyDescent="0.2">
      <c r="A84" s="146">
        <v>85</v>
      </c>
      <c r="B84" s="146" t="str">
        <f>VLOOKUP( $A84, Aop!$A$2:$N$415, 2, 0)</f>
        <v>BSp</v>
      </c>
      <c r="C84" s="146">
        <f t="shared" si="13"/>
        <v>2</v>
      </c>
      <c r="D84" s="146" t="str">
        <f t="shared" si="14"/>
        <v>01494562</v>
      </c>
      <c r="E84" s="146" t="str">
        <f t="shared" si="15"/>
        <v>4400025960001</v>
      </c>
      <c r="F84" s="146" t="b">
        <f t="shared" si="16"/>
        <v>0</v>
      </c>
      <c r="G84" s="190">
        <f t="shared" si="17"/>
        <v>44377</v>
      </c>
      <c r="H84" s="146">
        <f>VLOOKUP( $A84, Aop!$A$2:$N$415, 4, 0)</f>
        <v>117</v>
      </c>
      <c r="I84" s="146">
        <f t="shared" si="18"/>
        <v>2021</v>
      </c>
      <c r="J84" s="79" t="str">
        <f t="shared" ca="1" si="19"/>
        <v/>
      </c>
      <c r="K84" s="79" t="str">
        <f t="shared" ca="1" si="10"/>
        <v/>
      </c>
      <c r="L84" s="79" t="str">
        <f t="shared" ca="1" si="11"/>
        <v/>
      </c>
      <c r="M84" s="79" t="str">
        <f t="shared" ca="1" si="12"/>
        <v/>
      </c>
    </row>
    <row r="85" spans="1:13" x14ac:dyDescent="0.2">
      <c r="A85" s="146">
        <v>86</v>
      </c>
      <c r="B85" s="146" t="str">
        <f>VLOOKUP( $A85, Aop!$A$2:$N$415, 2, 0)</f>
        <v>BSp</v>
      </c>
      <c r="C85" s="146">
        <f t="shared" si="13"/>
        <v>2</v>
      </c>
      <c r="D85" s="146" t="str">
        <f t="shared" si="14"/>
        <v>01494562</v>
      </c>
      <c r="E85" s="146" t="str">
        <f t="shared" si="15"/>
        <v>4400025960001</v>
      </c>
      <c r="F85" s="146" t="b">
        <f t="shared" si="16"/>
        <v>0</v>
      </c>
      <c r="G85" s="190">
        <f t="shared" si="17"/>
        <v>44377</v>
      </c>
      <c r="H85" s="146">
        <f>VLOOKUP( $A85, Aop!$A$2:$N$415, 4, 0)</f>
        <v>118</v>
      </c>
      <c r="I85" s="146">
        <f t="shared" si="18"/>
        <v>2021</v>
      </c>
      <c r="J85" s="79" t="str">
        <f t="shared" ca="1" si="19"/>
        <v/>
      </c>
      <c r="K85" s="79" t="str">
        <f t="shared" ca="1" si="10"/>
        <v/>
      </c>
      <c r="L85" s="79" t="str">
        <f t="shared" ca="1" si="11"/>
        <v/>
      </c>
      <c r="M85" s="79" t="str">
        <f t="shared" ca="1" si="12"/>
        <v/>
      </c>
    </row>
    <row r="86" spans="1:13" x14ac:dyDescent="0.2">
      <c r="A86" s="146">
        <v>87</v>
      </c>
      <c r="B86" s="146" t="str">
        <f>VLOOKUP( $A86, Aop!$A$2:$N$415, 2, 0)</f>
        <v>BSp</v>
      </c>
      <c r="C86" s="146">
        <f t="shared" si="13"/>
        <v>2</v>
      </c>
      <c r="D86" s="146" t="str">
        <f t="shared" si="14"/>
        <v>01494562</v>
      </c>
      <c r="E86" s="146" t="str">
        <f t="shared" si="15"/>
        <v>4400025960001</v>
      </c>
      <c r="F86" s="146" t="b">
        <f t="shared" si="16"/>
        <v>0</v>
      </c>
      <c r="G86" s="190">
        <f t="shared" si="17"/>
        <v>44377</v>
      </c>
      <c r="H86" s="146">
        <f>VLOOKUP( $A86, Aop!$A$2:$N$415, 4, 0)</f>
        <v>119</v>
      </c>
      <c r="I86" s="146">
        <f t="shared" si="18"/>
        <v>2021</v>
      </c>
      <c r="J86" s="79" t="str">
        <f t="shared" ca="1" si="19"/>
        <v/>
      </c>
      <c r="K86" s="79" t="str">
        <f t="shared" ca="1" si="10"/>
        <v/>
      </c>
      <c r="L86" s="79">
        <f t="shared" ca="1" si="11"/>
        <v>0</v>
      </c>
      <c r="M86" s="79">
        <f t="shared" ca="1" si="12"/>
        <v>0</v>
      </c>
    </row>
    <row r="87" spans="1:13" x14ac:dyDescent="0.2">
      <c r="A87" s="146">
        <v>88</v>
      </c>
      <c r="B87" s="146" t="str">
        <f>VLOOKUP( $A87, Aop!$A$2:$N$415, 2, 0)</f>
        <v>BSp</v>
      </c>
      <c r="C87" s="146">
        <f t="shared" si="13"/>
        <v>2</v>
      </c>
      <c r="D87" s="146" t="str">
        <f t="shared" si="14"/>
        <v>01494562</v>
      </c>
      <c r="E87" s="146" t="str">
        <f t="shared" si="15"/>
        <v>4400025960001</v>
      </c>
      <c r="F87" s="146" t="b">
        <f t="shared" si="16"/>
        <v>0</v>
      </c>
      <c r="G87" s="190">
        <f t="shared" si="17"/>
        <v>44377</v>
      </c>
      <c r="H87" s="146">
        <f>VLOOKUP( $A87, Aop!$A$2:$N$415, 4, 0)</f>
        <v>120</v>
      </c>
      <c r="I87" s="146">
        <f t="shared" si="18"/>
        <v>2021</v>
      </c>
      <c r="J87" s="79" t="str">
        <f t="shared" ca="1" si="19"/>
        <v/>
      </c>
      <c r="K87" s="79" t="str">
        <f t="shared" ca="1" si="10"/>
        <v/>
      </c>
      <c r="L87" s="79" t="str">
        <f t="shared" ca="1" si="11"/>
        <v/>
      </c>
      <c r="M87" s="79" t="str">
        <f t="shared" ca="1" si="12"/>
        <v/>
      </c>
    </row>
    <row r="88" spans="1:13" x14ac:dyDescent="0.2">
      <c r="A88" s="146">
        <v>89</v>
      </c>
      <c r="B88" s="146" t="str">
        <f>VLOOKUP( $A88, Aop!$A$2:$N$415, 2, 0)</f>
        <v>BSp</v>
      </c>
      <c r="C88" s="146">
        <f t="shared" si="13"/>
        <v>2</v>
      </c>
      <c r="D88" s="146" t="str">
        <f t="shared" si="14"/>
        <v>01494562</v>
      </c>
      <c r="E88" s="146" t="str">
        <f t="shared" si="15"/>
        <v>4400025960001</v>
      </c>
      <c r="F88" s="146" t="b">
        <f t="shared" si="16"/>
        <v>0</v>
      </c>
      <c r="G88" s="190">
        <f t="shared" si="17"/>
        <v>44377</v>
      </c>
      <c r="H88" s="146">
        <f>VLOOKUP( $A88, Aop!$A$2:$N$415, 4, 0)</f>
        <v>121</v>
      </c>
      <c r="I88" s="146">
        <f t="shared" si="18"/>
        <v>2021</v>
      </c>
      <c r="J88" s="79" t="str">
        <f t="shared" ca="1" si="19"/>
        <v/>
      </c>
      <c r="K88" s="79" t="str">
        <f t="shared" ca="1" si="10"/>
        <v/>
      </c>
      <c r="L88" s="79" t="str">
        <f t="shared" ca="1" si="11"/>
        <v/>
      </c>
      <c r="M88" s="79" t="str">
        <f t="shared" ca="1" si="12"/>
        <v/>
      </c>
    </row>
    <row r="89" spans="1:13" x14ac:dyDescent="0.2">
      <c r="A89" s="146">
        <v>90</v>
      </c>
      <c r="B89" s="146" t="str">
        <f>VLOOKUP( $A89, Aop!$A$2:$N$415, 2, 0)</f>
        <v>BSp</v>
      </c>
      <c r="C89" s="146">
        <f t="shared" si="13"/>
        <v>2</v>
      </c>
      <c r="D89" s="146" t="str">
        <f t="shared" si="14"/>
        <v>01494562</v>
      </c>
      <c r="E89" s="146" t="str">
        <f t="shared" si="15"/>
        <v>4400025960001</v>
      </c>
      <c r="F89" s="146" t="b">
        <f t="shared" si="16"/>
        <v>0</v>
      </c>
      <c r="G89" s="190">
        <f t="shared" si="17"/>
        <v>44377</v>
      </c>
      <c r="H89" s="146">
        <f>VLOOKUP( $A89, Aop!$A$2:$N$415, 4, 0)</f>
        <v>122</v>
      </c>
      <c r="I89" s="146">
        <f t="shared" si="18"/>
        <v>2021</v>
      </c>
      <c r="J89" s="79" t="str">
        <f t="shared" ca="1" si="19"/>
        <v/>
      </c>
      <c r="K89" s="79" t="str">
        <f t="shared" ca="1" si="10"/>
        <v/>
      </c>
      <c r="L89" s="79" t="str">
        <f t="shared" ca="1" si="11"/>
        <v/>
      </c>
      <c r="M89" s="79" t="str">
        <f t="shared" ca="1" si="12"/>
        <v/>
      </c>
    </row>
    <row r="90" spans="1:13" x14ac:dyDescent="0.2">
      <c r="A90" s="146">
        <v>91</v>
      </c>
      <c r="B90" s="146" t="str">
        <f>VLOOKUP( $A90, Aop!$A$2:$N$415, 2, 0)</f>
        <v>BSp</v>
      </c>
      <c r="C90" s="146">
        <f t="shared" si="13"/>
        <v>2</v>
      </c>
      <c r="D90" s="146" t="str">
        <f t="shared" si="14"/>
        <v>01494562</v>
      </c>
      <c r="E90" s="146" t="str">
        <f t="shared" si="15"/>
        <v>4400025960001</v>
      </c>
      <c r="F90" s="146" t="b">
        <f t="shared" si="16"/>
        <v>0</v>
      </c>
      <c r="G90" s="190">
        <f t="shared" si="17"/>
        <v>44377</v>
      </c>
      <c r="H90" s="146">
        <f>VLOOKUP( $A90, Aop!$A$2:$N$415, 4, 0)</f>
        <v>123</v>
      </c>
      <c r="I90" s="146">
        <f t="shared" si="18"/>
        <v>2021</v>
      </c>
      <c r="J90" s="79" t="str">
        <f t="shared" ca="1" si="19"/>
        <v/>
      </c>
      <c r="K90" s="79" t="str">
        <f t="shared" ca="1" si="10"/>
        <v/>
      </c>
      <c r="L90" s="79">
        <f t="shared" ca="1" si="11"/>
        <v>104856146</v>
      </c>
      <c r="M90" s="79">
        <f t="shared" ca="1" si="12"/>
        <v>100398183</v>
      </c>
    </row>
    <row r="91" spans="1:13" x14ac:dyDescent="0.2">
      <c r="A91" s="146">
        <v>92</v>
      </c>
      <c r="B91" s="146" t="str">
        <f>VLOOKUP( $A91, Aop!$A$2:$N$415, 2, 0)</f>
        <v>BSp</v>
      </c>
      <c r="C91" s="146">
        <f t="shared" si="13"/>
        <v>2</v>
      </c>
      <c r="D91" s="146" t="str">
        <f t="shared" si="14"/>
        <v>01494562</v>
      </c>
      <c r="E91" s="146" t="str">
        <f t="shared" si="15"/>
        <v>4400025960001</v>
      </c>
      <c r="F91" s="146" t="b">
        <f t="shared" si="16"/>
        <v>0</v>
      </c>
      <c r="G91" s="190">
        <f t="shared" si="17"/>
        <v>44377</v>
      </c>
      <c r="H91" s="146">
        <f>VLOOKUP( $A91, Aop!$A$2:$N$415, 4, 0)</f>
        <v>124</v>
      </c>
      <c r="I91" s="146">
        <f t="shared" si="18"/>
        <v>2021</v>
      </c>
      <c r="J91" s="79" t="str">
        <f t="shared" ca="1" si="19"/>
        <v/>
      </c>
      <c r="K91" s="79" t="str">
        <f t="shared" ca="1" si="10"/>
        <v/>
      </c>
      <c r="L91" s="79">
        <f t="shared" ca="1" si="11"/>
        <v>100398183</v>
      </c>
      <c r="M91" s="79">
        <f t="shared" ca="1" si="12"/>
        <v>81872254</v>
      </c>
    </row>
    <row r="92" spans="1:13" x14ac:dyDescent="0.2">
      <c r="A92" s="146">
        <v>93</v>
      </c>
      <c r="B92" s="146" t="str">
        <f>VLOOKUP( $A92, Aop!$A$2:$N$415, 2, 0)</f>
        <v>BSp</v>
      </c>
      <c r="C92" s="146">
        <f t="shared" si="13"/>
        <v>2</v>
      </c>
      <c r="D92" s="146" t="str">
        <f t="shared" si="14"/>
        <v>01494562</v>
      </c>
      <c r="E92" s="146" t="str">
        <f t="shared" si="15"/>
        <v>4400025960001</v>
      </c>
      <c r="F92" s="146" t="b">
        <f t="shared" si="16"/>
        <v>0</v>
      </c>
      <c r="G92" s="190">
        <f t="shared" si="17"/>
        <v>44377</v>
      </c>
      <c r="H92" s="146">
        <f>VLOOKUP( $A92, Aop!$A$2:$N$415, 4, 0)</f>
        <v>125</v>
      </c>
      <c r="I92" s="146">
        <f t="shared" si="18"/>
        <v>2021</v>
      </c>
      <c r="J92" s="79" t="str">
        <f t="shared" ca="1" si="19"/>
        <v/>
      </c>
      <c r="K92" s="79" t="str">
        <f t="shared" ca="1" si="10"/>
        <v/>
      </c>
      <c r="L92" s="79">
        <f t="shared" ca="1" si="11"/>
        <v>4457963</v>
      </c>
      <c r="M92" s="79">
        <f t="shared" ca="1" si="12"/>
        <v>18525929</v>
      </c>
    </row>
    <row r="93" spans="1:13" x14ac:dyDescent="0.2">
      <c r="A93" s="146">
        <v>94</v>
      </c>
      <c r="B93" s="146" t="str">
        <f>VLOOKUP( $A93, Aop!$A$2:$N$415, 2, 0)</f>
        <v>BSp</v>
      </c>
      <c r="C93" s="146">
        <f t="shared" si="13"/>
        <v>2</v>
      </c>
      <c r="D93" s="146" t="str">
        <f t="shared" si="14"/>
        <v>01494562</v>
      </c>
      <c r="E93" s="146" t="str">
        <f t="shared" si="15"/>
        <v>4400025960001</v>
      </c>
      <c r="F93" s="146" t="b">
        <f t="shared" si="16"/>
        <v>0</v>
      </c>
      <c r="G93" s="190">
        <f t="shared" si="17"/>
        <v>44377</v>
      </c>
      <c r="H93" s="146">
        <f>VLOOKUP( $A93, Aop!$A$2:$N$415, 4, 0)</f>
        <v>126</v>
      </c>
      <c r="I93" s="146">
        <f t="shared" si="18"/>
        <v>2021</v>
      </c>
      <c r="J93" s="79" t="str">
        <f t="shared" ca="1" si="19"/>
        <v/>
      </c>
      <c r="K93" s="79" t="str">
        <f t="shared" ca="1" si="10"/>
        <v/>
      </c>
      <c r="L93" s="79">
        <f t="shared" ca="1" si="11"/>
        <v>13086792</v>
      </c>
      <c r="M93" s="79">
        <f t="shared" ca="1" si="12"/>
        <v>13537034</v>
      </c>
    </row>
    <row r="94" spans="1:13" x14ac:dyDescent="0.2">
      <c r="A94" s="146">
        <v>95</v>
      </c>
      <c r="B94" s="146" t="str">
        <f>VLOOKUP( $A94, Aop!$A$2:$N$415, 2, 0)</f>
        <v>BSp</v>
      </c>
      <c r="C94" s="146">
        <f t="shared" si="13"/>
        <v>2</v>
      </c>
      <c r="D94" s="146" t="str">
        <f t="shared" si="14"/>
        <v>01494562</v>
      </c>
      <c r="E94" s="146" t="str">
        <f t="shared" si="15"/>
        <v>4400025960001</v>
      </c>
      <c r="F94" s="146" t="b">
        <f t="shared" si="16"/>
        <v>0</v>
      </c>
      <c r="G94" s="190">
        <f t="shared" si="17"/>
        <v>44377</v>
      </c>
      <c r="H94" s="146">
        <f>VLOOKUP( $A94, Aop!$A$2:$N$415, 4, 0)</f>
        <v>127</v>
      </c>
      <c r="I94" s="146">
        <f t="shared" si="18"/>
        <v>2021</v>
      </c>
      <c r="J94" s="79" t="str">
        <f t="shared" ca="1" si="19"/>
        <v/>
      </c>
      <c r="K94" s="79" t="str">
        <f t="shared" ca="1" si="10"/>
        <v/>
      </c>
      <c r="L94" s="79" t="str">
        <f t="shared" ca="1" si="11"/>
        <v/>
      </c>
      <c r="M94" s="79" t="str">
        <f t="shared" ca="1" si="12"/>
        <v/>
      </c>
    </row>
    <row r="95" spans="1:13" x14ac:dyDescent="0.2">
      <c r="A95" s="146">
        <v>96</v>
      </c>
      <c r="B95" s="146" t="str">
        <f>VLOOKUP( $A95, Aop!$A$2:$N$415, 2, 0)</f>
        <v>BSp</v>
      </c>
      <c r="C95" s="146">
        <f t="shared" si="13"/>
        <v>2</v>
      </c>
      <c r="D95" s="146" t="str">
        <f t="shared" si="14"/>
        <v>01494562</v>
      </c>
      <c r="E95" s="146" t="str">
        <f t="shared" si="15"/>
        <v>4400025960001</v>
      </c>
      <c r="F95" s="146" t="b">
        <f t="shared" si="16"/>
        <v>0</v>
      </c>
      <c r="G95" s="190">
        <f t="shared" si="17"/>
        <v>44377</v>
      </c>
      <c r="H95" s="146">
        <f>VLOOKUP( $A95, Aop!$A$2:$N$415, 4, 0)</f>
        <v>128</v>
      </c>
      <c r="I95" s="146">
        <f t="shared" si="18"/>
        <v>2021</v>
      </c>
      <c r="J95" s="79" t="str">
        <f t="shared" ca="1" si="19"/>
        <v/>
      </c>
      <c r="K95" s="79" t="str">
        <f t="shared" ca="1" si="10"/>
        <v/>
      </c>
      <c r="L95" s="79" t="str">
        <f t="shared" ca="1" si="11"/>
        <v/>
      </c>
      <c r="M95" s="79" t="str">
        <f t="shared" ca="1" si="12"/>
        <v/>
      </c>
    </row>
    <row r="96" spans="1:13" x14ac:dyDescent="0.2">
      <c r="A96" s="146">
        <v>97</v>
      </c>
      <c r="B96" s="146" t="str">
        <f>VLOOKUP( $A96, Aop!$A$2:$N$415, 2, 0)</f>
        <v>BSp</v>
      </c>
      <c r="C96" s="146">
        <f t="shared" si="13"/>
        <v>2</v>
      </c>
      <c r="D96" s="146" t="str">
        <f t="shared" si="14"/>
        <v>01494562</v>
      </c>
      <c r="E96" s="146" t="str">
        <f t="shared" si="15"/>
        <v>4400025960001</v>
      </c>
      <c r="F96" s="146" t="b">
        <f t="shared" si="16"/>
        <v>0</v>
      </c>
      <c r="G96" s="190">
        <f t="shared" si="17"/>
        <v>44377</v>
      </c>
      <c r="H96" s="146">
        <f>VLOOKUP( $A96, Aop!$A$2:$N$415, 4, 0)</f>
        <v>129</v>
      </c>
      <c r="I96" s="146">
        <f t="shared" si="18"/>
        <v>2021</v>
      </c>
      <c r="J96" s="79" t="str">
        <f t="shared" ca="1" si="19"/>
        <v/>
      </c>
      <c r="K96" s="79" t="str">
        <f t="shared" ca="1" si="10"/>
        <v/>
      </c>
      <c r="L96" s="79" t="str">
        <f t="shared" ca="1" si="11"/>
        <v/>
      </c>
      <c r="M96" s="79" t="str">
        <f t="shared" ca="1" si="12"/>
        <v/>
      </c>
    </row>
    <row r="97" spans="1:13" x14ac:dyDescent="0.2">
      <c r="A97" s="146">
        <v>98</v>
      </c>
      <c r="B97" s="146" t="str">
        <f>VLOOKUP( $A97, Aop!$A$2:$N$415, 2, 0)</f>
        <v>BSp</v>
      </c>
      <c r="C97" s="146">
        <f t="shared" si="13"/>
        <v>2</v>
      </c>
      <c r="D97" s="146" t="str">
        <f t="shared" si="14"/>
        <v>01494562</v>
      </c>
      <c r="E97" s="146" t="str">
        <f t="shared" si="15"/>
        <v>4400025960001</v>
      </c>
      <c r="F97" s="146" t="b">
        <f t="shared" si="16"/>
        <v>0</v>
      </c>
      <c r="G97" s="190">
        <f t="shared" si="17"/>
        <v>44377</v>
      </c>
      <c r="H97" s="146">
        <f>VLOOKUP( $A97, Aop!$A$2:$N$415, 4, 0)</f>
        <v>130</v>
      </c>
      <c r="I97" s="146">
        <f t="shared" si="18"/>
        <v>2021</v>
      </c>
      <c r="J97" s="79" t="str">
        <f t="shared" ca="1" si="19"/>
        <v/>
      </c>
      <c r="K97" s="79" t="str">
        <f t="shared" ca="1" si="10"/>
        <v/>
      </c>
      <c r="L97" s="79" t="str">
        <f t="shared" ca="1" si="11"/>
        <v/>
      </c>
      <c r="M97" s="79" t="str">
        <f t="shared" ca="1" si="12"/>
        <v/>
      </c>
    </row>
    <row r="98" spans="1:13" x14ac:dyDescent="0.2">
      <c r="A98" s="146">
        <v>99</v>
      </c>
      <c r="B98" s="146" t="str">
        <f>VLOOKUP( $A98, Aop!$A$2:$N$415, 2, 0)</f>
        <v>BSp</v>
      </c>
      <c r="C98" s="146">
        <f t="shared" si="13"/>
        <v>2</v>
      </c>
      <c r="D98" s="146" t="str">
        <f t="shared" si="14"/>
        <v>01494562</v>
      </c>
      <c r="E98" s="146" t="str">
        <f t="shared" si="15"/>
        <v>4400025960001</v>
      </c>
      <c r="F98" s="146" t="b">
        <f t="shared" si="16"/>
        <v>0</v>
      </c>
      <c r="G98" s="190">
        <f t="shared" si="17"/>
        <v>44377</v>
      </c>
      <c r="H98" s="146">
        <f>VLOOKUP( $A98, Aop!$A$2:$N$415, 4, 0)</f>
        <v>131</v>
      </c>
      <c r="I98" s="146">
        <f t="shared" si="18"/>
        <v>2021</v>
      </c>
      <c r="J98" s="79" t="str">
        <f t="shared" ca="1" si="19"/>
        <v/>
      </c>
      <c r="K98" s="79" t="str">
        <f t="shared" ca="1" si="10"/>
        <v/>
      </c>
      <c r="L98" s="79">
        <f t="shared" ca="1" si="11"/>
        <v>1635569</v>
      </c>
      <c r="M98" s="79">
        <f t="shared" ca="1" si="12"/>
        <v>1635569</v>
      </c>
    </row>
    <row r="99" spans="1:13" x14ac:dyDescent="0.2">
      <c r="A99" s="146">
        <v>100</v>
      </c>
      <c r="B99" s="146" t="str">
        <f>VLOOKUP( $A99, Aop!$A$2:$N$415, 2, 0)</f>
        <v>BSp</v>
      </c>
      <c r="C99" s="146">
        <f t="shared" si="13"/>
        <v>2</v>
      </c>
      <c r="D99" s="146" t="str">
        <f t="shared" si="14"/>
        <v>01494562</v>
      </c>
      <c r="E99" s="146" t="str">
        <f t="shared" si="15"/>
        <v>4400025960001</v>
      </c>
      <c r="F99" s="146" t="b">
        <f t="shared" si="16"/>
        <v>0</v>
      </c>
      <c r="G99" s="190">
        <f t="shared" si="17"/>
        <v>44377</v>
      </c>
      <c r="H99" s="146">
        <f>VLOOKUP( $A99, Aop!$A$2:$N$415, 4, 0)</f>
        <v>132</v>
      </c>
      <c r="I99" s="146">
        <f t="shared" si="18"/>
        <v>2021</v>
      </c>
      <c r="J99" s="79" t="str">
        <f t="shared" ca="1" si="19"/>
        <v/>
      </c>
      <c r="K99" s="79" t="str">
        <f t="shared" ca="1" si="10"/>
        <v/>
      </c>
      <c r="L99" s="79" t="str">
        <f t="shared" ca="1" si="11"/>
        <v/>
      </c>
      <c r="M99" s="79" t="str">
        <f t="shared" ca="1" si="12"/>
        <v/>
      </c>
    </row>
    <row r="100" spans="1:13" x14ac:dyDescent="0.2">
      <c r="A100" s="146">
        <v>101</v>
      </c>
      <c r="B100" s="146" t="str">
        <f>VLOOKUP( $A100, Aop!$A$2:$N$415, 2, 0)</f>
        <v>BSp</v>
      </c>
      <c r="C100" s="146">
        <f t="shared" si="13"/>
        <v>2</v>
      </c>
      <c r="D100" s="146" t="str">
        <f t="shared" si="14"/>
        <v>01494562</v>
      </c>
      <c r="E100" s="146" t="str">
        <f t="shared" si="15"/>
        <v>4400025960001</v>
      </c>
      <c r="F100" s="146" t="b">
        <f t="shared" si="16"/>
        <v>0</v>
      </c>
      <c r="G100" s="190">
        <f t="shared" si="17"/>
        <v>44377</v>
      </c>
      <c r="H100" s="146">
        <f>VLOOKUP( $A100, Aop!$A$2:$N$415, 4, 0)</f>
        <v>133</v>
      </c>
      <c r="I100" s="146">
        <f t="shared" si="18"/>
        <v>2021</v>
      </c>
      <c r="J100" s="79" t="str">
        <f t="shared" ca="1" si="19"/>
        <v/>
      </c>
      <c r="K100" s="79" t="str">
        <f t="shared" ca="1" si="10"/>
        <v/>
      </c>
      <c r="L100" s="79">
        <f t="shared" ca="1" si="11"/>
        <v>5128122</v>
      </c>
      <c r="M100" s="79">
        <f t="shared" ca="1" si="12"/>
        <v>5266089</v>
      </c>
    </row>
    <row r="101" spans="1:13" x14ac:dyDescent="0.2">
      <c r="A101" s="146">
        <v>102</v>
      </c>
      <c r="B101" s="146" t="str">
        <f>VLOOKUP( $A101, Aop!$A$2:$N$415, 2, 0)</f>
        <v>BSp</v>
      </c>
      <c r="C101" s="146">
        <f t="shared" si="13"/>
        <v>2</v>
      </c>
      <c r="D101" s="146" t="str">
        <f t="shared" si="14"/>
        <v>01494562</v>
      </c>
      <c r="E101" s="146" t="str">
        <f t="shared" si="15"/>
        <v>4400025960001</v>
      </c>
      <c r="F101" s="146" t="b">
        <f t="shared" si="16"/>
        <v>0</v>
      </c>
      <c r="G101" s="190">
        <f t="shared" si="17"/>
        <v>44377</v>
      </c>
      <c r="H101" s="146">
        <f>VLOOKUP( $A101, Aop!$A$2:$N$415, 4, 0)</f>
        <v>134</v>
      </c>
      <c r="I101" s="146">
        <f t="shared" si="18"/>
        <v>2021</v>
      </c>
      <c r="J101" s="79" t="str">
        <f t="shared" ca="1" si="19"/>
        <v/>
      </c>
      <c r="K101" s="79" t="str">
        <f t="shared" ca="1" si="10"/>
        <v/>
      </c>
      <c r="L101" s="79">
        <f t="shared" ca="1" si="11"/>
        <v>6323101</v>
      </c>
      <c r="M101" s="79">
        <f t="shared" ca="1" si="12"/>
        <v>6635376</v>
      </c>
    </row>
    <row r="102" spans="1:13" x14ac:dyDescent="0.2">
      <c r="A102" s="146">
        <v>103</v>
      </c>
      <c r="B102" s="146" t="str">
        <f>VLOOKUP( $A102, Aop!$A$2:$N$415, 2, 0)</f>
        <v>BSp</v>
      </c>
      <c r="C102" s="146">
        <f t="shared" si="13"/>
        <v>2</v>
      </c>
      <c r="D102" s="146" t="str">
        <f t="shared" si="14"/>
        <v>01494562</v>
      </c>
      <c r="E102" s="146" t="str">
        <f t="shared" si="15"/>
        <v>4400025960001</v>
      </c>
      <c r="F102" s="146" t="b">
        <f t="shared" si="16"/>
        <v>0</v>
      </c>
      <c r="G102" s="190">
        <f t="shared" si="17"/>
        <v>44377</v>
      </c>
      <c r="H102" s="146">
        <f>VLOOKUP( $A102, Aop!$A$2:$N$415, 4, 0)</f>
        <v>135</v>
      </c>
      <c r="I102" s="146">
        <f t="shared" si="18"/>
        <v>2021</v>
      </c>
      <c r="J102" s="79" t="str">
        <f t="shared" ca="1" si="19"/>
        <v/>
      </c>
      <c r="K102" s="79" t="str">
        <f t="shared" ca="1" si="10"/>
        <v/>
      </c>
      <c r="L102" s="79">
        <f t="shared" ca="1" si="11"/>
        <v>344526033</v>
      </c>
      <c r="M102" s="79">
        <f t="shared" ca="1" si="12"/>
        <v>343812320</v>
      </c>
    </row>
    <row r="103" spans="1:13" x14ac:dyDescent="0.2">
      <c r="A103" s="146">
        <v>104</v>
      </c>
      <c r="B103" s="146" t="str">
        <f>VLOOKUP( $A103, Aop!$A$2:$N$415, 2, 0)</f>
        <v>BSp</v>
      </c>
      <c r="C103" s="146">
        <f t="shared" si="13"/>
        <v>2</v>
      </c>
      <c r="D103" s="146" t="str">
        <f t="shared" si="14"/>
        <v>01494562</v>
      </c>
      <c r="E103" s="146" t="str">
        <f t="shared" si="15"/>
        <v>4400025960001</v>
      </c>
      <c r="F103" s="146" t="b">
        <f t="shared" si="16"/>
        <v>0</v>
      </c>
      <c r="G103" s="190">
        <f t="shared" si="17"/>
        <v>44377</v>
      </c>
      <c r="H103" s="146">
        <f>VLOOKUP( $A103, Aop!$A$2:$N$415, 4, 0)</f>
        <v>136</v>
      </c>
      <c r="I103" s="146">
        <f t="shared" si="18"/>
        <v>2021</v>
      </c>
      <c r="J103" s="79" t="str">
        <f t="shared" ca="1" si="19"/>
        <v/>
      </c>
      <c r="K103" s="79" t="str">
        <f t="shared" ca="1" si="10"/>
        <v/>
      </c>
      <c r="L103" s="79">
        <f t="shared" ca="1" si="11"/>
        <v>81599342</v>
      </c>
      <c r="M103" s="79">
        <f t="shared" ca="1" si="12"/>
        <v>81266263</v>
      </c>
    </row>
    <row r="104" spans="1:13" x14ac:dyDescent="0.2">
      <c r="A104" s="146">
        <v>105</v>
      </c>
      <c r="B104" s="146" t="str">
        <f>VLOOKUP( $A104, Aop!$A$2:$N$415, 2, 0)</f>
        <v>BSp</v>
      </c>
      <c r="C104" s="146">
        <f t="shared" si="13"/>
        <v>2</v>
      </c>
      <c r="D104" s="146" t="str">
        <f t="shared" si="14"/>
        <v>01494562</v>
      </c>
      <c r="E104" s="146" t="str">
        <f t="shared" si="15"/>
        <v>4400025960001</v>
      </c>
      <c r="F104" s="146" t="b">
        <f t="shared" si="16"/>
        <v>0</v>
      </c>
      <c r="G104" s="190">
        <f t="shared" si="17"/>
        <v>44377</v>
      </c>
      <c r="H104" s="146">
        <f>VLOOKUP( $A104, Aop!$A$2:$N$415, 4, 0)</f>
        <v>137</v>
      </c>
      <c r="I104" s="146">
        <f t="shared" si="18"/>
        <v>2021</v>
      </c>
      <c r="J104" s="79" t="str">
        <f t="shared" ca="1" si="19"/>
        <v/>
      </c>
      <c r="K104" s="79" t="str">
        <f t="shared" ca="1" si="10"/>
        <v/>
      </c>
      <c r="L104" s="79" t="str">
        <f t="shared" ca="1" si="11"/>
        <v/>
      </c>
      <c r="M104" s="79" t="str">
        <f t="shared" ca="1" si="12"/>
        <v/>
      </c>
    </row>
    <row r="105" spans="1:13" x14ac:dyDescent="0.2">
      <c r="A105" s="146">
        <v>106</v>
      </c>
      <c r="B105" s="146" t="str">
        <f>VLOOKUP( $A105, Aop!$A$2:$N$415, 2, 0)</f>
        <v>BSp</v>
      </c>
      <c r="C105" s="146">
        <f t="shared" si="13"/>
        <v>2</v>
      </c>
      <c r="D105" s="146" t="str">
        <f t="shared" si="14"/>
        <v>01494562</v>
      </c>
      <c r="E105" s="146" t="str">
        <f t="shared" si="15"/>
        <v>4400025960001</v>
      </c>
      <c r="F105" s="146" t="b">
        <f t="shared" si="16"/>
        <v>0</v>
      </c>
      <c r="G105" s="190">
        <f t="shared" si="17"/>
        <v>44377</v>
      </c>
      <c r="H105" s="146">
        <f>VLOOKUP( $A105, Aop!$A$2:$N$415, 4, 0)</f>
        <v>138</v>
      </c>
      <c r="I105" s="146">
        <f t="shared" si="18"/>
        <v>2021</v>
      </c>
      <c r="J105" s="79" t="str">
        <f t="shared" ca="1" si="19"/>
        <v/>
      </c>
      <c r="K105" s="79" t="str">
        <f t="shared" ca="1" si="10"/>
        <v/>
      </c>
      <c r="L105" s="79" t="str">
        <f t="shared" ca="1" si="11"/>
        <v/>
      </c>
      <c r="M105" s="79" t="str">
        <f t="shared" ca="1" si="12"/>
        <v/>
      </c>
    </row>
    <row r="106" spans="1:13" x14ac:dyDescent="0.2">
      <c r="A106" s="146">
        <v>107</v>
      </c>
      <c r="B106" s="146" t="str">
        <f>VLOOKUP( $A106, Aop!$A$2:$N$415, 2, 0)</f>
        <v>BSp</v>
      </c>
      <c r="C106" s="146">
        <f t="shared" si="13"/>
        <v>2</v>
      </c>
      <c r="D106" s="146" t="str">
        <f t="shared" si="14"/>
        <v>01494562</v>
      </c>
      <c r="E106" s="146" t="str">
        <f t="shared" si="15"/>
        <v>4400025960001</v>
      </c>
      <c r="F106" s="146" t="b">
        <f t="shared" si="16"/>
        <v>0</v>
      </c>
      <c r="G106" s="190">
        <f t="shared" si="17"/>
        <v>44377</v>
      </c>
      <c r="H106" s="146">
        <f>VLOOKUP( $A106, Aop!$A$2:$N$415, 4, 0)</f>
        <v>139</v>
      </c>
      <c r="I106" s="146">
        <f t="shared" si="18"/>
        <v>2021</v>
      </c>
      <c r="J106" s="79" t="str">
        <f t="shared" ca="1" si="19"/>
        <v/>
      </c>
      <c r="K106" s="79" t="str">
        <f t="shared" ca="1" si="10"/>
        <v/>
      </c>
      <c r="L106" s="79" t="str">
        <f t="shared" ca="1" si="11"/>
        <v/>
      </c>
      <c r="M106" s="79" t="str">
        <f t="shared" ca="1" si="12"/>
        <v/>
      </c>
    </row>
    <row r="107" spans="1:13" x14ac:dyDescent="0.2">
      <c r="A107" s="146">
        <v>108</v>
      </c>
      <c r="B107" s="146" t="str">
        <f>VLOOKUP( $A107, Aop!$A$2:$N$415, 2, 0)</f>
        <v>BSp</v>
      </c>
      <c r="C107" s="146">
        <f t="shared" si="13"/>
        <v>2</v>
      </c>
      <c r="D107" s="146" t="str">
        <f t="shared" si="14"/>
        <v>01494562</v>
      </c>
      <c r="E107" s="146" t="str">
        <f t="shared" si="15"/>
        <v>4400025960001</v>
      </c>
      <c r="F107" s="146" t="b">
        <f t="shared" si="16"/>
        <v>0</v>
      </c>
      <c r="G107" s="190">
        <f t="shared" si="17"/>
        <v>44377</v>
      </c>
      <c r="H107" s="146">
        <f>VLOOKUP( $A107, Aop!$A$2:$N$415, 4, 0)</f>
        <v>140</v>
      </c>
      <c r="I107" s="146">
        <f t="shared" si="18"/>
        <v>2021</v>
      </c>
      <c r="J107" s="79" t="str">
        <f t="shared" ca="1" si="19"/>
        <v/>
      </c>
      <c r="K107" s="79" t="str">
        <f t="shared" ca="1" si="10"/>
        <v/>
      </c>
      <c r="L107" s="79">
        <f t="shared" ca="1" si="11"/>
        <v>81599342</v>
      </c>
      <c r="M107" s="79">
        <f t="shared" ca="1" si="12"/>
        <v>81266263</v>
      </c>
    </row>
    <row r="108" spans="1:13" x14ac:dyDescent="0.2">
      <c r="A108" s="146">
        <v>109</v>
      </c>
      <c r="B108" s="146" t="str">
        <f>VLOOKUP( $A108, Aop!$A$2:$N$415, 2, 0)</f>
        <v>BSp</v>
      </c>
      <c r="C108" s="146">
        <f t="shared" si="13"/>
        <v>2</v>
      </c>
      <c r="D108" s="146" t="str">
        <f t="shared" si="14"/>
        <v>01494562</v>
      </c>
      <c r="E108" s="146" t="str">
        <f t="shared" si="15"/>
        <v>4400025960001</v>
      </c>
      <c r="F108" s="146" t="b">
        <f t="shared" si="16"/>
        <v>0</v>
      </c>
      <c r="G108" s="190">
        <f t="shared" si="17"/>
        <v>44377</v>
      </c>
      <c r="H108" s="146">
        <f>VLOOKUP( $A108, Aop!$A$2:$N$415, 4, 0)</f>
        <v>141</v>
      </c>
      <c r="I108" s="146">
        <f t="shared" si="18"/>
        <v>2021</v>
      </c>
      <c r="J108" s="79" t="str">
        <f t="shared" ca="1" si="19"/>
        <v/>
      </c>
      <c r="K108" s="79" t="str">
        <f t="shared" ca="1" si="10"/>
        <v/>
      </c>
      <c r="L108" s="79" t="str">
        <f t="shared" ca="1" si="11"/>
        <v/>
      </c>
      <c r="M108" s="79" t="str">
        <f t="shared" ca="1" si="12"/>
        <v/>
      </c>
    </row>
    <row r="109" spans="1:13" x14ac:dyDescent="0.2">
      <c r="A109" s="146">
        <v>110</v>
      </c>
      <c r="B109" s="146" t="str">
        <f>VLOOKUP( $A109, Aop!$A$2:$N$415, 2, 0)</f>
        <v>BSp</v>
      </c>
      <c r="C109" s="146">
        <f t="shared" si="13"/>
        <v>2</v>
      </c>
      <c r="D109" s="146" t="str">
        <f t="shared" si="14"/>
        <v>01494562</v>
      </c>
      <c r="E109" s="146" t="str">
        <f t="shared" si="15"/>
        <v>4400025960001</v>
      </c>
      <c r="F109" s="146" t="b">
        <f t="shared" si="16"/>
        <v>0</v>
      </c>
      <c r="G109" s="190">
        <f t="shared" si="17"/>
        <v>44377</v>
      </c>
      <c r="H109" s="146">
        <f>VLOOKUP( $A109, Aop!$A$2:$N$415, 4, 0)</f>
        <v>142</v>
      </c>
      <c r="I109" s="146">
        <f t="shared" si="18"/>
        <v>2021</v>
      </c>
      <c r="J109" s="79" t="str">
        <f t="shared" ca="1" si="19"/>
        <v/>
      </c>
      <c r="K109" s="79" t="str">
        <f t="shared" ca="1" si="10"/>
        <v/>
      </c>
      <c r="L109" s="79" t="str">
        <f t="shared" ca="1" si="11"/>
        <v/>
      </c>
      <c r="M109" s="79" t="str">
        <f t="shared" ca="1" si="12"/>
        <v/>
      </c>
    </row>
    <row r="110" spans="1:13" x14ac:dyDescent="0.2">
      <c r="A110" s="146">
        <v>111</v>
      </c>
      <c r="B110" s="146" t="str">
        <f>VLOOKUP( $A110, Aop!$A$2:$N$415, 2, 0)</f>
        <v>BSp</v>
      </c>
      <c r="C110" s="146">
        <f t="shared" si="13"/>
        <v>2</v>
      </c>
      <c r="D110" s="146" t="str">
        <f t="shared" si="14"/>
        <v>01494562</v>
      </c>
      <c r="E110" s="146" t="str">
        <f t="shared" si="15"/>
        <v>4400025960001</v>
      </c>
      <c r="F110" s="146" t="b">
        <f t="shared" si="16"/>
        <v>0</v>
      </c>
      <c r="G110" s="190">
        <f t="shared" si="17"/>
        <v>44377</v>
      </c>
      <c r="H110" s="146">
        <f>VLOOKUP( $A110, Aop!$A$2:$N$415, 4, 0)</f>
        <v>143</v>
      </c>
      <c r="I110" s="146">
        <f t="shared" si="18"/>
        <v>2021</v>
      </c>
      <c r="J110" s="79" t="str">
        <f t="shared" ca="1" si="19"/>
        <v/>
      </c>
      <c r="K110" s="79" t="str">
        <f t="shared" ca="1" si="10"/>
        <v/>
      </c>
      <c r="L110" s="79" t="str">
        <f t="shared" ca="1" si="11"/>
        <v/>
      </c>
      <c r="M110" s="79" t="str">
        <f t="shared" ca="1" si="12"/>
        <v/>
      </c>
    </row>
    <row r="111" spans="1:13" x14ac:dyDescent="0.2">
      <c r="A111" s="146">
        <v>112</v>
      </c>
      <c r="B111" s="146" t="str">
        <f>VLOOKUP( $A111, Aop!$A$2:$N$415, 2, 0)</f>
        <v>BSp</v>
      </c>
      <c r="C111" s="146">
        <f t="shared" si="13"/>
        <v>2</v>
      </c>
      <c r="D111" s="146" t="str">
        <f t="shared" si="14"/>
        <v>01494562</v>
      </c>
      <c r="E111" s="146" t="str">
        <f t="shared" si="15"/>
        <v>4400025960001</v>
      </c>
      <c r="F111" s="146" t="b">
        <f t="shared" si="16"/>
        <v>0</v>
      </c>
      <c r="G111" s="190">
        <f t="shared" si="17"/>
        <v>44377</v>
      </c>
      <c r="H111" s="146">
        <f>VLOOKUP( $A111, Aop!$A$2:$N$415, 4, 0)</f>
        <v>144</v>
      </c>
      <c r="I111" s="146">
        <f t="shared" si="18"/>
        <v>2021</v>
      </c>
      <c r="J111" s="79" t="str">
        <f t="shared" ca="1" si="19"/>
        <v/>
      </c>
      <c r="K111" s="79" t="str">
        <f t="shared" ca="1" si="10"/>
        <v/>
      </c>
      <c r="L111" s="79">
        <f t="shared" ca="1" si="11"/>
        <v>262926691</v>
      </c>
      <c r="M111" s="79">
        <f t="shared" ca="1" si="12"/>
        <v>262546057</v>
      </c>
    </row>
    <row r="112" spans="1:13" x14ac:dyDescent="0.2">
      <c r="A112" s="146">
        <v>113</v>
      </c>
      <c r="B112" s="146" t="str">
        <f>VLOOKUP( $A112, Aop!$A$2:$N$415, 2, 0)</f>
        <v>BSp</v>
      </c>
      <c r="C112" s="146">
        <f t="shared" si="13"/>
        <v>2</v>
      </c>
      <c r="D112" s="146" t="str">
        <f t="shared" si="14"/>
        <v>01494562</v>
      </c>
      <c r="E112" s="146" t="str">
        <f t="shared" si="15"/>
        <v>4400025960001</v>
      </c>
      <c r="F112" s="146" t="b">
        <f t="shared" si="16"/>
        <v>0</v>
      </c>
      <c r="G112" s="190">
        <f t="shared" si="17"/>
        <v>44377</v>
      </c>
      <c r="H112" s="146">
        <f>VLOOKUP( $A112, Aop!$A$2:$N$415, 4, 0)</f>
        <v>145</v>
      </c>
      <c r="I112" s="146">
        <f t="shared" si="18"/>
        <v>2021</v>
      </c>
      <c r="J112" s="79" t="str">
        <f t="shared" ca="1" si="19"/>
        <v/>
      </c>
      <c r="K112" s="79" t="str">
        <f t="shared" ca="1" si="10"/>
        <v/>
      </c>
      <c r="L112" s="79">
        <f t="shared" ca="1" si="11"/>
        <v>252590492</v>
      </c>
      <c r="M112" s="79">
        <f t="shared" ca="1" si="12"/>
        <v>252555870</v>
      </c>
    </row>
    <row r="113" spans="1:13" x14ac:dyDescent="0.2">
      <c r="A113" s="146">
        <v>114</v>
      </c>
      <c r="B113" s="146" t="str">
        <f>VLOOKUP( $A113, Aop!$A$2:$N$415, 2, 0)</f>
        <v>BSp</v>
      </c>
      <c r="C113" s="146">
        <f t="shared" si="13"/>
        <v>2</v>
      </c>
      <c r="D113" s="146" t="str">
        <f t="shared" si="14"/>
        <v>01494562</v>
      </c>
      <c r="E113" s="146" t="str">
        <f t="shared" si="15"/>
        <v>4400025960001</v>
      </c>
      <c r="F113" s="146" t="b">
        <f t="shared" si="16"/>
        <v>0</v>
      </c>
      <c r="G113" s="190">
        <f t="shared" si="17"/>
        <v>44377</v>
      </c>
      <c r="H113" s="146">
        <f>VLOOKUP( $A113, Aop!$A$2:$N$415, 4, 0)</f>
        <v>146</v>
      </c>
      <c r="I113" s="146">
        <f t="shared" si="18"/>
        <v>2021</v>
      </c>
      <c r="J113" s="79" t="str">
        <f t="shared" ca="1" si="19"/>
        <v/>
      </c>
      <c r="K113" s="79" t="str">
        <f t="shared" ca="1" si="10"/>
        <v/>
      </c>
      <c r="L113" s="79" t="str">
        <f t="shared" ca="1" si="11"/>
        <v/>
      </c>
      <c r="M113" s="79" t="str">
        <f t="shared" ca="1" si="12"/>
        <v/>
      </c>
    </row>
    <row r="114" spans="1:13" x14ac:dyDescent="0.2">
      <c r="A114" s="146">
        <v>115</v>
      </c>
      <c r="B114" s="146" t="str">
        <f>VLOOKUP( $A114, Aop!$A$2:$N$415, 2, 0)</f>
        <v>BSp</v>
      </c>
      <c r="C114" s="146">
        <f t="shared" si="13"/>
        <v>2</v>
      </c>
      <c r="D114" s="146" t="str">
        <f t="shared" si="14"/>
        <v>01494562</v>
      </c>
      <c r="E114" s="146" t="str">
        <f t="shared" si="15"/>
        <v>4400025960001</v>
      </c>
      <c r="F114" s="146" t="b">
        <f t="shared" si="16"/>
        <v>0</v>
      </c>
      <c r="G114" s="190">
        <f t="shared" si="17"/>
        <v>44377</v>
      </c>
      <c r="H114" s="146">
        <f>VLOOKUP( $A114, Aop!$A$2:$N$415, 4, 0)</f>
        <v>147</v>
      </c>
      <c r="I114" s="146">
        <f t="shared" si="18"/>
        <v>2021</v>
      </c>
      <c r="J114" s="79" t="str">
        <f t="shared" ca="1" si="19"/>
        <v/>
      </c>
      <c r="K114" s="79" t="str">
        <f t="shared" ca="1" si="10"/>
        <v/>
      </c>
      <c r="L114" s="79">
        <f t="shared" ca="1" si="11"/>
        <v>8737054</v>
      </c>
      <c r="M114" s="79">
        <f t="shared" ca="1" si="12"/>
        <v>15525561</v>
      </c>
    </row>
    <row r="115" spans="1:13" x14ac:dyDescent="0.2">
      <c r="A115" s="146">
        <v>116</v>
      </c>
      <c r="B115" s="146" t="str">
        <f>VLOOKUP( $A115, Aop!$A$2:$N$415, 2, 0)</f>
        <v>BSp</v>
      </c>
      <c r="C115" s="146">
        <f t="shared" si="13"/>
        <v>2</v>
      </c>
      <c r="D115" s="146" t="str">
        <f t="shared" si="14"/>
        <v>01494562</v>
      </c>
      <c r="E115" s="146" t="str">
        <f t="shared" si="15"/>
        <v>4400025960001</v>
      </c>
      <c r="F115" s="146" t="b">
        <f t="shared" si="16"/>
        <v>0</v>
      </c>
      <c r="G115" s="190">
        <f t="shared" si="17"/>
        <v>44377</v>
      </c>
      <c r="H115" s="146">
        <f>VLOOKUP( $A115, Aop!$A$2:$N$415, 4, 0)</f>
        <v>148</v>
      </c>
      <c r="I115" s="146">
        <f t="shared" si="18"/>
        <v>2021</v>
      </c>
      <c r="J115" s="79" t="str">
        <f t="shared" ca="1" si="19"/>
        <v/>
      </c>
      <c r="K115" s="79" t="str">
        <f t="shared" ca="1" si="10"/>
        <v/>
      </c>
      <c r="L115" s="79" t="str">
        <f t="shared" ca="1" si="11"/>
        <v/>
      </c>
      <c r="M115" s="79" t="str">
        <f t="shared" ca="1" si="12"/>
        <v/>
      </c>
    </row>
    <row r="116" spans="1:13" x14ac:dyDescent="0.2">
      <c r="A116" s="146">
        <v>117</v>
      </c>
      <c r="B116" s="146" t="str">
        <f>VLOOKUP( $A116, Aop!$A$2:$N$415, 2, 0)</f>
        <v>BSp</v>
      </c>
      <c r="C116" s="146">
        <f t="shared" si="13"/>
        <v>2</v>
      </c>
      <c r="D116" s="146" t="str">
        <f t="shared" si="14"/>
        <v>01494562</v>
      </c>
      <c r="E116" s="146" t="str">
        <f t="shared" si="15"/>
        <v>4400025960001</v>
      </c>
      <c r="F116" s="146" t="b">
        <f t="shared" si="16"/>
        <v>0</v>
      </c>
      <c r="G116" s="190">
        <f t="shared" si="17"/>
        <v>44377</v>
      </c>
      <c r="H116" s="146">
        <f>VLOOKUP( $A116, Aop!$A$2:$N$415, 4, 0)</f>
        <v>149</v>
      </c>
      <c r="I116" s="146">
        <f t="shared" si="18"/>
        <v>2021</v>
      </c>
      <c r="J116" s="79" t="str">
        <f t="shared" ca="1" si="19"/>
        <v/>
      </c>
      <c r="K116" s="79" t="str">
        <f t="shared" ca="1" si="10"/>
        <v/>
      </c>
      <c r="L116" s="79">
        <f t="shared" ca="1" si="11"/>
        <v>243853438</v>
      </c>
      <c r="M116" s="79">
        <f t="shared" ca="1" si="12"/>
        <v>237030309</v>
      </c>
    </row>
    <row r="117" spans="1:13" x14ac:dyDescent="0.2">
      <c r="A117" s="146">
        <v>118</v>
      </c>
      <c r="B117" s="146" t="str">
        <f>VLOOKUP( $A117, Aop!$A$2:$N$415, 2, 0)</f>
        <v>BSp</v>
      </c>
      <c r="C117" s="146">
        <f t="shared" si="13"/>
        <v>2</v>
      </c>
      <c r="D117" s="146" t="str">
        <f t="shared" si="14"/>
        <v>01494562</v>
      </c>
      <c r="E117" s="146" t="str">
        <f t="shared" si="15"/>
        <v>4400025960001</v>
      </c>
      <c r="F117" s="146" t="b">
        <f t="shared" si="16"/>
        <v>0</v>
      </c>
      <c r="G117" s="190">
        <f t="shared" si="17"/>
        <v>44377</v>
      </c>
      <c r="H117" s="146">
        <f>VLOOKUP( $A117, Aop!$A$2:$N$415, 4, 0)</f>
        <v>150</v>
      </c>
      <c r="I117" s="146">
        <f t="shared" si="18"/>
        <v>2021</v>
      </c>
      <c r="J117" s="79" t="str">
        <f t="shared" ca="1" si="19"/>
        <v/>
      </c>
      <c r="K117" s="79" t="str">
        <f t="shared" ca="1" si="10"/>
        <v/>
      </c>
      <c r="L117" s="79">
        <f t="shared" ca="1" si="11"/>
        <v>6051946</v>
      </c>
      <c r="M117" s="79">
        <f t="shared" ca="1" si="12"/>
        <v>5458763</v>
      </c>
    </row>
    <row r="118" spans="1:13" x14ac:dyDescent="0.2">
      <c r="A118" s="146">
        <v>119</v>
      </c>
      <c r="B118" s="146" t="str">
        <f>VLOOKUP( $A118, Aop!$A$2:$N$415, 2, 0)</f>
        <v>BSp</v>
      </c>
      <c r="C118" s="146">
        <f t="shared" si="13"/>
        <v>2</v>
      </c>
      <c r="D118" s="146" t="str">
        <f t="shared" si="14"/>
        <v>01494562</v>
      </c>
      <c r="E118" s="146" t="str">
        <f t="shared" si="15"/>
        <v>4400025960001</v>
      </c>
      <c r="F118" s="146" t="b">
        <f t="shared" si="16"/>
        <v>0</v>
      </c>
      <c r="G118" s="190">
        <f t="shared" si="17"/>
        <v>44377</v>
      </c>
      <c r="H118" s="146">
        <f>VLOOKUP( $A118, Aop!$A$2:$N$415, 4, 0)</f>
        <v>151</v>
      </c>
      <c r="I118" s="146">
        <f t="shared" si="18"/>
        <v>2021</v>
      </c>
      <c r="J118" s="79" t="str">
        <f t="shared" ca="1" si="19"/>
        <v/>
      </c>
      <c r="K118" s="79" t="str">
        <f t="shared" ca="1" si="10"/>
        <v/>
      </c>
      <c r="L118" s="79">
        <f t="shared" ca="1" si="11"/>
        <v>133748</v>
      </c>
      <c r="M118" s="79">
        <f t="shared" ca="1" si="12"/>
        <v>167853</v>
      </c>
    </row>
    <row r="119" spans="1:13" x14ac:dyDescent="0.2">
      <c r="A119" s="146">
        <v>120</v>
      </c>
      <c r="B119" s="146" t="str">
        <f>VLOOKUP( $A119, Aop!$A$2:$N$415, 2, 0)</f>
        <v>BSp</v>
      </c>
      <c r="C119" s="146">
        <f t="shared" si="13"/>
        <v>2</v>
      </c>
      <c r="D119" s="146" t="str">
        <f t="shared" si="14"/>
        <v>01494562</v>
      </c>
      <c r="E119" s="146" t="str">
        <f t="shared" si="15"/>
        <v>4400025960001</v>
      </c>
      <c r="F119" s="146" t="b">
        <f t="shared" si="16"/>
        <v>0</v>
      </c>
      <c r="G119" s="190">
        <f t="shared" si="17"/>
        <v>44377</v>
      </c>
      <c r="H119" s="146">
        <f>VLOOKUP( $A119, Aop!$A$2:$N$415, 4, 0)</f>
        <v>152</v>
      </c>
      <c r="I119" s="146">
        <f t="shared" si="18"/>
        <v>2021</v>
      </c>
      <c r="J119" s="79" t="str">
        <f t="shared" ca="1" si="19"/>
        <v/>
      </c>
      <c r="K119" s="79" t="str">
        <f t="shared" ca="1" si="10"/>
        <v/>
      </c>
      <c r="L119" s="79" t="str">
        <f t="shared" ca="1" si="11"/>
        <v/>
      </c>
      <c r="M119" s="79" t="str">
        <f t="shared" ca="1" si="12"/>
        <v/>
      </c>
    </row>
    <row r="120" spans="1:13" x14ac:dyDescent="0.2">
      <c r="A120" s="146">
        <v>121</v>
      </c>
      <c r="B120" s="146" t="str">
        <f>VLOOKUP( $A120, Aop!$A$2:$N$415, 2, 0)</f>
        <v>BSp</v>
      </c>
      <c r="C120" s="146">
        <f t="shared" si="13"/>
        <v>2</v>
      </c>
      <c r="D120" s="146" t="str">
        <f t="shared" si="14"/>
        <v>01494562</v>
      </c>
      <c r="E120" s="146" t="str">
        <f t="shared" si="15"/>
        <v>4400025960001</v>
      </c>
      <c r="F120" s="146" t="b">
        <f t="shared" si="16"/>
        <v>0</v>
      </c>
      <c r="G120" s="190">
        <f t="shared" si="17"/>
        <v>44377</v>
      </c>
      <c r="H120" s="146">
        <f>VLOOKUP( $A120, Aop!$A$2:$N$415, 4, 0)</f>
        <v>153</v>
      </c>
      <c r="I120" s="146">
        <f t="shared" si="18"/>
        <v>2021</v>
      </c>
      <c r="J120" s="79" t="str">
        <f t="shared" ca="1" si="19"/>
        <v/>
      </c>
      <c r="K120" s="79" t="str">
        <f t="shared" ca="1" si="10"/>
        <v/>
      </c>
      <c r="L120" s="79">
        <f t="shared" ca="1" si="11"/>
        <v>5500649</v>
      </c>
      <c r="M120" s="79">
        <f t="shared" ca="1" si="12"/>
        <v>4567302</v>
      </c>
    </row>
    <row r="121" spans="1:13" x14ac:dyDescent="0.2">
      <c r="A121" s="146">
        <v>122</v>
      </c>
      <c r="B121" s="146" t="str">
        <f>VLOOKUP( $A121, Aop!$A$2:$N$415, 2, 0)</f>
        <v>BSp</v>
      </c>
      <c r="C121" s="146">
        <f t="shared" si="13"/>
        <v>2</v>
      </c>
      <c r="D121" s="146" t="str">
        <f t="shared" si="14"/>
        <v>01494562</v>
      </c>
      <c r="E121" s="146" t="str">
        <f t="shared" si="15"/>
        <v>4400025960001</v>
      </c>
      <c r="F121" s="146" t="b">
        <f t="shared" si="16"/>
        <v>0</v>
      </c>
      <c r="G121" s="190">
        <f t="shared" si="17"/>
        <v>44377</v>
      </c>
      <c r="H121" s="146">
        <f>VLOOKUP( $A121, Aop!$A$2:$N$415, 4, 0)</f>
        <v>154</v>
      </c>
      <c r="I121" s="146">
        <f t="shared" si="18"/>
        <v>2021</v>
      </c>
      <c r="J121" s="79" t="str">
        <f t="shared" ca="1" si="19"/>
        <v/>
      </c>
      <c r="K121" s="79" t="str">
        <f t="shared" ca="1" si="10"/>
        <v/>
      </c>
      <c r="L121" s="79">
        <f t="shared" ca="1" si="11"/>
        <v>417549</v>
      </c>
      <c r="M121" s="79">
        <f t="shared" ca="1" si="12"/>
        <v>723608</v>
      </c>
    </row>
    <row r="122" spans="1:13" x14ac:dyDescent="0.2">
      <c r="A122" s="146">
        <v>123</v>
      </c>
      <c r="B122" s="146" t="str">
        <f>VLOOKUP( $A122, Aop!$A$2:$N$415, 2, 0)</f>
        <v>BSp</v>
      </c>
      <c r="C122" s="146">
        <f t="shared" si="13"/>
        <v>2</v>
      </c>
      <c r="D122" s="146" t="str">
        <f t="shared" si="14"/>
        <v>01494562</v>
      </c>
      <c r="E122" s="146" t="str">
        <f t="shared" si="15"/>
        <v>4400025960001</v>
      </c>
      <c r="F122" s="146" t="b">
        <f t="shared" si="16"/>
        <v>0</v>
      </c>
      <c r="G122" s="190">
        <f t="shared" si="17"/>
        <v>44377</v>
      </c>
      <c r="H122" s="146">
        <f>VLOOKUP( $A122, Aop!$A$2:$N$415, 4, 0)</f>
        <v>155</v>
      </c>
      <c r="I122" s="146">
        <f t="shared" si="18"/>
        <v>2021</v>
      </c>
      <c r="J122" s="79" t="str">
        <f t="shared" ca="1" si="19"/>
        <v/>
      </c>
      <c r="K122" s="79" t="str">
        <f t="shared" ca="1" si="10"/>
        <v/>
      </c>
      <c r="L122" s="79" t="str">
        <f t="shared" ca="1" si="11"/>
        <v/>
      </c>
      <c r="M122" s="79" t="str">
        <f t="shared" ca="1" si="12"/>
        <v/>
      </c>
    </row>
    <row r="123" spans="1:13" x14ac:dyDescent="0.2">
      <c r="A123" s="146">
        <v>124</v>
      </c>
      <c r="B123" s="146" t="str">
        <f>VLOOKUP( $A123, Aop!$A$2:$N$415, 2, 0)</f>
        <v>BSp</v>
      </c>
      <c r="C123" s="146">
        <f t="shared" si="13"/>
        <v>2</v>
      </c>
      <c r="D123" s="146" t="str">
        <f t="shared" si="14"/>
        <v>01494562</v>
      </c>
      <c r="E123" s="146" t="str">
        <f t="shared" si="15"/>
        <v>4400025960001</v>
      </c>
      <c r="F123" s="146" t="b">
        <f t="shared" si="16"/>
        <v>0</v>
      </c>
      <c r="G123" s="190">
        <f t="shared" si="17"/>
        <v>44377</v>
      </c>
      <c r="H123" s="146">
        <f>VLOOKUP( $A123, Aop!$A$2:$N$415, 4, 0)</f>
        <v>156</v>
      </c>
      <c r="I123" s="146">
        <f t="shared" si="18"/>
        <v>2021</v>
      </c>
      <c r="J123" s="79" t="str">
        <f t="shared" ca="1" si="19"/>
        <v/>
      </c>
      <c r="K123" s="79" t="str">
        <f t="shared" ca="1" si="10"/>
        <v/>
      </c>
      <c r="L123" s="79">
        <f t="shared" ca="1" si="11"/>
        <v>11940</v>
      </c>
      <c r="M123" s="79">
        <f t="shared" ca="1" si="12"/>
        <v>11940</v>
      </c>
    </row>
    <row r="124" spans="1:13" x14ac:dyDescent="0.2">
      <c r="A124" s="146">
        <v>125</v>
      </c>
      <c r="B124" s="146" t="str">
        <f>VLOOKUP( $A124, Aop!$A$2:$N$415, 2, 0)</f>
        <v>BSp</v>
      </c>
      <c r="C124" s="146">
        <f t="shared" si="13"/>
        <v>2</v>
      </c>
      <c r="D124" s="146" t="str">
        <f t="shared" si="14"/>
        <v>01494562</v>
      </c>
      <c r="E124" s="146" t="str">
        <f t="shared" si="15"/>
        <v>4400025960001</v>
      </c>
      <c r="F124" s="146" t="b">
        <f t="shared" si="16"/>
        <v>0</v>
      </c>
      <c r="G124" s="190">
        <f t="shared" si="17"/>
        <v>44377</v>
      </c>
      <c r="H124" s="146">
        <f>VLOOKUP( $A124, Aop!$A$2:$N$415, 4, 0)</f>
        <v>157</v>
      </c>
      <c r="I124" s="146">
        <f t="shared" si="18"/>
        <v>2021</v>
      </c>
      <c r="J124" s="79" t="str">
        <f t="shared" ca="1" si="19"/>
        <v/>
      </c>
      <c r="K124" s="79" t="str">
        <f t="shared" ca="1" si="10"/>
        <v/>
      </c>
      <c r="L124" s="79">
        <f t="shared" ca="1" si="11"/>
        <v>3198228</v>
      </c>
      <c r="M124" s="79">
        <f t="shared" ca="1" si="12"/>
        <v>3197413</v>
      </c>
    </row>
    <row r="125" spans="1:13" x14ac:dyDescent="0.2">
      <c r="A125" s="146">
        <v>126</v>
      </c>
      <c r="B125" s="146" t="str">
        <f>VLOOKUP( $A125, Aop!$A$2:$N$415, 2, 0)</f>
        <v>BSp</v>
      </c>
      <c r="C125" s="146">
        <f t="shared" si="13"/>
        <v>2</v>
      </c>
      <c r="D125" s="146" t="str">
        <f t="shared" si="14"/>
        <v>01494562</v>
      </c>
      <c r="E125" s="146" t="str">
        <f t="shared" si="15"/>
        <v>4400025960001</v>
      </c>
      <c r="F125" s="146" t="b">
        <f t="shared" si="16"/>
        <v>0</v>
      </c>
      <c r="G125" s="190">
        <f t="shared" si="17"/>
        <v>44377</v>
      </c>
      <c r="H125" s="146">
        <f>VLOOKUP( $A125, Aop!$A$2:$N$415, 4, 0)</f>
        <v>158</v>
      </c>
      <c r="I125" s="146">
        <f t="shared" si="18"/>
        <v>2021</v>
      </c>
      <c r="J125" s="79" t="str">
        <f t="shared" ca="1" si="19"/>
        <v/>
      </c>
      <c r="K125" s="79" t="str">
        <f t="shared" ca="1" si="10"/>
        <v/>
      </c>
      <c r="L125" s="79">
        <f t="shared" ca="1" si="11"/>
        <v>174187</v>
      </c>
      <c r="M125" s="79">
        <f t="shared" ca="1" si="12"/>
        <v>187260</v>
      </c>
    </row>
    <row r="126" spans="1:13" x14ac:dyDescent="0.2">
      <c r="A126" s="146">
        <v>127</v>
      </c>
      <c r="B126" s="146" t="str">
        <f>VLOOKUP( $A126, Aop!$A$2:$N$415, 2, 0)</f>
        <v>BSp</v>
      </c>
      <c r="C126" s="146">
        <f t="shared" si="13"/>
        <v>2</v>
      </c>
      <c r="D126" s="146" t="str">
        <f t="shared" si="14"/>
        <v>01494562</v>
      </c>
      <c r="E126" s="146" t="str">
        <f t="shared" si="15"/>
        <v>4400025960001</v>
      </c>
      <c r="F126" s="146" t="b">
        <f t="shared" si="16"/>
        <v>0</v>
      </c>
      <c r="G126" s="190">
        <f t="shared" si="17"/>
        <v>44377</v>
      </c>
      <c r="H126" s="146">
        <f>VLOOKUP( $A126, Aop!$A$2:$N$415, 4, 0)</f>
        <v>159</v>
      </c>
      <c r="I126" s="146">
        <f t="shared" si="18"/>
        <v>2021</v>
      </c>
      <c r="J126" s="79" t="str">
        <f t="shared" ca="1" si="19"/>
        <v/>
      </c>
      <c r="K126" s="79" t="str">
        <f t="shared" ca="1" si="10"/>
        <v/>
      </c>
      <c r="L126" s="79">
        <f t="shared" ca="1" si="11"/>
        <v>69796</v>
      </c>
      <c r="M126" s="79">
        <f t="shared" ca="1" si="12"/>
        <v>346506</v>
      </c>
    </row>
    <row r="127" spans="1:13" x14ac:dyDescent="0.2">
      <c r="A127" s="146">
        <v>128</v>
      </c>
      <c r="B127" s="146" t="str">
        <f>VLOOKUP( $A127, Aop!$A$2:$N$415, 2, 0)</f>
        <v>BSp</v>
      </c>
      <c r="C127" s="146">
        <f t="shared" si="13"/>
        <v>2</v>
      </c>
      <c r="D127" s="146" t="str">
        <f t="shared" si="14"/>
        <v>01494562</v>
      </c>
      <c r="E127" s="146" t="str">
        <f t="shared" si="15"/>
        <v>4400025960001</v>
      </c>
      <c r="F127" s="146" t="b">
        <f t="shared" si="16"/>
        <v>0</v>
      </c>
      <c r="G127" s="190">
        <f t="shared" si="17"/>
        <v>44377</v>
      </c>
      <c r="H127" s="146">
        <f>VLOOKUP( $A127, Aop!$A$2:$N$415, 4, 0)</f>
        <v>160</v>
      </c>
      <c r="I127" s="146">
        <f t="shared" si="18"/>
        <v>2021</v>
      </c>
      <c r="J127" s="79" t="str">
        <f t="shared" ca="1" si="19"/>
        <v/>
      </c>
      <c r="K127" s="79" t="str">
        <f t="shared" ca="1" si="10"/>
        <v/>
      </c>
      <c r="L127" s="79">
        <f t="shared" ca="1" si="11"/>
        <v>69222</v>
      </c>
      <c r="M127" s="79">
        <f t="shared" ca="1" si="12"/>
        <v>77074</v>
      </c>
    </row>
    <row r="128" spans="1:13" x14ac:dyDescent="0.2">
      <c r="A128" s="146">
        <v>129</v>
      </c>
      <c r="B128" s="79" t="str">
        <f>VLOOKUP( $A128, Aop!$A$2:$N$415, 2, 0)</f>
        <v>BSp</v>
      </c>
      <c r="C128" s="79">
        <f>ID_Izvjestaj</f>
        <v>2</v>
      </c>
      <c r="D128" s="79" t="str">
        <f>Podatak_MB</f>
        <v>01494562</v>
      </c>
      <c r="E128" s="79" t="str">
        <f>Podatak_JIB</f>
        <v>4400025960001</v>
      </c>
      <c r="F128" s="79" t="b">
        <f>Konsolidovan_izvjestaj</f>
        <v>0</v>
      </c>
      <c r="G128" s="190">
        <f>Datum_Broj</f>
        <v>44377</v>
      </c>
      <c r="H128" s="79">
        <f>VLOOKUP( $A128, Aop!$A$2:$N$415, 4, 0)</f>
        <v>161</v>
      </c>
      <c r="I128" s="79">
        <f>Godina</f>
        <v>2021</v>
      </c>
      <c r="J128" s="79" t="str">
        <f t="shared" ca="1" si="19"/>
        <v/>
      </c>
      <c r="K128" s="79" t="str">
        <f t="shared" ca="1" si="10"/>
        <v/>
      </c>
      <c r="L128" s="79" t="str">
        <f t="shared" ca="1" si="11"/>
        <v/>
      </c>
      <c r="M128" s="79" t="str">
        <f t="shared" ca="1" si="12"/>
        <v/>
      </c>
    </row>
    <row r="129" spans="1:13" x14ac:dyDescent="0.2">
      <c r="A129" s="146">
        <v>130</v>
      </c>
      <c r="B129" s="146" t="str">
        <f>VLOOKUP( $A129, Aop!$A$2:$N$415, 2, 0)</f>
        <v>BSp</v>
      </c>
      <c r="C129" s="79">
        <f t="shared" si="13"/>
        <v>2</v>
      </c>
      <c r="D129" s="79" t="str">
        <f t="shared" ref="D129:D188" si="20">Podatak_MB</f>
        <v>01494562</v>
      </c>
      <c r="E129" s="79" t="str">
        <f t="shared" ref="E129:E188" si="21">Podatak_JIB</f>
        <v>4400025960001</v>
      </c>
      <c r="F129" s="79" t="b">
        <f t="shared" si="16"/>
        <v>0</v>
      </c>
      <c r="G129" s="190">
        <f t="shared" si="17"/>
        <v>44377</v>
      </c>
      <c r="H129" s="146">
        <f>VLOOKUP( $A129, Aop!$A$2:$N$415, 4, 0)</f>
        <v>162</v>
      </c>
      <c r="I129" s="79">
        <f t="shared" ref="I129:I188" si="22">Godina</f>
        <v>2021</v>
      </c>
      <c r="J129" s="79" t="str">
        <f t="shared" ca="1" si="19"/>
        <v/>
      </c>
      <c r="K129" s="79" t="str">
        <f t="shared" ca="1" si="10"/>
        <v/>
      </c>
      <c r="L129" s="79">
        <f t="shared" ca="1" si="11"/>
        <v>760880</v>
      </c>
      <c r="M129" s="79">
        <f t="shared" ca="1" si="12"/>
        <v>711231</v>
      </c>
    </row>
    <row r="130" spans="1:13" x14ac:dyDescent="0.2">
      <c r="A130" s="146">
        <v>131</v>
      </c>
      <c r="B130" s="146" t="str">
        <f>VLOOKUP( $A130, Aop!$A$2:$N$415, 2, 0)</f>
        <v>BSp</v>
      </c>
      <c r="C130" s="79">
        <f t="shared" ref="C130:C189" si="23">ID_Izvjestaj</f>
        <v>2</v>
      </c>
      <c r="D130" s="79" t="str">
        <f t="shared" si="20"/>
        <v>01494562</v>
      </c>
      <c r="E130" s="79" t="str">
        <f t="shared" si="21"/>
        <v>4400025960001</v>
      </c>
      <c r="F130" s="79" t="b">
        <f t="shared" ref="F130:F189" si="24">Konsolidovan_izvjestaj</f>
        <v>0</v>
      </c>
      <c r="G130" s="190">
        <f t="shared" ref="G130:G189" si="25">Datum_Broj</f>
        <v>44377</v>
      </c>
      <c r="H130" s="146">
        <f>VLOOKUP( $A130, Aop!$A$2:$N$415, 4, 0)</f>
        <v>163</v>
      </c>
      <c r="I130" s="79">
        <f t="shared" si="22"/>
        <v>2021</v>
      </c>
      <c r="J130" s="79" t="str">
        <f t="shared" ca="1" si="19"/>
        <v/>
      </c>
      <c r="K130" s="79" t="str">
        <f t="shared" ref="K130:K133" ca="1" si="26">IF( VLOOKUP( $H130, INDIRECT( "Lookup_" &amp; $B130), IF( LEFT( $B130, 2) = "BS", Q$2, Q$1), 0) = "", "", VLOOKUP( $H130, INDIRECT( "Lookup_" &amp; $B130), IF( $B130 = "BSa", Q$2, Q$1), 0))</f>
        <v/>
      </c>
      <c r="L130" s="79" t="str">
        <f t="shared" ref="L130:L193" ca="1" si="27">IF( VLOOKUP( $H130, INDIRECT( "Lookup_" &amp; $B130), IF( LEFT( $B130, 2) = "BS", R$2, R$1), 0) = "", "", VLOOKUP( $H130, INDIRECT( "Lookup_" &amp; $B130), IF( LEFT( $B130, 2) = "BS", R$2, R$1), 0))</f>
        <v/>
      </c>
      <c r="M130" s="79" t="str">
        <f t="shared" ref="M130:M193" ca="1" si="28">IF( VLOOKUP( $H130, INDIRECT( "Lookup_" &amp; $B130), IF( LEFT( $B130, 2) = "BS", S$2, S$1), 0) = "", "", VLOOKUP( $H130, INDIRECT( "Lookup_" &amp; $B130), IF( LEFT( $B130, 2) = "BS", S$2, S$1), 0))</f>
        <v/>
      </c>
    </row>
    <row r="131" spans="1:13" x14ac:dyDescent="0.2">
      <c r="A131" s="146">
        <v>132</v>
      </c>
      <c r="B131" s="146" t="str">
        <f>VLOOKUP( $A131, Aop!$A$2:$N$415, 2, 0)</f>
        <v>BSp</v>
      </c>
      <c r="C131" s="79">
        <f t="shared" si="23"/>
        <v>2</v>
      </c>
      <c r="D131" s="79" t="str">
        <f t="shared" si="20"/>
        <v>01494562</v>
      </c>
      <c r="E131" s="79" t="str">
        <f t="shared" si="21"/>
        <v>4400025960001</v>
      </c>
      <c r="F131" s="79" t="b">
        <f t="shared" si="24"/>
        <v>0</v>
      </c>
      <c r="G131" s="190">
        <f t="shared" si="25"/>
        <v>44377</v>
      </c>
      <c r="H131" s="146">
        <f>VLOOKUP( $A131, Aop!$A$2:$N$415, 4, 0)</f>
        <v>164</v>
      </c>
      <c r="I131" s="79">
        <f t="shared" si="22"/>
        <v>2021</v>
      </c>
      <c r="J131" s="79" t="str">
        <f t="shared" ref="J131:J133" ca="1" si="29">IF( VLOOKUP( $H131, INDIRECT( "Lookup_" &amp; $B131), IF( LEFT( $B131, 2) = "BS", P$2, P$1), 0) = "", "", VLOOKUP( $H131, INDIRECT( "Lookup_" &amp; $B131), IF( $B131 = "BSa", P$2, P$1), 0))</f>
        <v/>
      </c>
      <c r="K131" s="79" t="str">
        <f t="shared" ca="1" si="26"/>
        <v/>
      </c>
      <c r="L131" s="79">
        <f t="shared" ca="1" si="27"/>
        <v>478093457</v>
      </c>
      <c r="M131" s="79">
        <f t="shared" ca="1" si="28"/>
        <v>482287949</v>
      </c>
    </row>
    <row r="132" spans="1:13" x14ac:dyDescent="0.2">
      <c r="A132" s="146">
        <v>133</v>
      </c>
      <c r="B132" s="146" t="str">
        <f>VLOOKUP( $A132, Aop!$A$2:$N$415, 2, 0)</f>
        <v>BSp</v>
      </c>
      <c r="C132" s="79">
        <f t="shared" si="23"/>
        <v>2</v>
      </c>
      <c r="D132" s="79" t="str">
        <f t="shared" si="20"/>
        <v>01494562</v>
      </c>
      <c r="E132" s="79" t="str">
        <f t="shared" si="21"/>
        <v>4400025960001</v>
      </c>
      <c r="F132" s="79" t="b">
        <f t="shared" si="24"/>
        <v>0</v>
      </c>
      <c r="G132" s="190">
        <f t="shared" si="25"/>
        <v>44377</v>
      </c>
      <c r="H132" s="146">
        <f>VLOOKUP( $A132, Aop!$A$2:$N$415, 4, 0)</f>
        <v>165</v>
      </c>
      <c r="I132" s="79">
        <f t="shared" si="22"/>
        <v>2021</v>
      </c>
      <c r="J132" s="79" t="str">
        <f t="shared" ca="1" si="29"/>
        <v/>
      </c>
      <c r="K132" s="79" t="str">
        <f t="shared" ca="1" si="26"/>
        <v/>
      </c>
      <c r="L132" s="79">
        <f t="shared" ca="1" si="27"/>
        <v>80802875</v>
      </c>
      <c r="M132" s="79">
        <f t="shared" ca="1" si="28"/>
        <v>80658561</v>
      </c>
    </row>
    <row r="133" spans="1:13" x14ac:dyDescent="0.2">
      <c r="A133" s="146">
        <v>134</v>
      </c>
      <c r="B133" s="146" t="str">
        <f>VLOOKUP( $A133, Aop!$A$2:$N$415, 2, 0)</f>
        <v>BSp</v>
      </c>
      <c r="C133" s="79">
        <f t="shared" si="23"/>
        <v>2</v>
      </c>
      <c r="D133" s="79" t="str">
        <f t="shared" si="20"/>
        <v>01494562</v>
      </c>
      <c r="E133" s="79" t="str">
        <f t="shared" si="21"/>
        <v>4400025960001</v>
      </c>
      <c r="F133" s="79" t="b">
        <f t="shared" si="24"/>
        <v>0</v>
      </c>
      <c r="G133" s="190">
        <f t="shared" si="25"/>
        <v>44377</v>
      </c>
      <c r="H133" s="146">
        <f>VLOOKUP( $A133, Aop!$A$2:$N$415, 4, 0)</f>
        <v>166</v>
      </c>
      <c r="I133" s="79">
        <f t="shared" si="22"/>
        <v>2021</v>
      </c>
      <c r="J133" s="79" t="str">
        <f t="shared" ca="1" si="29"/>
        <v/>
      </c>
      <c r="K133" s="79" t="str">
        <f t="shared" ca="1" si="26"/>
        <v/>
      </c>
      <c r="L133" s="79">
        <f t="shared" ca="1" si="27"/>
        <v>558896332</v>
      </c>
      <c r="M133" s="79">
        <f t="shared" ca="1" si="28"/>
        <v>562946510</v>
      </c>
    </row>
    <row r="134" spans="1:13" x14ac:dyDescent="0.2">
      <c r="A134" s="146">
        <v>136</v>
      </c>
      <c r="B134" s="146" t="str">
        <f>VLOOKUP( $A134, Aop!$A$2:$N$415, 2, 0)</f>
        <v>BUa</v>
      </c>
      <c r="C134" s="79">
        <f t="shared" si="23"/>
        <v>2</v>
      </c>
      <c r="D134" s="79" t="str">
        <f t="shared" si="20"/>
        <v>01494562</v>
      </c>
      <c r="E134" s="79" t="str">
        <f t="shared" si="21"/>
        <v>4400025960001</v>
      </c>
      <c r="F134" s="79" t="b">
        <f t="shared" si="24"/>
        <v>0</v>
      </c>
      <c r="G134" s="190">
        <f t="shared" si="25"/>
        <v>44377</v>
      </c>
      <c r="H134" s="146">
        <f>VLOOKUP( $A134, Aop!$A$2:$N$415, 4, 0)</f>
        <v>201</v>
      </c>
      <c r="I134" s="79">
        <f t="shared" si="22"/>
        <v>2021</v>
      </c>
      <c r="J134" s="79"/>
      <c r="K134" s="79"/>
      <c r="L134" s="79">
        <f t="shared" ca="1" si="27"/>
        <v>12469693</v>
      </c>
      <c r="M134" s="79">
        <f t="shared" ca="1" si="28"/>
        <v>15346437</v>
      </c>
    </row>
    <row r="135" spans="1:13" x14ac:dyDescent="0.2">
      <c r="A135" s="146">
        <v>137</v>
      </c>
      <c r="B135" s="146" t="str">
        <f>VLOOKUP( $A135, Aop!$A$2:$N$415, 2, 0)</f>
        <v>BUa</v>
      </c>
      <c r="C135" s="79">
        <f t="shared" si="23"/>
        <v>2</v>
      </c>
      <c r="D135" s="79" t="str">
        <f t="shared" si="20"/>
        <v>01494562</v>
      </c>
      <c r="E135" s="79" t="str">
        <f t="shared" si="21"/>
        <v>4400025960001</v>
      </c>
      <c r="F135" s="79" t="b">
        <f t="shared" si="24"/>
        <v>0</v>
      </c>
      <c r="G135" s="190">
        <f t="shared" si="25"/>
        <v>44377</v>
      </c>
      <c r="H135" s="146">
        <f>VLOOKUP( $A135, Aop!$A$2:$N$415, 4, 0)</f>
        <v>202</v>
      </c>
      <c r="I135" s="79">
        <f t="shared" si="22"/>
        <v>2021</v>
      </c>
      <c r="J135" s="79"/>
      <c r="K135" s="79"/>
      <c r="L135" s="79">
        <f t="shared" ca="1" si="27"/>
        <v>0</v>
      </c>
      <c r="M135" s="79">
        <f t="shared" ca="1" si="28"/>
        <v>0</v>
      </c>
    </row>
    <row r="136" spans="1:13" x14ac:dyDescent="0.2">
      <c r="A136" s="146">
        <v>138</v>
      </c>
      <c r="B136" s="146" t="str">
        <f>VLOOKUP( $A136, Aop!$A$2:$N$415, 2, 0)</f>
        <v>BUa</v>
      </c>
      <c r="C136" s="79">
        <f t="shared" si="23"/>
        <v>2</v>
      </c>
      <c r="D136" s="79" t="str">
        <f t="shared" si="20"/>
        <v>01494562</v>
      </c>
      <c r="E136" s="79" t="str">
        <f t="shared" si="21"/>
        <v>4400025960001</v>
      </c>
      <c r="F136" s="79" t="b">
        <f t="shared" si="24"/>
        <v>0</v>
      </c>
      <c r="G136" s="190">
        <f t="shared" si="25"/>
        <v>44377</v>
      </c>
      <c r="H136" s="146">
        <f>VLOOKUP( $A136, Aop!$A$2:$N$415, 4, 0)</f>
        <v>203</v>
      </c>
      <c r="I136" s="79">
        <f t="shared" si="22"/>
        <v>2021</v>
      </c>
      <c r="J136" s="79"/>
      <c r="K136" s="79"/>
      <c r="L136" s="79" t="str">
        <f t="shared" ca="1" si="27"/>
        <v/>
      </c>
      <c r="M136" s="79" t="str">
        <f t="shared" ca="1" si="28"/>
        <v/>
      </c>
    </row>
    <row r="137" spans="1:13" x14ac:dyDescent="0.2">
      <c r="A137" s="146">
        <v>139</v>
      </c>
      <c r="B137" s="146" t="str">
        <f>VLOOKUP( $A137, Aop!$A$2:$N$415, 2, 0)</f>
        <v>BUa</v>
      </c>
      <c r="C137" s="79">
        <f t="shared" si="23"/>
        <v>2</v>
      </c>
      <c r="D137" s="79" t="str">
        <f t="shared" si="20"/>
        <v>01494562</v>
      </c>
      <c r="E137" s="79" t="str">
        <f t="shared" si="21"/>
        <v>4400025960001</v>
      </c>
      <c r="F137" s="79" t="b">
        <f t="shared" si="24"/>
        <v>0</v>
      </c>
      <c r="G137" s="190">
        <f t="shared" si="25"/>
        <v>44377</v>
      </c>
      <c r="H137" s="146">
        <f>VLOOKUP( $A137, Aop!$A$2:$N$415, 4, 0)</f>
        <v>204</v>
      </c>
      <c r="I137" s="79">
        <f t="shared" si="22"/>
        <v>2021</v>
      </c>
      <c r="J137" s="79"/>
      <c r="K137" s="79"/>
      <c r="L137" s="79" t="str">
        <f t="shared" ca="1" si="27"/>
        <v/>
      </c>
      <c r="M137" s="79" t="str">
        <f t="shared" ca="1" si="28"/>
        <v/>
      </c>
    </row>
    <row r="138" spans="1:13" x14ac:dyDescent="0.2">
      <c r="A138" s="146">
        <v>140</v>
      </c>
      <c r="B138" s="146" t="str">
        <f>VLOOKUP( $A138, Aop!$A$2:$N$415, 2, 0)</f>
        <v>BUa</v>
      </c>
      <c r="C138" s="79">
        <f t="shared" si="23"/>
        <v>2</v>
      </c>
      <c r="D138" s="79" t="str">
        <f t="shared" si="20"/>
        <v>01494562</v>
      </c>
      <c r="E138" s="79" t="str">
        <f t="shared" si="21"/>
        <v>4400025960001</v>
      </c>
      <c r="F138" s="79" t="b">
        <f t="shared" si="24"/>
        <v>0</v>
      </c>
      <c r="G138" s="190">
        <f t="shared" si="25"/>
        <v>44377</v>
      </c>
      <c r="H138" s="146">
        <f>VLOOKUP( $A138, Aop!$A$2:$N$415, 4, 0)</f>
        <v>205</v>
      </c>
      <c r="I138" s="79">
        <f t="shared" si="22"/>
        <v>2021</v>
      </c>
      <c r="J138" s="79"/>
      <c r="K138" s="79"/>
      <c r="L138" s="79" t="str">
        <f t="shared" ca="1" si="27"/>
        <v/>
      </c>
      <c r="M138" s="79" t="str">
        <f t="shared" ca="1" si="28"/>
        <v/>
      </c>
    </row>
    <row r="139" spans="1:13" x14ac:dyDescent="0.2">
      <c r="A139" s="146">
        <v>141</v>
      </c>
      <c r="B139" s="146" t="str">
        <f>VLOOKUP( $A139, Aop!$A$2:$N$415, 2, 0)</f>
        <v>BUa</v>
      </c>
      <c r="C139" s="79">
        <f t="shared" si="23"/>
        <v>2</v>
      </c>
      <c r="D139" s="79" t="str">
        <f t="shared" si="20"/>
        <v>01494562</v>
      </c>
      <c r="E139" s="79" t="str">
        <f t="shared" si="21"/>
        <v>4400025960001</v>
      </c>
      <c r="F139" s="79" t="b">
        <f t="shared" si="24"/>
        <v>0</v>
      </c>
      <c r="G139" s="190">
        <f t="shared" si="25"/>
        <v>44377</v>
      </c>
      <c r="H139" s="146">
        <f>VLOOKUP( $A139, Aop!$A$2:$N$415, 4, 0)</f>
        <v>206</v>
      </c>
      <c r="I139" s="79">
        <f t="shared" si="22"/>
        <v>2021</v>
      </c>
      <c r="J139" s="79"/>
      <c r="K139" s="79"/>
      <c r="L139" s="79">
        <f t="shared" ca="1" si="27"/>
        <v>7285915</v>
      </c>
      <c r="M139" s="79">
        <f t="shared" ca="1" si="28"/>
        <v>8357356</v>
      </c>
    </row>
    <row r="140" spans="1:13" x14ac:dyDescent="0.2">
      <c r="A140" s="146">
        <v>142</v>
      </c>
      <c r="B140" s="146" t="str">
        <f>VLOOKUP( $A140, Aop!$A$2:$N$415, 2, 0)</f>
        <v>BUa</v>
      </c>
      <c r="C140" s="79">
        <f t="shared" si="23"/>
        <v>2</v>
      </c>
      <c r="D140" s="79" t="str">
        <f t="shared" si="20"/>
        <v>01494562</v>
      </c>
      <c r="E140" s="79" t="str">
        <f t="shared" si="21"/>
        <v>4400025960001</v>
      </c>
      <c r="F140" s="79" t="b">
        <f t="shared" si="24"/>
        <v>0</v>
      </c>
      <c r="G140" s="190">
        <f t="shared" si="25"/>
        <v>44377</v>
      </c>
      <c r="H140" s="146">
        <f>VLOOKUP( $A140, Aop!$A$2:$N$415, 4, 0)</f>
        <v>207</v>
      </c>
      <c r="I140" s="79">
        <f t="shared" si="22"/>
        <v>2021</v>
      </c>
      <c r="J140" s="79"/>
      <c r="K140" s="79"/>
      <c r="L140" s="79" t="str">
        <f t="shared" ca="1" si="27"/>
        <v/>
      </c>
      <c r="M140" s="79" t="str">
        <f t="shared" ca="1" si="28"/>
        <v/>
      </c>
    </row>
    <row r="141" spans="1:13" x14ac:dyDescent="0.2">
      <c r="A141" s="146">
        <v>143</v>
      </c>
      <c r="B141" s="146" t="str">
        <f>VLOOKUP( $A141, Aop!$A$2:$N$415, 2, 0)</f>
        <v>BUa</v>
      </c>
      <c r="C141" s="79">
        <f t="shared" si="23"/>
        <v>2</v>
      </c>
      <c r="D141" s="79" t="str">
        <f t="shared" si="20"/>
        <v>01494562</v>
      </c>
      <c r="E141" s="79" t="str">
        <f t="shared" si="21"/>
        <v>4400025960001</v>
      </c>
      <c r="F141" s="79" t="b">
        <f t="shared" si="24"/>
        <v>0</v>
      </c>
      <c r="G141" s="190">
        <f t="shared" si="25"/>
        <v>44377</v>
      </c>
      <c r="H141" s="146">
        <f>VLOOKUP( $A141, Aop!$A$2:$N$415, 4, 0)</f>
        <v>208</v>
      </c>
      <c r="I141" s="79">
        <f t="shared" si="22"/>
        <v>2021</v>
      </c>
      <c r="J141" s="79"/>
      <c r="K141" s="79"/>
      <c r="L141" s="79">
        <f t="shared" ca="1" si="27"/>
        <v>7029283</v>
      </c>
      <c r="M141" s="79">
        <f t="shared" ca="1" si="28"/>
        <v>7867941</v>
      </c>
    </row>
    <row r="142" spans="1:13" x14ac:dyDescent="0.2">
      <c r="A142" s="146">
        <v>144</v>
      </c>
      <c r="B142" s="146" t="str">
        <f>VLOOKUP( $A142, Aop!$A$2:$N$415, 2, 0)</f>
        <v>BUa</v>
      </c>
      <c r="C142" s="79">
        <f t="shared" si="23"/>
        <v>2</v>
      </c>
      <c r="D142" s="79" t="str">
        <f t="shared" si="20"/>
        <v>01494562</v>
      </c>
      <c r="E142" s="79" t="str">
        <f t="shared" si="21"/>
        <v>4400025960001</v>
      </c>
      <c r="F142" s="79" t="b">
        <f t="shared" si="24"/>
        <v>0</v>
      </c>
      <c r="G142" s="190">
        <f t="shared" si="25"/>
        <v>44377</v>
      </c>
      <c r="H142" s="146">
        <f>VLOOKUP( $A142, Aop!$A$2:$N$415, 4, 0)</f>
        <v>209</v>
      </c>
      <c r="I142" s="79">
        <f t="shared" si="22"/>
        <v>2021</v>
      </c>
      <c r="J142" s="79"/>
      <c r="K142" s="79"/>
      <c r="L142" s="79">
        <f t="shared" ca="1" si="27"/>
        <v>256632</v>
      </c>
      <c r="M142" s="79">
        <f t="shared" ca="1" si="28"/>
        <v>489415</v>
      </c>
    </row>
    <row r="143" spans="1:13" x14ac:dyDescent="0.2">
      <c r="A143" s="146">
        <v>145</v>
      </c>
      <c r="B143" s="146" t="str">
        <f>VLOOKUP( $A143, Aop!$A$2:$N$415, 2, 0)</f>
        <v>BUa</v>
      </c>
      <c r="C143" s="79">
        <f t="shared" si="23"/>
        <v>2</v>
      </c>
      <c r="D143" s="79" t="str">
        <f t="shared" si="20"/>
        <v>01494562</v>
      </c>
      <c r="E143" s="79" t="str">
        <f t="shared" si="21"/>
        <v>4400025960001</v>
      </c>
      <c r="F143" s="79" t="b">
        <f t="shared" si="24"/>
        <v>0</v>
      </c>
      <c r="G143" s="190">
        <f t="shared" si="25"/>
        <v>44377</v>
      </c>
      <c r="H143" s="146">
        <f>VLOOKUP( $A143, Aop!$A$2:$N$415, 4, 0)</f>
        <v>210</v>
      </c>
      <c r="I143" s="79">
        <f t="shared" si="22"/>
        <v>2021</v>
      </c>
      <c r="J143" s="79"/>
      <c r="K143" s="79"/>
      <c r="L143" s="79" t="str">
        <f t="shared" ca="1" si="27"/>
        <v/>
      </c>
      <c r="M143" s="79" t="str">
        <f t="shared" ca="1" si="28"/>
        <v/>
      </c>
    </row>
    <row r="144" spans="1:13" x14ac:dyDescent="0.2">
      <c r="A144" s="146">
        <v>146</v>
      </c>
      <c r="B144" s="146" t="str">
        <f>VLOOKUP( $A144, Aop!$A$2:$N$415, 2, 0)</f>
        <v>BUa</v>
      </c>
      <c r="C144" s="79">
        <f t="shared" si="23"/>
        <v>2</v>
      </c>
      <c r="D144" s="79" t="str">
        <f t="shared" si="20"/>
        <v>01494562</v>
      </c>
      <c r="E144" s="79" t="str">
        <f t="shared" si="21"/>
        <v>4400025960001</v>
      </c>
      <c r="F144" s="79" t="b">
        <f t="shared" si="24"/>
        <v>0</v>
      </c>
      <c r="G144" s="190">
        <f t="shared" si="25"/>
        <v>44377</v>
      </c>
      <c r="H144" s="146">
        <f>VLOOKUP( $A144, Aop!$A$2:$N$415, 4, 0)</f>
        <v>211</v>
      </c>
      <c r="I144" s="79">
        <f t="shared" si="22"/>
        <v>2021</v>
      </c>
      <c r="J144" s="79"/>
      <c r="K144" s="79"/>
      <c r="L144" s="79" t="str">
        <f t="shared" ca="1" si="27"/>
        <v/>
      </c>
      <c r="M144" s="79" t="str">
        <f t="shared" ca="1" si="28"/>
        <v/>
      </c>
    </row>
    <row r="145" spans="1:13" x14ac:dyDescent="0.2">
      <c r="A145" s="146">
        <v>147</v>
      </c>
      <c r="B145" s="146" t="str">
        <f>VLOOKUP( $A145, Aop!$A$2:$N$415, 2, 0)</f>
        <v>BUa</v>
      </c>
      <c r="C145" s="79">
        <f t="shared" si="23"/>
        <v>2</v>
      </c>
      <c r="D145" s="79" t="str">
        <f t="shared" si="20"/>
        <v>01494562</v>
      </c>
      <c r="E145" s="79" t="str">
        <f t="shared" si="21"/>
        <v>4400025960001</v>
      </c>
      <c r="F145" s="79" t="b">
        <f t="shared" si="24"/>
        <v>0</v>
      </c>
      <c r="G145" s="190">
        <f t="shared" si="25"/>
        <v>44377</v>
      </c>
      <c r="H145" s="146">
        <f>VLOOKUP( $A145, Aop!$A$2:$N$415, 4, 0)</f>
        <v>212</v>
      </c>
      <c r="I145" s="79">
        <f t="shared" si="22"/>
        <v>2021</v>
      </c>
      <c r="J145" s="79"/>
      <c r="K145" s="79"/>
      <c r="L145" s="79" t="str">
        <f t="shared" ca="1" si="27"/>
        <v/>
      </c>
      <c r="M145" s="79" t="str">
        <f t="shared" ca="1" si="28"/>
        <v/>
      </c>
    </row>
    <row r="146" spans="1:13" x14ac:dyDescent="0.2">
      <c r="A146" s="146">
        <v>148</v>
      </c>
      <c r="B146" s="146" t="str">
        <f>VLOOKUP( $A146, Aop!$A$2:$N$415, 2, 0)</f>
        <v>BUa</v>
      </c>
      <c r="C146" s="79">
        <f t="shared" si="23"/>
        <v>2</v>
      </c>
      <c r="D146" s="79" t="str">
        <f t="shared" si="20"/>
        <v>01494562</v>
      </c>
      <c r="E146" s="79" t="str">
        <f t="shared" si="21"/>
        <v>4400025960001</v>
      </c>
      <c r="F146" s="79" t="b">
        <f t="shared" si="24"/>
        <v>0</v>
      </c>
      <c r="G146" s="190">
        <f t="shared" si="25"/>
        <v>44377</v>
      </c>
      <c r="H146" s="146">
        <f>VLOOKUP( $A146, Aop!$A$2:$N$415, 4, 0)</f>
        <v>213</v>
      </c>
      <c r="I146" s="79">
        <f t="shared" si="22"/>
        <v>2021</v>
      </c>
      <c r="J146" s="79"/>
      <c r="K146" s="79"/>
      <c r="L146" s="79" t="str">
        <f t="shared" ca="1" si="27"/>
        <v/>
      </c>
      <c r="M146" s="79" t="str">
        <f t="shared" ca="1" si="28"/>
        <v/>
      </c>
    </row>
    <row r="147" spans="1:13" x14ac:dyDescent="0.2">
      <c r="A147" s="146">
        <v>149</v>
      </c>
      <c r="B147" s="146" t="str">
        <f>VLOOKUP( $A147, Aop!$A$2:$N$415, 2, 0)</f>
        <v>BUa</v>
      </c>
      <c r="C147" s="79">
        <f t="shared" si="23"/>
        <v>2</v>
      </c>
      <c r="D147" s="79" t="str">
        <f t="shared" si="20"/>
        <v>01494562</v>
      </c>
      <c r="E147" s="79" t="str">
        <f t="shared" si="21"/>
        <v>4400025960001</v>
      </c>
      <c r="F147" s="79" t="b">
        <f t="shared" si="24"/>
        <v>0</v>
      </c>
      <c r="G147" s="190">
        <f t="shared" si="25"/>
        <v>44377</v>
      </c>
      <c r="H147" s="146">
        <f>VLOOKUP( $A147, Aop!$A$2:$N$415, 4, 0)</f>
        <v>214</v>
      </c>
      <c r="I147" s="79">
        <f t="shared" si="22"/>
        <v>2021</v>
      </c>
      <c r="J147" s="79"/>
      <c r="K147" s="79"/>
      <c r="L147" s="79" t="str">
        <f t="shared" ca="1" si="27"/>
        <v/>
      </c>
      <c r="M147" s="79" t="str">
        <f t="shared" ca="1" si="28"/>
        <v/>
      </c>
    </row>
    <row r="148" spans="1:13" x14ac:dyDescent="0.2">
      <c r="A148" s="146">
        <v>150</v>
      </c>
      <c r="B148" s="146" t="str">
        <f>VLOOKUP( $A148, Aop!$A$2:$N$415, 2, 0)</f>
        <v>BUa</v>
      </c>
      <c r="C148" s="79">
        <f t="shared" si="23"/>
        <v>2</v>
      </c>
      <c r="D148" s="79" t="str">
        <f t="shared" si="20"/>
        <v>01494562</v>
      </c>
      <c r="E148" s="79" t="str">
        <f t="shared" si="21"/>
        <v>4400025960001</v>
      </c>
      <c r="F148" s="79" t="b">
        <f t="shared" si="24"/>
        <v>0</v>
      </c>
      <c r="G148" s="190">
        <f t="shared" si="25"/>
        <v>44377</v>
      </c>
      <c r="H148" s="146">
        <f>VLOOKUP( $A148, Aop!$A$2:$N$415, 4, 0)</f>
        <v>215</v>
      </c>
      <c r="I148" s="79">
        <f t="shared" si="22"/>
        <v>2021</v>
      </c>
      <c r="J148" s="79"/>
      <c r="K148" s="79"/>
      <c r="L148" s="79">
        <f t="shared" ca="1" si="27"/>
        <v>5183778</v>
      </c>
      <c r="M148" s="79">
        <f t="shared" ca="1" si="28"/>
        <v>6989081</v>
      </c>
    </row>
    <row r="149" spans="1:13" x14ac:dyDescent="0.2">
      <c r="A149" s="146">
        <v>151</v>
      </c>
      <c r="B149" s="146" t="str">
        <f>VLOOKUP( $A149, Aop!$A$2:$N$415, 2, 0)</f>
        <v>BUa</v>
      </c>
      <c r="C149" s="79">
        <f t="shared" si="23"/>
        <v>2</v>
      </c>
      <c r="D149" s="79" t="str">
        <f t="shared" si="20"/>
        <v>01494562</v>
      </c>
      <c r="E149" s="79" t="str">
        <f t="shared" si="21"/>
        <v>4400025960001</v>
      </c>
      <c r="F149" s="79" t="b">
        <f t="shared" si="24"/>
        <v>0</v>
      </c>
      <c r="G149" s="190">
        <f t="shared" si="25"/>
        <v>44377</v>
      </c>
      <c r="H149" s="146">
        <f>VLOOKUP( $A149, Aop!$A$2:$N$415, 4, 0)</f>
        <v>216</v>
      </c>
      <c r="I149" s="79">
        <f t="shared" si="22"/>
        <v>2021</v>
      </c>
      <c r="J149" s="79"/>
      <c r="K149" s="79"/>
      <c r="L149" s="79">
        <f t="shared" ca="1" si="27"/>
        <v>17257618</v>
      </c>
      <c r="M149" s="79">
        <f t="shared" ca="1" si="28"/>
        <v>18315863</v>
      </c>
    </row>
    <row r="150" spans="1:13" x14ac:dyDescent="0.2">
      <c r="A150" s="146">
        <v>152</v>
      </c>
      <c r="B150" s="146" t="str">
        <f>VLOOKUP( $A150, Aop!$A$2:$N$415, 2, 0)</f>
        <v>BUa</v>
      </c>
      <c r="C150" s="79">
        <f t="shared" si="23"/>
        <v>2</v>
      </c>
      <c r="D150" s="79" t="str">
        <f t="shared" si="20"/>
        <v>01494562</v>
      </c>
      <c r="E150" s="79" t="str">
        <f t="shared" si="21"/>
        <v>4400025960001</v>
      </c>
      <c r="F150" s="79" t="b">
        <f t="shared" si="24"/>
        <v>0</v>
      </c>
      <c r="G150" s="190">
        <f t="shared" si="25"/>
        <v>44377</v>
      </c>
      <c r="H150" s="146">
        <f>VLOOKUP( $A150, Aop!$A$2:$N$415, 4, 0)</f>
        <v>217</v>
      </c>
      <c r="I150" s="79">
        <f t="shared" si="22"/>
        <v>2021</v>
      </c>
      <c r="J150" s="79"/>
      <c r="K150" s="79"/>
      <c r="L150" s="79" t="str">
        <f t="shared" ca="1" si="27"/>
        <v/>
      </c>
      <c r="M150" s="79" t="str">
        <f t="shared" ca="1" si="28"/>
        <v/>
      </c>
    </row>
    <row r="151" spans="1:13" x14ac:dyDescent="0.2">
      <c r="A151" s="146">
        <v>153</v>
      </c>
      <c r="B151" s="146" t="str">
        <f>VLOOKUP( $A151, Aop!$A$2:$N$415, 2, 0)</f>
        <v>BUa</v>
      </c>
      <c r="C151" s="79">
        <f t="shared" si="23"/>
        <v>2</v>
      </c>
      <c r="D151" s="79" t="str">
        <f t="shared" si="20"/>
        <v>01494562</v>
      </c>
      <c r="E151" s="79" t="str">
        <f t="shared" si="21"/>
        <v>4400025960001</v>
      </c>
      <c r="F151" s="79" t="b">
        <f t="shared" si="24"/>
        <v>0</v>
      </c>
      <c r="G151" s="190">
        <f t="shared" si="25"/>
        <v>44377</v>
      </c>
      <c r="H151" s="146">
        <f>VLOOKUP( $A151, Aop!$A$2:$N$415, 4, 0)</f>
        <v>218</v>
      </c>
      <c r="I151" s="79">
        <f t="shared" si="22"/>
        <v>2021</v>
      </c>
      <c r="J151" s="79"/>
      <c r="K151" s="79"/>
      <c r="L151" s="79">
        <f t="shared" ca="1" si="27"/>
        <v>1699832</v>
      </c>
      <c r="M151" s="79">
        <f t="shared" ca="1" si="28"/>
        <v>1783251</v>
      </c>
    </row>
    <row r="152" spans="1:13" x14ac:dyDescent="0.2">
      <c r="A152" s="146">
        <v>154</v>
      </c>
      <c r="B152" s="146" t="str">
        <f>VLOOKUP( $A152, Aop!$A$2:$N$415, 2, 0)</f>
        <v>BUa</v>
      </c>
      <c r="C152" s="79">
        <f t="shared" si="23"/>
        <v>2</v>
      </c>
      <c r="D152" s="79" t="str">
        <f t="shared" si="20"/>
        <v>01494562</v>
      </c>
      <c r="E152" s="79" t="str">
        <f t="shared" si="21"/>
        <v>4400025960001</v>
      </c>
      <c r="F152" s="79" t="b">
        <f t="shared" si="24"/>
        <v>0</v>
      </c>
      <c r="G152" s="190">
        <f t="shared" si="25"/>
        <v>44377</v>
      </c>
      <c r="H152" s="146">
        <f>VLOOKUP( $A152, Aop!$A$2:$N$415, 4, 0)</f>
        <v>219</v>
      </c>
      <c r="I152" s="79">
        <f t="shared" si="22"/>
        <v>2021</v>
      </c>
      <c r="J152" s="79"/>
      <c r="K152" s="79"/>
      <c r="L152" s="79">
        <f t="shared" ca="1" si="27"/>
        <v>10024357</v>
      </c>
      <c r="M152" s="79">
        <f t="shared" ca="1" si="28"/>
        <v>10747733</v>
      </c>
    </row>
    <row r="153" spans="1:13" x14ac:dyDescent="0.2">
      <c r="A153" s="146">
        <v>155</v>
      </c>
      <c r="B153" s="146" t="str">
        <f>VLOOKUP( $A153, Aop!$A$2:$N$415, 2, 0)</f>
        <v>BUa</v>
      </c>
      <c r="C153" s="79">
        <f t="shared" si="23"/>
        <v>2</v>
      </c>
      <c r="D153" s="79" t="str">
        <f t="shared" si="20"/>
        <v>01494562</v>
      </c>
      <c r="E153" s="79" t="str">
        <f t="shared" si="21"/>
        <v>4400025960001</v>
      </c>
      <c r="F153" s="79" t="b">
        <f t="shared" si="24"/>
        <v>0</v>
      </c>
      <c r="G153" s="190">
        <f t="shared" si="25"/>
        <v>44377</v>
      </c>
      <c r="H153" s="146">
        <f>VLOOKUP( $A153, Aop!$A$2:$N$415, 4, 0)</f>
        <v>220</v>
      </c>
      <c r="I153" s="79">
        <f t="shared" si="22"/>
        <v>2021</v>
      </c>
      <c r="J153" s="79"/>
      <c r="K153" s="79"/>
      <c r="L153" s="79">
        <f t="shared" ca="1" si="27"/>
        <v>9501891</v>
      </c>
      <c r="M153" s="79">
        <f t="shared" ca="1" si="28"/>
        <v>10037255</v>
      </c>
    </row>
    <row r="154" spans="1:13" x14ac:dyDescent="0.2">
      <c r="A154" s="146">
        <v>156</v>
      </c>
      <c r="B154" s="146" t="str">
        <f>VLOOKUP( $A154, Aop!$A$2:$N$415, 2, 0)</f>
        <v>BUa</v>
      </c>
      <c r="C154" s="79">
        <f t="shared" si="23"/>
        <v>2</v>
      </c>
      <c r="D154" s="79" t="str">
        <f t="shared" si="20"/>
        <v>01494562</v>
      </c>
      <c r="E154" s="79" t="str">
        <f t="shared" si="21"/>
        <v>4400025960001</v>
      </c>
      <c r="F154" s="79" t="b">
        <f t="shared" si="24"/>
        <v>0</v>
      </c>
      <c r="G154" s="190">
        <f t="shared" si="25"/>
        <v>44377</v>
      </c>
      <c r="H154" s="146">
        <f>VLOOKUP( $A154, Aop!$A$2:$N$415, 4, 0)</f>
        <v>221</v>
      </c>
      <c r="I154" s="79">
        <f t="shared" si="22"/>
        <v>2021</v>
      </c>
      <c r="J154" s="79"/>
      <c r="K154" s="79"/>
      <c r="L154" s="79">
        <f t="shared" ca="1" si="27"/>
        <v>522466</v>
      </c>
      <c r="M154" s="79">
        <f t="shared" ca="1" si="28"/>
        <v>710478</v>
      </c>
    </row>
    <row r="155" spans="1:13" x14ac:dyDescent="0.2">
      <c r="A155" s="146">
        <v>157</v>
      </c>
      <c r="B155" s="146" t="str">
        <f>VLOOKUP( $A155, Aop!$A$2:$N$415, 2, 0)</f>
        <v>BUa</v>
      </c>
      <c r="C155" s="79">
        <f t="shared" si="23"/>
        <v>2</v>
      </c>
      <c r="D155" s="79" t="str">
        <f t="shared" si="20"/>
        <v>01494562</v>
      </c>
      <c r="E155" s="79" t="str">
        <f t="shared" si="21"/>
        <v>4400025960001</v>
      </c>
      <c r="F155" s="79" t="b">
        <f t="shared" si="24"/>
        <v>0</v>
      </c>
      <c r="G155" s="190">
        <f t="shared" si="25"/>
        <v>44377</v>
      </c>
      <c r="H155" s="146">
        <f>VLOOKUP( $A155, Aop!$A$2:$N$415, 4, 0)</f>
        <v>222</v>
      </c>
      <c r="I155" s="79">
        <f t="shared" si="22"/>
        <v>2021</v>
      </c>
      <c r="J155" s="79"/>
      <c r="K155" s="79"/>
      <c r="L155" s="79">
        <f t="shared" ca="1" si="27"/>
        <v>706192</v>
      </c>
      <c r="M155" s="79">
        <f t="shared" ca="1" si="28"/>
        <v>829934</v>
      </c>
    </row>
    <row r="156" spans="1:13" x14ac:dyDescent="0.2">
      <c r="A156" s="146">
        <v>158</v>
      </c>
      <c r="B156" s="146" t="str">
        <f>VLOOKUP( $A156, Aop!$A$2:$N$415, 2, 0)</f>
        <v>BUa</v>
      </c>
      <c r="C156" s="79">
        <f t="shared" si="23"/>
        <v>2</v>
      </c>
      <c r="D156" s="79" t="str">
        <f t="shared" si="20"/>
        <v>01494562</v>
      </c>
      <c r="E156" s="79" t="str">
        <f t="shared" si="21"/>
        <v>4400025960001</v>
      </c>
      <c r="F156" s="79" t="b">
        <f t="shared" si="24"/>
        <v>0</v>
      </c>
      <c r="G156" s="190">
        <f t="shared" si="25"/>
        <v>44377</v>
      </c>
      <c r="H156" s="146">
        <f>VLOOKUP( $A156, Aop!$A$2:$N$415, 4, 0)</f>
        <v>223</v>
      </c>
      <c r="I156" s="79">
        <f t="shared" si="22"/>
        <v>2021</v>
      </c>
      <c r="J156" s="79"/>
      <c r="K156" s="79"/>
      <c r="L156" s="79">
        <f t="shared" ca="1" si="27"/>
        <v>4443919</v>
      </c>
      <c r="M156" s="79">
        <f t="shared" ca="1" si="28"/>
        <v>4537155</v>
      </c>
    </row>
    <row r="157" spans="1:13" x14ac:dyDescent="0.2">
      <c r="A157" s="146">
        <v>159</v>
      </c>
      <c r="B157" s="79" t="str">
        <f>VLOOKUP( $A157, Aop!$A$2:$N$415, 2, 0)</f>
        <v>BUa</v>
      </c>
      <c r="C157" s="79">
        <f>ID_Izvjestaj</f>
        <v>2</v>
      </c>
      <c r="D157" s="79" t="str">
        <f>Podatak_MB</f>
        <v>01494562</v>
      </c>
      <c r="E157" s="79" t="str">
        <f>Podatak_JIB</f>
        <v>4400025960001</v>
      </c>
      <c r="F157" s="79" t="b">
        <f>Konsolidovan_izvjestaj</f>
        <v>0</v>
      </c>
      <c r="G157" s="190">
        <f>Datum_Broj</f>
        <v>44377</v>
      </c>
      <c r="H157" s="79">
        <f>VLOOKUP( $A157, Aop!$A$2:$N$415, 4, 0)</f>
        <v>224</v>
      </c>
      <c r="I157" s="79">
        <f>Godina</f>
        <v>2021</v>
      </c>
      <c r="J157" s="79"/>
      <c r="K157" s="79"/>
      <c r="L157" s="79">
        <f t="shared" ca="1" si="27"/>
        <v>4315102</v>
      </c>
      <c r="M157" s="79">
        <f t="shared" ca="1" si="28"/>
        <v>4537155</v>
      </c>
    </row>
    <row r="158" spans="1:13" x14ac:dyDescent="0.2">
      <c r="A158" s="146">
        <v>160</v>
      </c>
      <c r="B158" s="146" t="str">
        <f>VLOOKUP( $A158, Aop!$A$2:$N$415, 2, 0)</f>
        <v>BUa</v>
      </c>
      <c r="C158" s="79">
        <f t="shared" si="23"/>
        <v>2</v>
      </c>
      <c r="D158" s="79" t="str">
        <f t="shared" si="20"/>
        <v>01494562</v>
      </c>
      <c r="E158" s="79" t="str">
        <f t="shared" si="21"/>
        <v>4400025960001</v>
      </c>
      <c r="F158" s="79" t="b">
        <f t="shared" si="24"/>
        <v>0</v>
      </c>
      <c r="G158" s="190">
        <f t="shared" si="25"/>
        <v>44377</v>
      </c>
      <c r="H158" s="146">
        <f>VLOOKUP( $A158, Aop!$A$2:$N$415, 4, 0)</f>
        <v>225</v>
      </c>
      <c r="I158" s="79">
        <f t="shared" si="22"/>
        <v>2021</v>
      </c>
      <c r="J158" s="79"/>
      <c r="K158" s="79"/>
      <c r="L158" s="79">
        <f t="shared" ca="1" si="27"/>
        <v>128817</v>
      </c>
      <c r="M158" s="79" t="str">
        <f t="shared" ca="1" si="28"/>
        <v/>
      </c>
    </row>
    <row r="159" spans="1:13" x14ac:dyDescent="0.2">
      <c r="A159" s="146">
        <v>161</v>
      </c>
      <c r="B159" s="146" t="str">
        <f>VLOOKUP( $A159, Aop!$A$2:$N$415, 2, 0)</f>
        <v>BUa</v>
      </c>
      <c r="C159" s="79">
        <f t="shared" si="23"/>
        <v>2</v>
      </c>
      <c r="D159" s="79" t="str">
        <f t="shared" si="20"/>
        <v>01494562</v>
      </c>
      <c r="E159" s="79" t="str">
        <f t="shared" si="21"/>
        <v>4400025960001</v>
      </c>
      <c r="F159" s="79" t="b">
        <f t="shared" si="24"/>
        <v>0</v>
      </c>
      <c r="G159" s="190">
        <f t="shared" si="25"/>
        <v>44377</v>
      </c>
      <c r="H159" s="146">
        <f>VLOOKUP( $A159, Aop!$A$2:$N$415, 4, 0)</f>
        <v>226</v>
      </c>
      <c r="I159" s="79">
        <f t="shared" si="22"/>
        <v>2021</v>
      </c>
      <c r="J159" s="79"/>
      <c r="K159" s="79"/>
      <c r="L159" s="79">
        <f t="shared" ca="1" si="27"/>
        <v>232982</v>
      </c>
      <c r="M159" s="79">
        <f t="shared" ca="1" si="28"/>
        <v>243692</v>
      </c>
    </row>
    <row r="160" spans="1:13" x14ac:dyDescent="0.2">
      <c r="A160" s="146">
        <v>162</v>
      </c>
      <c r="B160" s="146" t="str">
        <f>VLOOKUP( $A160, Aop!$A$2:$N$415, 2, 0)</f>
        <v>BUa</v>
      </c>
      <c r="C160" s="79">
        <f t="shared" si="23"/>
        <v>2</v>
      </c>
      <c r="D160" s="79" t="str">
        <f t="shared" si="20"/>
        <v>01494562</v>
      </c>
      <c r="E160" s="79" t="str">
        <f t="shared" si="21"/>
        <v>4400025960001</v>
      </c>
      <c r="F160" s="79" t="b">
        <f t="shared" si="24"/>
        <v>0</v>
      </c>
      <c r="G160" s="190">
        <f t="shared" si="25"/>
        <v>44377</v>
      </c>
      <c r="H160" s="146">
        <f>VLOOKUP( $A160, Aop!$A$2:$N$415, 4, 0)</f>
        <v>227</v>
      </c>
      <c r="I160" s="79">
        <f t="shared" si="22"/>
        <v>2021</v>
      </c>
      <c r="J160" s="79"/>
      <c r="K160" s="79"/>
      <c r="L160" s="79">
        <f t="shared" ca="1" si="27"/>
        <v>20948</v>
      </c>
      <c r="M160" s="79">
        <f t="shared" ca="1" si="28"/>
        <v>38407</v>
      </c>
    </row>
    <row r="161" spans="1:13" x14ac:dyDescent="0.2">
      <c r="A161" s="146">
        <v>163</v>
      </c>
      <c r="B161" s="146" t="str">
        <f>VLOOKUP( $A161, Aop!$A$2:$N$415, 2, 0)</f>
        <v>BUa</v>
      </c>
      <c r="C161" s="79">
        <f t="shared" si="23"/>
        <v>2</v>
      </c>
      <c r="D161" s="79" t="str">
        <f t="shared" si="20"/>
        <v>01494562</v>
      </c>
      <c r="E161" s="79" t="str">
        <f t="shared" si="21"/>
        <v>4400025960001</v>
      </c>
      <c r="F161" s="79" t="b">
        <f t="shared" si="24"/>
        <v>0</v>
      </c>
      <c r="G161" s="190">
        <f t="shared" si="25"/>
        <v>44377</v>
      </c>
      <c r="H161" s="146">
        <f>VLOOKUP( $A161, Aop!$A$2:$N$415, 4, 0)</f>
        <v>228</v>
      </c>
      <c r="I161" s="79">
        <f t="shared" si="22"/>
        <v>2021</v>
      </c>
      <c r="J161" s="79"/>
      <c r="K161" s="79"/>
      <c r="L161" s="79">
        <f t="shared" ca="1" si="27"/>
        <v>129388</v>
      </c>
      <c r="M161" s="79">
        <f t="shared" ca="1" si="28"/>
        <v>135691</v>
      </c>
    </row>
    <row r="162" spans="1:13" x14ac:dyDescent="0.2">
      <c r="A162" s="146">
        <v>164</v>
      </c>
      <c r="B162" s="146" t="str">
        <f>VLOOKUP( $A162, Aop!$A$2:$N$415, 2, 0)</f>
        <v>BUa</v>
      </c>
      <c r="C162" s="79">
        <f t="shared" si="23"/>
        <v>2</v>
      </c>
      <c r="D162" s="79" t="str">
        <f t="shared" si="20"/>
        <v>01494562</v>
      </c>
      <c r="E162" s="79" t="str">
        <f t="shared" si="21"/>
        <v>4400025960001</v>
      </c>
      <c r="F162" s="79" t="b">
        <f t="shared" si="24"/>
        <v>0</v>
      </c>
      <c r="G162" s="190">
        <f t="shared" si="25"/>
        <v>44377</v>
      </c>
      <c r="H162" s="146">
        <f>VLOOKUP( $A162, Aop!$A$2:$N$415, 4, 0)</f>
        <v>229</v>
      </c>
      <c r="I162" s="79">
        <f t="shared" si="22"/>
        <v>2021</v>
      </c>
      <c r="J162" s="79"/>
      <c r="K162" s="79"/>
      <c r="L162" s="79">
        <f t="shared" ca="1" si="27"/>
        <v>0</v>
      </c>
      <c r="M162" s="79">
        <f t="shared" ca="1" si="28"/>
        <v>0</v>
      </c>
    </row>
    <row r="163" spans="1:13" x14ac:dyDescent="0.2">
      <c r="A163" s="146">
        <v>165</v>
      </c>
      <c r="B163" s="146" t="str">
        <f>VLOOKUP( $A163, Aop!$A$2:$N$415, 2, 0)</f>
        <v>BUa</v>
      </c>
      <c r="C163" s="79">
        <f t="shared" si="23"/>
        <v>2</v>
      </c>
      <c r="D163" s="79" t="str">
        <f t="shared" si="20"/>
        <v>01494562</v>
      </c>
      <c r="E163" s="79" t="str">
        <f t="shared" si="21"/>
        <v>4400025960001</v>
      </c>
      <c r="F163" s="79" t="b">
        <f t="shared" si="24"/>
        <v>0</v>
      </c>
      <c r="G163" s="190">
        <f t="shared" si="25"/>
        <v>44377</v>
      </c>
      <c r="H163" s="146">
        <f>VLOOKUP( $A163, Aop!$A$2:$N$415, 4, 0)</f>
        <v>230</v>
      </c>
      <c r="I163" s="79">
        <f t="shared" si="22"/>
        <v>2021</v>
      </c>
      <c r="J163" s="79"/>
      <c r="K163" s="79"/>
      <c r="L163" s="79">
        <f t="shared" ca="1" si="27"/>
        <v>4787925</v>
      </c>
      <c r="M163" s="79">
        <f t="shared" ca="1" si="28"/>
        <v>2969426</v>
      </c>
    </row>
    <row r="164" spans="1:13" x14ac:dyDescent="0.2">
      <c r="A164" s="146">
        <v>167</v>
      </c>
      <c r="B164" s="146" t="str">
        <f>VLOOKUP( $A164, Aop!$A$2:$N$415, 2, 0)</f>
        <v>BUa</v>
      </c>
      <c r="C164" s="79">
        <f t="shared" si="23"/>
        <v>2</v>
      </c>
      <c r="D164" s="79" t="str">
        <f t="shared" si="20"/>
        <v>01494562</v>
      </c>
      <c r="E164" s="79" t="str">
        <f t="shared" si="21"/>
        <v>4400025960001</v>
      </c>
      <c r="F164" s="79" t="b">
        <f t="shared" si="24"/>
        <v>0</v>
      </c>
      <c r="G164" s="190">
        <f t="shared" si="25"/>
        <v>44377</v>
      </c>
      <c r="H164" s="146">
        <f>VLOOKUP( $A164, Aop!$A$2:$N$415, 4, 0)</f>
        <v>231</v>
      </c>
      <c r="I164" s="79">
        <f t="shared" si="22"/>
        <v>2021</v>
      </c>
      <c r="J164" s="79"/>
      <c r="K164" s="79"/>
      <c r="L164" s="79">
        <f t="shared" ca="1" si="27"/>
        <v>90203</v>
      </c>
      <c r="M164" s="79">
        <f t="shared" ca="1" si="28"/>
        <v>18840</v>
      </c>
    </row>
    <row r="165" spans="1:13" x14ac:dyDescent="0.2">
      <c r="A165" s="146">
        <v>168</v>
      </c>
      <c r="B165" s="146" t="str">
        <f>VLOOKUP( $A165, Aop!$A$2:$N$415, 2, 0)</f>
        <v>BUa</v>
      </c>
      <c r="C165" s="79">
        <f t="shared" si="23"/>
        <v>2</v>
      </c>
      <c r="D165" s="79" t="str">
        <f t="shared" si="20"/>
        <v>01494562</v>
      </c>
      <c r="E165" s="79" t="str">
        <f t="shared" si="21"/>
        <v>4400025960001</v>
      </c>
      <c r="F165" s="79" t="b">
        <f t="shared" si="24"/>
        <v>0</v>
      </c>
      <c r="G165" s="190">
        <f t="shared" si="25"/>
        <v>44377</v>
      </c>
      <c r="H165" s="146">
        <f>VLOOKUP( $A165, Aop!$A$2:$N$415, 4, 0)</f>
        <v>232</v>
      </c>
      <c r="I165" s="79">
        <f t="shared" si="22"/>
        <v>2021</v>
      </c>
      <c r="J165" s="79"/>
      <c r="K165" s="79"/>
      <c r="L165" s="79" t="str">
        <f t="shared" ca="1" si="27"/>
        <v/>
      </c>
      <c r="M165" s="79" t="str">
        <f t="shared" ca="1" si="28"/>
        <v/>
      </c>
    </row>
    <row r="166" spans="1:13" x14ac:dyDescent="0.2">
      <c r="A166" s="146">
        <v>169</v>
      </c>
      <c r="B166" s="146" t="str">
        <f>VLOOKUP( $A166, Aop!$A$2:$N$415, 2, 0)</f>
        <v>BUa</v>
      </c>
      <c r="C166" s="79">
        <f t="shared" si="23"/>
        <v>2</v>
      </c>
      <c r="D166" s="79" t="str">
        <f t="shared" si="20"/>
        <v>01494562</v>
      </c>
      <c r="E166" s="79" t="str">
        <f t="shared" si="21"/>
        <v>4400025960001</v>
      </c>
      <c r="F166" s="79" t="b">
        <f t="shared" si="24"/>
        <v>0</v>
      </c>
      <c r="G166" s="190">
        <f t="shared" si="25"/>
        <v>44377</v>
      </c>
      <c r="H166" s="146">
        <f>VLOOKUP( $A166, Aop!$A$2:$N$415, 4, 0)</f>
        <v>233</v>
      </c>
      <c r="I166" s="79">
        <f t="shared" si="22"/>
        <v>2021</v>
      </c>
      <c r="J166" s="79"/>
      <c r="K166" s="79"/>
      <c r="L166" s="79">
        <f t="shared" ca="1" si="27"/>
        <v>90203</v>
      </c>
      <c r="M166" s="79">
        <f t="shared" ca="1" si="28"/>
        <v>18840</v>
      </c>
    </row>
    <row r="167" spans="1:13" x14ac:dyDescent="0.2">
      <c r="A167" s="146">
        <v>170</v>
      </c>
      <c r="B167" s="146" t="str">
        <f>VLOOKUP( $A167, Aop!$A$2:$N$415, 2, 0)</f>
        <v>BUa</v>
      </c>
      <c r="C167" s="79">
        <f t="shared" si="23"/>
        <v>2</v>
      </c>
      <c r="D167" s="79" t="str">
        <f t="shared" si="20"/>
        <v>01494562</v>
      </c>
      <c r="E167" s="79" t="str">
        <f t="shared" si="21"/>
        <v>4400025960001</v>
      </c>
      <c r="F167" s="79" t="b">
        <f t="shared" si="24"/>
        <v>0</v>
      </c>
      <c r="G167" s="190">
        <f t="shared" si="25"/>
        <v>44377</v>
      </c>
      <c r="H167" s="146">
        <f>VLOOKUP( $A167, Aop!$A$2:$N$415, 4, 0)</f>
        <v>234</v>
      </c>
      <c r="I167" s="79">
        <f t="shared" si="22"/>
        <v>2021</v>
      </c>
      <c r="J167" s="79"/>
      <c r="K167" s="79"/>
      <c r="L167" s="79" t="str">
        <f t="shared" ca="1" si="27"/>
        <v/>
      </c>
      <c r="M167" s="79" t="str">
        <f t="shared" ca="1" si="28"/>
        <v/>
      </c>
    </row>
    <row r="168" spans="1:13" x14ac:dyDescent="0.2">
      <c r="A168" s="146">
        <v>171</v>
      </c>
      <c r="B168" s="146" t="str">
        <f>VLOOKUP( $A168, Aop!$A$2:$N$415, 2, 0)</f>
        <v>BUa</v>
      </c>
      <c r="C168" s="79">
        <f t="shared" si="23"/>
        <v>2</v>
      </c>
      <c r="D168" s="79" t="str">
        <f t="shared" si="20"/>
        <v>01494562</v>
      </c>
      <c r="E168" s="79" t="str">
        <f t="shared" si="21"/>
        <v>4400025960001</v>
      </c>
      <c r="F168" s="79" t="b">
        <f t="shared" si="24"/>
        <v>0</v>
      </c>
      <c r="G168" s="190">
        <f t="shared" si="25"/>
        <v>44377</v>
      </c>
      <c r="H168" s="146">
        <f>VLOOKUP( $A168, Aop!$A$2:$N$415, 4, 0)</f>
        <v>235</v>
      </c>
      <c r="I168" s="79">
        <f t="shared" si="22"/>
        <v>2021</v>
      </c>
      <c r="J168" s="79"/>
      <c r="K168" s="79"/>
      <c r="L168" s="79" t="str">
        <f t="shared" ca="1" si="27"/>
        <v/>
      </c>
      <c r="M168" s="79" t="str">
        <f t="shared" ca="1" si="28"/>
        <v/>
      </c>
    </row>
    <row r="169" spans="1:13" x14ac:dyDescent="0.2">
      <c r="A169" s="146">
        <v>172</v>
      </c>
      <c r="B169" s="146" t="str">
        <f>VLOOKUP( $A169, Aop!$A$2:$N$415, 2, 0)</f>
        <v>BUa</v>
      </c>
      <c r="C169" s="79">
        <f t="shared" si="23"/>
        <v>2</v>
      </c>
      <c r="D169" s="79" t="str">
        <f t="shared" si="20"/>
        <v>01494562</v>
      </c>
      <c r="E169" s="79" t="str">
        <f t="shared" si="21"/>
        <v>4400025960001</v>
      </c>
      <c r="F169" s="79" t="b">
        <f t="shared" si="24"/>
        <v>0</v>
      </c>
      <c r="G169" s="190">
        <f t="shared" si="25"/>
        <v>44377</v>
      </c>
      <c r="H169" s="146">
        <f>VLOOKUP( $A169, Aop!$A$2:$N$415, 4, 0)</f>
        <v>236</v>
      </c>
      <c r="I169" s="79">
        <f t="shared" si="22"/>
        <v>2021</v>
      </c>
      <c r="J169" s="79"/>
      <c r="K169" s="79"/>
      <c r="L169" s="79" t="str">
        <f t="shared" ca="1" si="27"/>
        <v/>
      </c>
      <c r="M169" s="79" t="str">
        <f t="shared" ca="1" si="28"/>
        <v/>
      </c>
    </row>
    <row r="170" spans="1:13" x14ac:dyDescent="0.2">
      <c r="A170" s="146">
        <v>173</v>
      </c>
      <c r="B170" s="146" t="str">
        <f>VLOOKUP( $A170, Aop!$A$2:$N$415, 2, 0)</f>
        <v>BUa</v>
      </c>
      <c r="C170" s="79">
        <f t="shared" si="23"/>
        <v>2</v>
      </c>
      <c r="D170" s="79" t="str">
        <f t="shared" si="20"/>
        <v>01494562</v>
      </c>
      <c r="E170" s="79" t="str">
        <f t="shared" si="21"/>
        <v>4400025960001</v>
      </c>
      <c r="F170" s="79" t="b">
        <f t="shared" si="24"/>
        <v>0</v>
      </c>
      <c r="G170" s="190">
        <f t="shared" si="25"/>
        <v>44377</v>
      </c>
      <c r="H170" s="146">
        <f>VLOOKUP( $A170, Aop!$A$2:$N$415, 4, 0)</f>
        <v>237</v>
      </c>
      <c r="I170" s="79">
        <f t="shared" si="22"/>
        <v>2021</v>
      </c>
      <c r="J170" s="79"/>
      <c r="K170" s="79"/>
      <c r="L170" s="79" t="str">
        <f t="shared" ca="1" si="27"/>
        <v/>
      </c>
      <c r="M170" s="79" t="str">
        <f t="shared" ca="1" si="28"/>
        <v/>
      </c>
    </row>
    <row r="171" spans="1:13" x14ac:dyDescent="0.2">
      <c r="A171" s="146">
        <v>174</v>
      </c>
      <c r="B171" s="79" t="str">
        <f>VLOOKUP( $A171, Aop!$A$2:$N$415, 2, 0)</f>
        <v>BUa</v>
      </c>
      <c r="C171" s="79">
        <f>ID_Izvjestaj</f>
        <v>2</v>
      </c>
      <c r="D171" s="79" t="str">
        <f>Podatak_MB</f>
        <v>01494562</v>
      </c>
      <c r="E171" s="79" t="str">
        <f>Podatak_JIB</f>
        <v>4400025960001</v>
      </c>
      <c r="F171" s="79" t="b">
        <f>Konsolidovan_izvjestaj</f>
        <v>0</v>
      </c>
      <c r="G171" s="190">
        <f>Datum_Broj</f>
        <v>44377</v>
      </c>
      <c r="H171" s="79">
        <f>VLOOKUP( $A171, Aop!$A$2:$N$415, 4, 0)</f>
        <v>238</v>
      </c>
      <c r="I171" s="79">
        <f>Godina</f>
        <v>2021</v>
      </c>
      <c r="J171" s="79"/>
      <c r="K171" s="79"/>
      <c r="L171" s="79">
        <f t="shared" ca="1" si="27"/>
        <v>64449</v>
      </c>
      <c r="M171" s="79">
        <f t="shared" ca="1" si="28"/>
        <v>2289324</v>
      </c>
    </row>
    <row r="172" spans="1:13" x14ac:dyDescent="0.2">
      <c r="A172" s="146">
        <v>175</v>
      </c>
      <c r="B172" s="146" t="str">
        <f>VLOOKUP( $A172, Aop!$A$2:$N$415, 2, 0)</f>
        <v>BUa</v>
      </c>
      <c r="C172" s="79">
        <f t="shared" si="23"/>
        <v>2</v>
      </c>
      <c r="D172" s="79" t="str">
        <f t="shared" si="20"/>
        <v>01494562</v>
      </c>
      <c r="E172" s="79" t="str">
        <f t="shared" si="21"/>
        <v>4400025960001</v>
      </c>
      <c r="F172" s="79" t="b">
        <f t="shared" si="24"/>
        <v>0</v>
      </c>
      <c r="G172" s="190">
        <f t="shared" si="25"/>
        <v>44377</v>
      </c>
      <c r="H172" s="146">
        <f>VLOOKUP( $A172, Aop!$A$2:$N$415, 4, 0)</f>
        <v>239</v>
      </c>
      <c r="I172" s="79">
        <f t="shared" si="22"/>
        <v>2021</v>
      </c>
      <c r="J172" s="79"/>
      <c r="K172" s="79"/>
      <c r="L172" s="79" t="str">
        <f t="shared" ca="1" si="27"/>
        <v/>
      </c>
      <c r="M172" s="79" t="str">
        <f t="shared" ca="1" si="28"/>
        <v/>
      </c>
    </row>
    <row r="173" spans="1:13" x14ac:dyDescent="0.2">
      <c r="A173" s="146">
        <v>176</v>
      </c>
      <c r="B173" s="146" t="str">
        <f>VLOOKUP( $A173, Aop!$A$2:$N$415, 2, 0)</f>
        <v>BUa</v>
      </c>
      <c r="C173" s="79">
        <f t="shared" si="23"/>
        <v>2</v>
      </c>
      <c r="D173" s="79" t="str">
        <f t="shared" si="20"/>
        <v>01494562</v>
      </c>
      <c r="E173" s="79" t="str">
        <f t="shared" si="21"/>
        <v>4400025960001</v>
      </c>
      <c r="F173" s="79" t="b">
        <f t="shared" si="24"/>
        <v>0</v>
      </c>
      <c r="G173" s="190">
        <f t="shared" si="25"/>
        <v>44377</v>
      </c>
      <c r="H173" s="146">
        <f>VLOOKUP( $A173, Aop!$A$2:$N$415, 4, 0)</f>
        <v>240</v>
      </c>
      <c r="I173" s="79">
        <f t="shared" si="22"/>
        <v>2021</v>
      </c>
      <c r="J173" s="79"/>
      <c r="K173" s="79"/>
      <c r="L173" s="79">
        <f t="shared" ca="1" si="27"/>
        <v>64401</v>
      </c>
      <c r="M173" s="79">
        <f t="shared" ca="1" si="28"/>
        <v>2288015</v>
      </c>
    </row>
    <row r="174" spans="1:13" x14ac:dyDescent="0.2">
      <c r="A174" s="146">
        <v>177</v>
      </c>
      <c r="B174" s="146" t="str">
        <f>VLOOKUP( $A174, Aop!$A$2:$N$415, 2, 0)</f>
        <v>BUa</v>
      </c>
      <c r="C174" s="79">
        <f t="shared" si="23"/>
        <v>2</v>
      </c>
      <c r="D174" s="79" t="str">
        <f t="shared" si="20"/>
        <v>01494562</v>
      </c>
      <c r="E174" s="79" t="str">
        <f t="shared" si="21"/>
        <v>4400025960001</v>
      </c>
      <c r="F174" s="79" t="b">
        <f t="shared" si="24"/>
        <v>0</v>
      </c>
      <c r="G174" s="190">
        <f t="shared" si="25"/>
        <v>44377</v>
      </c>
      <c r="H174" s="146">
        <f>VLOOKUP( $A174, Aop!$A$2:$N$415, 4, 0)</f>
        <v>241</v>
      </c>
      <c r="I174" s="79">
        <f t="shared" si="22"/>
        <v>2021</v>
      </c>
      <c r="J174" s="79"/>
      <c r="K174" s="79"/>
      <c r="L174" s="79">
        <f t="shared" ca="1" si="27"/>
        <v>48</v>
      </c>
      <c r="M174" s="79">
        <f t="shared" ca="1" si="28"/>
        <v>1309</v>
      </c>
    </row>
    <row r="175" spans="1:13" x14ac:dyDescent="0.2">
      <c r="A175" s="146">
        <v>178</v>
      </c>
      <c r="B175" s="146" t="str">
        <f>VLOOKUP( $A175, Aop!$A$2:$N$415, 2, 0)</f>
        <v>BUa</v>
      </c>
      <c r="C175" s="79">
        <f t="shared" si="23"/>
        <v>2</v>
      </c>
      <c r="D175" s="79" t="str">
        <f t="shared" si="20"/>
        <v>01494562</v>
      </c>
      <c r="E175" s="79" t="str">
        <f t="shared" si="21"/>
        <v>4400025960001</v>
      </c>
      <c r="F175" s="79" t="b">
        <f t="shared" si="24"/>
        <v>0</v>
      </c>
      <c r="G175" s="190">
        <f t="shared" si="25"/>
        <v>44377</v>
      </c>
      <c r="H175" s="146">
        <f>VLOOKUP( $A175, Aop!$A$2:$N$415, 4, 0)</f>
        <v>242</v>
      </c>
      <c r="I175" s="79">
        <f t="shared" si="22"/>
        <v>2021</v>
      </c>
      <c r="J175" s="79"/>
      <c r="K175" s="79"/>
      <c r="L175" s="79" t="str">
        <f t="shared" ca="1" si="27"/>
        <v/>
      </c>
      <c r="M175" s="79" t="str">
        <f t="shared" ca="1" si="28"/>
        <v/>
      </c>
    </row>
    <row r="176" spans="1:13" x14ac:dyDescent="0.2">
      <c r="A176" s="146">
        <v>179</v>
      </c>
      <c r="B176" s="146" t="str">
        <f>VLOOKUP( $A176, Aop!$A$2:$N$415, 2, 0)</f>
        <v>BUa</v>
      </c>
      <c r="C176" s="79">
        <f t="shared" si="23"/>
        <v>2</v>
      </c>
      <c r="D176" s="79" t="str">
        <f t="shared" si="20"/>
        <v>01494562</v>
      </c>
      <c r="E176" s="79" t="str">
        <f t="shared" si="21"/>
        <v>4400025960001</v>
      </c>
      <c r="F176" s="79" t="b">
        <f t="shared" si="24"/>
        <v>0</v>
      </c>
      <c r="G176" s="190">
        <f t="shared" si="25"/>
        <v>44377</v>
      </c>
      <c r="H176" s="146">
        <f>VLOOKUP( $A176, Aop!$A$2:$N$415, 4, 0)</f>
        <v>243</v>
      </c>
      <c r="I176" s="79">
        <f t="shared" si="22"/>
        <v>2021</v>
      </c>
      <c r="J176" s="79"/>
      <c r="K176" s="79"/>
      <c r="L176" s="79" t="str">
        <f t="shared" ca="1" si="27"/>
        <v/>
      </c>
      <c r="M176" s="79" t="str">
        <f t="shared" ca="1" si="28"/>
        <v/>
      </c>
    </row>
    <row r="177" spans="1:13" x14ac:dyDescent="0.2">
      <c r="A177" s="146">
        <v>180</v>
      </c>
      <c r="B177" s="146" t="str">
        <f>VLOOKUP( $A177, Aop!$A$2:$N$415, 2, 0)</f>
        <v>BUa</v>
      </c>
      <c r="C177" s="79">
        <f t="shared" si="23"/>
        <v>2</v>
      </c>
      <c r="D177" s="79" t="str">
        <f t="shared" si="20"/>
        <v>01494562</v>
      </c>
      <c r="E177" s="79" t="str">
        <f t="shared" si="21"/>
        <v>4400025960001</v>
      </c>
      <c r="F177" s="79" t="b">
        <f t="shared" si="24"/>
        <v>0</v>
      </c>
      <c r="G177" s="190">
        <f t="shared" si="25"/>
        <v>44377</v>
      </c>
      <c r="H177" s="146">
        <f>VLOOKUP( $A177, Aop!$A$2:$N$415, 4, 0)</f>
        <v>244</v>
      </c>
      <c r="I177" s="79">
        <f t="shared" si="22"/>
        <v>2021</v>
      </c>
      <c r="J177" s="79"/>
      <c r="K177" s="79"/>
      <c r="L177" s="79">
        <f t="shared" ca="1" si="27"/>
        <v>0</v>
      </c>
      <c r="M177" s="79">
        <f t="shared" ca="1" si="28"/>
        <v>0</v>
      </c>
    </row>
    <row r="178" spans="1:13" x14ac:dyDescent="0.2">
      <c r="A178" s="146">
        <v>181</v>
      </c>
      <c r="B178" s="146" t="str">
        <f>VLOOKUP( $A178, Aop!$A$2:$N$415, 2, 0)</f>
        <v>BUa</v>
      </c>
      <c r="C178" s="79">
        <f t="shared" si="23"/>
        <v>2</v>
      </c>
      <c r="D178" s="79" t="str">
        <f t="shared" si="20"/>
        <v>01494562</v>
      </c>
      <c r="E178" s="79" t="str">
        <f t="shared" si="21"/>
        <v>4400025960001</v>
      </c>
      <c r="F178" s="79" t="b">
        <f t="shared" si="24"/>
        <v>0</v>
      </c>
      <c r="G178" s="190">
        <f t="shared" si="25"/>
        <v>44377</v>
      </c>
      <c r="H178" s="146">
        <f>VLOOKUP( $A178, Aop!$A$2:$N$415, 4, 0)</f>
        <v>245</v>
      </c>
      <c r="I178" s="79">
        <f t="shared" si="22"/>
        <v>2021</v>
      </c>
      <c r="J178" s="79"/>
      <c r="K178" s="79"/>
      <c r="L178" s="79">
        <f t="shared" ca="1" si="27"/>
        <v>4762171</v>
      </c>
      <c r="M178" s="79">
        <f t="shared" ca="1" si="28"/>
        <v>5239910</v>
      </c>
    </row>
    <row r="179" spans="1:13" x14ac:dyDescent="0.2">
      <c r="A179" s="146">
        <v>183</v>
      </c>
      <c r="B179" s="146" t="str">
        <f>VLOOKUP( $A179, Aop!$A$2:$N$415, 2, 0)</f>
        <v>BUa</v>
      </c>
      <c r="C179" s="79">
        <f t="shared" si="23"/>
        <v>2</v>
      </c>
      <c r="D179" s="79" t="str">
        <f t="shared" si="20"/>
        <v>01494562</v>
      </c>
      <c r="E179" s="79" t="str">
        <f t="shared" si="21"/>
        <v>4400025960001</v>
      </c>
      <c r="F179" s="79" t="b">
        <f t="shared" si="24"/>
        <v>0</v>
      </c>
      <c r="G179" s="190">
        <f t="shared" si="25"/>
        <v>44377</v>
      </c>
      <c r="H179" s="146">
        <f>VLOOKUP( $A179, Aop!$A$2:$N$415, 4, 0)</f>
        <v>246</v>
      </c>
      <c r="I179" s="79">
        <f t="shared" si="22"/>
        <v>2021</v>
      </c>
      <c r="J179" s="79"/>
      <c r="K179" s="79"/>
      <c r="L179" s="79">
        <f t="shared" ca="1" si="27"/>
        <v>396206</v>
      </c>
      <c r="M179" s="79">
        <f t="shared" ca="1" si="28"/>
        <v>83520</v>
      </c>
    </row>
    <row r="180" spans="1:13" x14ac:dyDescent="0.2">
      <c r="A180" s="146">
        <v>184</v>
      </c>
      <c r="B180" s="146" t="str">
        <f>VLOOKUP( $A180, Aop!$A$2:$N$415, 2, 0)</f>
        <v>BUa</v>
      </c>
      <c r="C180" s="79">
        <f t="shared" si="23"/>
        <v>2</v>
      </c>
      <c r="D180" s="79" t="str">
        <f t="shared" si="20"/>
        <v>01494562</v>
      </c>
      <c r="E180" s="79" t="str">
        <f t="shared" si="21"/>
        <v>4400025960001</v>
      </c>
      <c r="F180" s="79" t="b">
        <f t="shared" si="24"/>
        <v>0</v>
      </c>
      <c r="G180" s="190">
        <f t="shared" si="25"/>
        <v>44377</v>
      </c>
      <c r="H180" s="146">
        <f>VLOOKUP( $A180, Aop!$A$2:$N$415, 4, 0)</f>
        <v>247</v>
      </c>
      <c r="I180" s="79">
        <f t="shared" si="22"/>
        <v>2021</v>
      </c>
      <c r="J180" s="79"/>
      <c r="K180" s="79"/>
      <c r="L180" s="79" t="str">
        <f t="shared" ca="1" si="27"/>
        <v/>
      </c>
      <c r="M180" s="79" t="str">
        <f t="shared" ca="1" si="28"/>
        <v/>
      </c>
    </row>
    <row r="181" spans="1:13" x14ac:dyDescent="0.2">
      <c r="A181" s="146">
        <v>185</v>
      </c>
      <c r="B181" s="146" t="str">
        <f>VLOOKUP( $A181, Aop!$A$2:$N$415, 2, 0)</f>
        <v>BUa</v>
      </c>
      <c r="C181" s="79">
        <f t="shared" si="23"/>
        <v>2</v>
      </c>
      <c r="D181" s="79" t="str">
        <f t="shared" si="20"/>
        <v>01494562</v>
      </c>
      <c r="E181" s="79" t="str">
        <f t="shared" si="21"/>
        <v>4400025960001</v>
      </c>
      <c r="F181" s="79" t="b">
        <f t="shared" si="24"/>
        <v>0</v>
      </c>
      <c r="G181" s="190">
        <f t="shared" si="25"/>
        <v>44377</v>
      </c>
      <c r="H181" s="146">
        <f>VLOOKUP( $A181, Aop!$A$2:$N$415, 4, 0)</f>
        <v>248</v>
      </c>
      <c r="I181" s="79">
        <f t="shared" si="22"/>
        <v>2021</v>
      </c>
      <c r="J181" s="79"/>
      <c r="K181" s="79"/>
      <c r="L181" s="79" t="str">
        <f t="shared" ca="1" si="27"/>
        <v/>
      </c>
      <c r="M181" s="79" t="str">
        <f t="shared" ca="1" si="28"/>
        <v/>
      </c>
    </row>
    <row r="182" spans="1:13" x14ac:dyDescent="0.2">
      <c r="A182" s="146">
        <v>186</v>
      </c>
      <c r="B182" s="146" t="str">
        <f>VLOOKUP( $A182, Aop!$A$2:$N$415, 2, 0)</f>
        <v>BUa</v>
      </c>
      <c r="C182" s="79">
        <f t="shared" si="23"/>
        <v>2</v>
      </c>
      <c r="D182" s="79" t="str">
        <f t="shared" si="20"/>
        <v>01494562</v>
      </c>
      <c r="E182" s="79" t="str">
        <f t="shared" si="21"/>
        <v>4400025960001</v>
      </c>
      <c r="F182" s="79" t="b">
        <f t="shared" si="24"/>
        <v>0</v>
      </c>
      <c r="G182" s="190">
        <f t="shared" si="25"/>
        <v>44377</v>
      </c>
      <c r="H182" s="146">
        <f>VLOOKUP( $A182, Aop!$A$2:$N$415, 4, 0)</f>
        <v>249</v>
      </c>
      <c r="I182" s="79">
        <f t="shared" si="22"/>
        <v>2021</v>
      </c>
      <c r="J182" s="79"/>
      <c r="K182" s="79"/>
      <c r="L182" s="79" t="str">
        <f t="shared" ca="1" si="27"/>
        <v/>
      </c>
      <c r="M182" s="79" t="str">
        <f t="shared" ca="1" si="28"/>
        <v/>
      </c>
    </row>
    <row r="183" spans="1:13" x14ac:dyDescent="0.2">
      <c r="A183" s="146">
        <v>187</v>
      </c>
      <c r="B183" s="146" t="str">
        <f>VLOOKUP( $A183, Aop!$A$2:$N$415, 2, 0)</f>
        <v>BUa</v>
      </c>
      <c r="C183" s="79">
        <f t="shared" si="23"/>
        <v>2</v>
      </c>
      <c r="D183" s="79" t="str">
        <f t="shared" si="20"/>
        <v>01494562</v>
      </c>
      <c r="E183" s="79" t="str">
        <f t="shared" si="21"/>
        <v>4400025960001</v>
      </c>
      <c r="F183" s="79" t="b">
        <f t="shared" si="24"/>
        <v>0</v>
      </c>
      <c r="G183" s="190">
        <f t="shared" si="25"/>
        <v>44377</v>
      </c>
      <c r="H183" s="146">
        <f>VLOOKUP( $A183, Aop!$A$2:$N$415, 4, 0)</f>
        <v>250</v>
      </c>
      <c r="I183" s="79">
        <f t="shared" si="22"/>
        <v>2021</v>
      </c>
      <c r="J183" s="79"/>
      <c r="K183" s="79"/>
      <c r="L183" s="79" t="str">
        <f t="shared" ca="1" si="27"/>
        <v/>
      </c>
      <c r="M183" s="79" t="str">
        <f t="shared" ca="1" si="28"/>
        <v/>
      </c>
    </row>
    <row r="184" spans="1:13" x14ac:dyDescent="0.2">
      <c r="A184" s="146">
        <v>188</v>
      </c>
      <c r="B184" s="146" t="str">
        <f>VLOOKUP( $A184, Aop!$A$2:$N$415, 2, 0)</f>
        <v>BUa</v>
      </c>
      <c r="C184" s="79">
        <f t="shared" si="23"/>
        <v>2</v>
      </c>
      <c r="D184" s="79" t="str">
        <f t="shared" si="20"/>
        <v>01494562</v>
      </c>
      <c r="E184" s="79" t="str">
        <f t="shared" si="21"/>
        <v>4400025960001</v>
      </c>
      <c r="F184" s="79" t="b">
        <f t="shared" si="24"/>
        <v>0</v>
      </c>
      <c r="G184" s="190">
        <f t="shared" si="25"/>
        <v>44377</v>
      </c>
      <c r="H184" s="146">
        <f>VLOOKUP( $A184, Aop!$A$2:$N$415, 4, 0)</f>
        <v>251</v>
      </c>
      <c r="I184" s="79">
        <f t="shared" si="22"/>
        <v>2021</v>
      </c>
      <c r="J184" s="79"/>
      <c r="K184" s="79"/>
      <c r="L184" s="79" t="str">
        <f t="shared" ca="1" si="27"/>
        <v/>
      </c>
      <c r="M184" s="79" t="str">
        <f t="shared" ca="1" si="28"/>
        <v/>
      </c>
    </row>
    <row r="185" spans="1:13" x14ac:dyDescent="0.2">
      <c r="A185" s="146">
        <v>189</v>
      </c>
      <c r="B185" s="146" t="str">
        <f>VLOOKUP( $A185, Aop!$A$2:$N$415, 2, 0)</f>
        <v>BUa</v>
      </c>
      <c r="C185" s="79">
        <f t="shared" si="23"/>
        <v>2</v>
      </c>
      <c r="D185" s="79" t="str">
        <f t="shared" si="20"/>
        <v>01494562</v>
      </c>
      <c r="E185" s="79" t="str">
        <f t="shared" si="21"/>
        <v>4400025960001</v>
      </c>
      <c r="F185" s="79" t="b">
        <f t="shared" si="24"/>
        <v>0</v>
      </c>
      <c r="G185" s="190">
        <f t="shared" si="25"/>
        <v>44377</v>
      </c>
      <c r="H185" s="146">
        <f>VLOOKUP( $A185, Aop!$A$2:$N$415, 4, 0)</f>
        <v>252</v>
      </c>
      <c r="I185" s="79">
        <f t="shared" si="22"/>
        <v>2021</v>
      </c>
      <c r="J185" s="79"/>
      <c r="K185" s="79"/>
      <c r="L185" s="79">
        <f t="shared" ca="1" si="27"/>
        <v>40555</v>
      </c>
      <c r="M185" s="79">
        <f t="shared" ca="1" si="28"/>
        <v>260</v>
      </c>
    </row>
    <row r="186" spans="1:13" x14ac:dyDescent="0.2">
      <c r="A186" s="146">
        <v>190</v>
      </c>
      <c r="B186" s="146" t="str">
        <f>VLOOKUP( $A186, Aop!$A$2:$N$415, 2, 0)</f>
        <v>BUa</v>
      </c>
      <c r="C186" s="79">
        <f t="shared" si="23"/>
        <v>2</v>
      </c>
      <c r="D186" s="79" t="str">
        <f t="shared" si="20"/>
        <v>01494562</v>
      </c>
      <c r="E186" s="79" t="str">
        <f t="shared" si="21"/>
        <v>4400025960001</v>
      </c>
      <c r="F186" s="79" t="b">
        <f t="shared" si="24"/>
        <v>0</v>
      </c>
      <c r="G186" s="190">
        <f t="shared" si="25"/>
        <v>44377</v>
      </c>
      <c r="H186" s="146">
        <f>VLOOKUP( $A186, Aop!$A$2:$N$415, 4, 0)</f>
        <v>253</v>
      </c>
      <c r="I186" s="79">
        <f t="shared" si="22"/>
        <v>2021</v>
      </c>
      <c r="J186" s="79"/>
      <c r="K186" s="79"/>
      <c r="L186" s="79" t="str">
        <f t="shared" ca="1" si="27"/>
        <v/>
      </c>
      <c r="M186" s="79" t="str">
        <f t="shared" ca="1" si="28"/>
        <v/>
      </c>
    </row>
    <row r="187" spans="1:13" x14ac:dyDescent="0.2">
      <c r="A187" s="146">
        <v>191</v>
      </c>
      <c r="B187" s="146" t="str">
        <f>VLOOKUP( $A187, Aop!$A$2:$N$415, 2, 0)</f>
        <v>BUa</v>
      </c>
      <c r="C187" s="79">
        <f t="shared" si="23"/>
        <v>2</v>
      </c>
      <c r="D187" s="79" t="str">
        <f t="shared" si="20"/>
        <v>01494562</v>
      </c>
      <c r="E187" s="79" t="str">
        <f t="shared" si="21"/>
        <v>4400025960001</v>
      </c>
      <c r="F187" s="79" t="b">
        <f t="shared" si="24"/>
        <v>0</v>
      </c>
      <c r="G187" s="190">
        <f t="shared" si="25"/>
        <v>44377</v>
      </c>
      <c r="H187" s="146">
        <f>VLOOKUP( $A187, Aop!$A$2:$N$415, 4, 0)</f>
        <v>254</v>
      </c>
      <c r="I187" s="79">
        <f t="shared" si="22"/>
        <v>2021</v>
      </c>
      <c r="J187" s="79"/>
      <c r="K187" s="79"/>
      <c r="L187" s="79">
        <f t="shared" ca="1" si="27"/>
        <v>191680</v>
      </c>
      <c r="M187" s="79" t="str">
        <f t="shared" ca="1" si="28"/>
        <v/>
      </c>
    </row>
    <row r="188" spans="1:13" x14ac:dyDescent="0.2">
      <c r="A188" s="146">
        <v>192</v>
      </c>
      <c r="B188" s="146" t="str">
        <f>VLOOKUP( $A188, Aop!$A$2:$N$415, 2, 0)</f>
        <v>BUa</v>
      </c>
      <c r="C188" s="79">
        <f t="shared" si="23"/>
        <v>2</v>
      </c>
      <c r="D188" s="79" t="str">
        <f t="shared" si="20"/>
        <v>01494562</v>
      </c>
      <c r="E188" s="79" t="str">
        <f t="shared" si="21"/>
        <v>4400025960001</v>
      </c>
      <c r="F188" s="79" t="b">
        <f t="shared" si="24"/>
        <v>0</v>
      </c>
      <c r="G188" s="190">
        <f t="shared" si="25"/>
        <v>44377</v>
      </c>
      <c r="H188" s="146">
        <f>VLOOKUP( $A188, Aop!$A$2:$N$415, 4, 0)</f>
        <v>255</v>
      </c>
      <c r="I188" s="79">
        <f t="shared" si="22"/>
        <v>2021</v>
      </c>
      <c r="J188" s="79"/>
      <c r="K188" s="79"/>
      <c r="L188" s="79" t="str">
        <f t="shared" ca="1" si="27"/>
        <v/>
      </c>
      <c r="M188" s="79" t="str">
        <f t="shared" ca="1" si="28"/>
        <v/>
      </c>
    </row>
    <row r="189" spans="1:13" x14ac:dyDescent="0.2">
      <c r="A189" s="146">
        <v>193</v>
      </c>
      <c r="B189" s="146" t="str">
        <f>VLOOKUP( $A189, Aop!$A$2:$N$415, 2, 0)</f>
        <v>BUa</v>
      </c>
      <c r="C189" s="79">
        <f t="shared" si="23"/>
        <v>2</v>
      </c>
      <c r="D189" s="79" t="str">
        <f t="shared" ref="D189:D250" si="30">Podatak_MB</f>
        <v>01494562</v>
      </c>
      <c r="E189" s="79" t="str">
        <f t="shared" ref="E189:E250" si="31">Podatak_JIB</f>
        <v>4400025960001</v>
      </c>
      <c r="F189" s="79" t="b">
        <f t="shared" si="24"/>
        <v>0</v>
      </c>
      <c r="G189" s="190">
        <f t="shared" si="25"/>
        <v>44377</v>
      </c>
      <c r="H189" s="146">
        <f>VLOOKUP( $A189, Aop!$A$2:$N$415, 4, 0)</f>
        <v>256</v>
      </c>
      <c r="I189" s="79">
        <f t="shared" ref="I189:I250" si="32">Godina</f>
        <v>2021</v>
      </c>
      <c r="J189" s="79"/>
      <c r="K189" s="79"/>
      <c r="L189" s="79">
        <f t="shared" ca="1" si="27"/>
        <v>163971</v>
      </c>
      <c r="M189" s="79">
        <f t="shared" ca="1" si="28"/>
        <v>83260</v>
      </c>
    </row>
    <row r="190" spans="1:13" x14ac:dyDescent="0.2">
      <c r="A190" s="146">
        <v>194</v>
      </c>
      <c r="B190" s="146" t="str">
        <f>VLOOKUP( $A190, Aop!$A$2:$N$415, 2, 0)</f>
        <v>BUa</v>
      </c>
      <c r="C190" s="79">
        <f t="shared" ref="C190:C251" si="33">ID_Izvjestaj</f>
        <v>2</v>
      </c>
      <c r="D190" s="79" t="str">
        <f t="shared" si="30"/>
        <v>01494562</v>
      </c>
      <c r="E190" s="79" t="str">
        <f t="shared" si="31"/>
        <v>4400025960001</v>
      </c>
      <c r="F190" s="79" t="b">
        <f t="shared" ref="F190:F251" si="34">Konsolidovan_izvjestaj</f>
        <v>0</v>
      </c>
      <c r="G190" s="190">
        <f t="shared" ref="G190:G251" si="35">Datum_Broj</f>
        <v>44377</v>
      </c>
      <c r="H190" s="146">
        <f>VLOOKUP( $A190, Aop!$A$2:$N$415, 4, 0)</f>
        <v>257</v>
      </c>
      <c r="I190" s="79">
        <f t="shared" si="32"/>
        <v>2021</v>
      </c>
      <c r="J190" s="79"/>
      <c r="K190" s="79"/>
      <c r="L190" s="79">
        <f t="shared" ca="1" si="27"/>
        <v>98945</v>
      </c>
      <c r="M190" s="79">
        <f t="shared" ca="1" si="28"/>
        <v>145281</v>
      </c>
    </row>
    <row r="191" spans="1:13" x14ac:dyDescent="0.2">
      <c r="A191" s="146">
        <v>195</v>
      </c>
      <c r="B191" s="146" t="str">
        <f>VLOOKUP( $A191, Aop!$A$2:$N$415, 2, 0)</f>
        <v>BUa</v>
      </c>
      <c r="C191" s="79">
        <f t="shared" si="33"/>
        <v>2</v>
      </c>
      <c r="D191" s="79" t="str">
        <f t="shared" si="30"/>
        <v>01494562</v>
      </c>
      <c r="E191" s="79" t="str">
        <f t="shared" si="31"/>
        <v>4400025960001</v>
      </c>
      <c r="F191" s="79" t="b">
        <f t="shared" si="34"/>
        <v>0</v>
      </c>
      <c r="G191" s="190">
        <f t="shared" si="35"/>
        <v>44377</v>
      </c>
      <c r="H191" s="146">
        <f>VLOOKUP( $A191, Aop!$A$2:$N$415, 4, 0)</f>
        <v>258</v>
      </c>
      <c r="I191" s="79">
        <f t="shared" si="32"/>
        <v>2021</v>
      </c>
      <c r="J191" s="79"/>
      <c r="K191" s="79"/>
      <c r="L191" s="79" t="str">
        <f t="shared" ca="1" si="27"/>
        <v/>
      </c>
      <c r="M191" s="79" t="str">
        <f t="shared" ca="1" si="28"/>
        <v/>
      </c>
    </row>
    <row r="192" spans="1:13" x14ac:dyDescent="0.2">
      <c r="A192" s="146">
        <v>196</v>
      </c>
      <c r="B192" s="146" t="str">
        <f>VLOOKUP( $A192, Aop!$A$2:$N$415, 2, 0)</f>
        <v>BUa</v>
      </c>
      <c r="C192" s="79">
        <f t="shared" si="33"/>
        <v>2</v>
      </c>
      <c r="D192" s="79" t="str">
        <f t="shared" si="30"/>
        <v>01494562</v>
      </c>
      <c r="E192" s="79" t="str">
        <f t="shared" si="31"/>
        <v>4400025960001</v>
      </c>
      <c r="F192" s="79" t="b">
        <f t="shared" si="34"/>
        <v>0</v>
      </c>
      <c r="G192" s="190">
        <f t="shared" si="35"/>
        <v>44377</v>
      </c>
      <c r="H192" s="146">
        <f>VLOOKUP( $A192, Aop!$A$2:$N$415, 4, 0)</f>
        <v>259</v>
      </c>
      <c r="I192" s="79">
        <f t="shared" si="32"/>
        <v>2021</v>
      </c>
      <c r="J192" s="79"/>
      <c r="K192" s="79"/>
      <c r="L192" s="79" t="str">
        <f t="shared" ca="1" si="27"/>
        <v/>
      </c>
      <c r="M192" s="79" t="str">
        <f t="shared" ca="1" si="28"/>
        <v/>
      </c>
    </row>
    <row r="193" spans="1:13" x14ac:dyDescent="0.2">
      <c r="A193" s="146">
        <v>197</v>
      </c>
      <c r="B193" s="146" t="str">
        <f>VLOOKUP( $A193, Aop!$A$2:$N$415, 2, 0)</f>
        <v>BUa</v>
      </c>
      <c r="C193" s="79">
        <f t="shared" si="33"/>
        <v>2</v>
      </c>
      <c r="D193" s="79" t="str">
        <f t="shared" si="30"/>
        <v>01494562</v>
      </c>
      <c r="E193" s="79" t="str">
        <f t="shared" si="31"/>
        <v>4400025960001</v>
      </c>
      <c r="F193" s="79" t="b">
        <f t="shared" si="34"/>
        <v>0</v>
      </c>
      <c r="G193" s="190">
        <f t="shared" si="35"/>
        <v>44377</v>
      </c>
      <c r="H193" s="146">
        <f>VLOOKUP( $A193, Aop!$A$2:$N$415, 4, 0)</f>
        <v>260</v>
      </c>
      <c r="I193" s="79">
        <f t="shared" si="32"/>
        <v>2021</v>
      </c>
      <c r="J193" s="79"/>
      <c r="K193" s="79"/>
      <c r="L193" s="79" t="str">
        <f t="shared" ca="1" si="27"/>
        <v/>
      </c>
      <c r="M193" s="79" t="str">
        <f t="shared" ca="1" si="28"/>
        <v/>
      </c>
    </row>
    <row r="194" spans="1:13" x14ac:dyDescent="0.2">
      <c r="A194" s="146">
        <v>198</v>
      </c>
      <c r="B194" s="79" t="str">
        <f>VLOOKUP( $A194, Aop!$A$2:$N$415, 2, 0)</f>
        <v>BUa</v>
      </c>
      <c r="C194" s="79">
        <f>ID_Izvjestaj</f>
        <v>2</v>
      </c>
      <c r="D194" s="79" t="str">
        <f>Podatak_MB</f>
        <v>01494562</v>
      </c>
      <c r="E194" s="79" t="str">
        <f>Podatak_JIB</f>
        <v>4400025960001</v>
      </c>
      <c r="F194" s="79" t="b">
        <f>Konsolidovan_izvjestaj</f>
        <v>0</v>
      </c>
      <c r="G194" s="190">
        <f>Datum_Broj</f>
        <v>44377</v>
      </c>
      <c r="H194" s="79">
        <f>VLOOKUP( $A194, Aop!$A$2:$N$415, 4, 0)</f>
        <v>261</v>
      </c>
      <c r="I194" s="79">
        <f>Godina</f>
        <v>2021</v>
      </c>
      <c r="J194" s="79"/>
      <c r="K194" s="79"/>
      <c r="L194" s="79" t="str">
        <f t="shared" ref="L194:L257" ca="1" si="36">IF( VLOOKUP( $H194, INDIRECT( "Lookup_" &amp; $B194), IF( LEFT( $B194, 2) = "BS", R$2, R$1), 0) = "", "", VLOOKUP( $H194, INDIRECT( "Lookup_" &amp; $B194), IF( LEFT( $B194, 2) = "BS", R$2, R$1), 0))</f>
        <v/>
      </c>
      <c r="M194" s="79" t="str">
        <f t="shared" ref="M194:M257" ca="1" si="37">IF( VLOOKUP( $H194, INDIRECT( "Lookup_" &amp; $B194), IF( LEFT( $B194, 2) = "BS", S$2, S$1), 0) = "", "", VLOOKUP( $H194, INDIRECT( "Lookup_" &amp; $B194), IF( LEFT( $B194, 2) = "BS", S$2, S$1), 0))</f>
        <v/>
      </c>
    </row>
    <row r="195" spans="1:13" x14ac:dyDescent="0.2">
      <c r="A195" s="146">
        <v>199</v>
      </c>
      <c r="B195" s="146" t="str">
        <f>VLOOKUP( $A195, Aop!$A$2:$N$415, 2, 0)</f>
        <v>BUa</v>
      </c>
      <c r="C195" s="79">
        <f t="shared" si="33"/>
        <v>2</v>
      </c>
      <c r="D195" s="79" t="str">
        <f t="shared" si="30"/>
        <v>01494562</v>
      </c>
      <c r="E195" s="79" t="str">
        <f t="shared" si="31"/>
        <v>4400025960001</v>
      </c>
      <c r="F195" s="79" t="b">
        <f t="shared" si="34"/>
        <v>0</v>
      </c>
      <c r="G195" s="190">
        <f t="shared" si="35"/>
        <v>44377</v>
      </c>
      <c r="H195" s="146">
        <f>VLOOKUP( $A195, Aop!$A$2:$N$415, 4, 0)</f>
        <v>262</v>
      </c>
      <c r="I195" s="79">
        <f t="shared" si="32"/>
        <v>2021</v>
      </c>
      <c r="J195" s="79"/>
      <c r="K195" s="79"/>
      <c r="L195" s="79" t="str">
        <f t="shared" ca="1" si="36"/>
        <v/>
      </c>
      <c r="M195" s="79" t="str">
        <f t="shared" ca="1" si="37"/>
        <v/>
      </c>
    </row>
    <row r="196" spans="1:13" x14ac:dyDescent="0.2">
      <c r="A196" s="146">
        <v>200</v>
      </c>
      <c r="B196" s="146" t="str">
        <f>VLOOKUP( $A196, Aop!$A$2:$N$415, 2, 0)</f>
        <v>BUa</v>
      </c>
      <c r="C196" s="79">
        <f t="shared" si="33"/>
        <v>2</v>
      </c>
      <c r="D196" s="79" t="str">
        <f t="shared" si="30"/>
        <v>01494562</v>
      </c>
      <c r="E196" s="79" t="str">
        <f t="shared" si="31"/>
        <v>4400025960001</v>
      </c>
      <c r="F196" s="79" t="b">
        <f t="shared" si="34"/>
        <v>0</v>
      </c>
      <c r="G196" s="190">
        <f t="shared" si="35"/>
        <v>44377</v>
      </c>
      <c r="H196" s="146">
        <f>VLOOKUP( $A196, Aop!$A$2:$N$415, 4, 0)</f>
        <v>263</v>
      </c>
      <c r="I196" s="79">
        <f t="shared" si="32"/>
        <v>2021</v>
      </c>
      <c r="J196" s="79"/>
      <c r="K196" s="79"/>
      <c r="L196" s="79" t="str">
        <f t="shared" ca="1" si="36"/>
        <v/>
      </c>
      <c r="M196" s="79" t="str">
        <f t="shared" ca="1" si="37"/>
        <v/>
      </c>
    </row>
    <row r="197" spans="1:13" x14ac:dyDescent="0.2">
      <c r="A197" s="146">
        <v>201</v>
      </c>
      <c r="B197" s="146" t="str">
        <f>VLOOKUP( $A197, Aop!$A$2:$N$415, 2, 0)</f>
        <v>BUa</v>
      </c>
      <c r="C197" s="79">
        <f t="shared" si="33"/>
        <v>2</v>
      </c>
      <c r="D197" s="79" t="str">
        <f t="shared" si="30"/>
        <v>01494562</v>
      </c>
      <c r="E197" s="79" t="str">
        <f t="shared" si="31"/>
        <v>4400025960001</v>
      </c>
      <c r="F197" s="79" t="b">
        <f t="shared" si="34"/>
        <v>0</v>
      </c>
      <c r="G197" s="190">
        <f t="shared" si="35"/>
        <v>44377</v>
      </c>
      <c r="H197" s="146">
        <f>VLOOKUP( $A197, Aop!$A$2:$N$415, 4, 0)</f>
        <v>264</v>
      </c>
      <c r="I197" s="79">
        <f t="shared" si="32"/>
        <v>2021</v>
      </c>
      <c r="J197" s="79"/>
      <c r="K197" s="79"/>
      <c r="L197" s="79">
        <f t="shared" ca="1" si="36"/>
        <v>1596</v>
      </c>
      <c r="M197" s="79">
        <f t="shared" ca="1" si="37"/>
        <v>19970</v>
      </c>
    </row>
    <row r="198" spans="1:13" x14ac:dyDescent="0.2">
      <c r="A198" s="146">
        <v>202</v>
      </c>
      <c r="B198" s="146" t="str">
        <f>VLOOKUP( $A198, Aop!$A$2:$N$415, 2, 0)</f>
        <v>BUa</v>
      </c>
      <c r="C198" s="79">
        <f t="shared" si="33"/>
        <v>2</v>
      </c>
      <c r="D198" s="79" t="str">
        <f t="shared" si="30"/>
        <v>01494562</v>
      </c>
      <c r="E198" s="79" t="str">
        <f t="shared" si="31"/>
        <v>4400025960001</v>
      </c>
      <c r="F198" s="79" t="b">
        <f t="shared" si="34"/>
        <v>0</v>
      </c>
      <c r="G198" s="190">
        <f t="shared" si="35"/>
        <v>44377</v>
      </c>
      <c r="H198" s="146">
        <f>VLOOKUP( $A198, Aop!$A$2:$N$415, 4, 0)</f>
        <v>265</v>
      </c>
      <c r="I198" s="79">
        <f t="shared" si="32"/>
        <v>2021</v>
      </c>
      <c r="J198" s="79"/>
      <c r="K198" s="79"/>
      <c r="L198" s="79" t="str">
        <f t="shared" ca="1" si="36"/>
        <v/>
      </c>
      <c r="M198" s="79" t="str">
        <f t="shared" ca="1" si="37"/>
        <v/>
      </c>
    </row>
    <row r="199" spans="1:13" x14ac:dyDescent="0.2">
      <c r="A199" s="146">
        <v>203</v>
      </c>
      <c r="B199" s="146" t="str">
        <f>VLOOKUP( $A199, Aop!$A$2:$N$415, 2, 0)</f>
        <v>BUa</v>
      </c>
      <c r="C199" s="79">
        <f t="shared" si="33"/>
        <v>2</v>
      </c>
      <c r="D199" s="79" t="str">
        <f t="shared" si="30"/>
        <v>01494562</v>
      </c>
      <c r="E199" s="79" t="str">
        <f t="shared" si="31"/>
        <v>4400025960001</v>
      </c>
      <c r="F199" s="79" t="b">
        <f t="shared" si="34"/>
        <v>0</v>
      </c>
      <c r="G199" s="190">
        <f t="shared" si="35"/>
        <v>44377</v>
      </c>
      <c r="H199" s="146">
        <f>VLOOKUP( $A199, Aop!$A$2:$N$415, 4, 0)</f>
        <v>266</v>
      </c>
      <c r="I199" s="79">
        <f t="shared" si="32"/>
        <v>2021</v>
      </c>
      <c r="J199" s="79"/>
      <c r="K199" s="79"/>
      <c r="L199" s="79" t="str">
        <f t="shared" ca="1" si="36"/>
        <v/>
      </c>
      <c r="M199" s="79" t="str">
        <f t="shared" ca="1" si="37"/>
        <v/>
      </c>
    </row>
    <row r="200" spans="1:13" x14ac:dyDescent="0.2">
      <c r="A200" s="146">
        <v>204</v>
      </c>
      <c r="B200" s="146" t="str">
        <f>VLOOKUP( $A200, Aop!$A$2:$N$415, 2, 0)</f>
        <v>BUa</v>
      </c>
      <c r="C200" s="79">
        <f t="shared" si="33"/>
        <v>2</v>
      </c>
      <c r="D200" s="79" t="str">
        <f t="shared" si="30"/>
        <v>01494562</v>
      </c>
      <c r="E200" s="79" t="str">
        <f t="shared" si="31"/>
        <v>4400025960001</v>
      </c>
      <c r="F200" s="79" t="b">
        <f t="shared" si="34"/>
        <v>0</v>
      </c>
      <c r="G200" s="190">
        <f t="shared" si="35"/>
        <v>44377</v>
      </c>
      <c r="H200" s="146">
        <f>VLOOKUP( $A200, Aop!$A$2:$N$415, 4, 0)</f>
        <v>267</v>
      </c>
      <c r="I200" s="79">
        <f t="shared" si="32"/>
        <v>2021</v>
      </c>
      <c r="J200" s="79"/>
      <c r="K200" s="79"/>
      <c r="L200" s="79">
        <f t="shared" ca="1" si="36"/>
        <v>97349</v>
      </c>
      <c r="M200" s="79">
        <f t="shared" ca="1" si="37"/>
        <v>125311</v>
      </c>
    </row>
    <row r="201" spans="1:13" x14ac:dyDescent="0.2">
      <c r="A201" s="146">
        <v>205</v>
      </c>
      <c r="B201" s="146" t="str">
        <f>VLOOKUP( $A201, Aop!$A$2:$N$415, 2, 0)</f>
        <v>BUa</v>
      </c>
      <c r="C201" s="79">
        <f t="shared" si="33"/>
        <v>2</v>
      </c>
      <c r="D201" s="79" t="str">
        <f t="shared" si="30"/>
        <v>01494562</v>
      </c>
      <c r="E201" s="79" t="str">
        <f t="shared" si="31"/>
        <v>4400025960001</v>
      </c>
      <c r="F201" s="79" t="b">
        <f t="shared" si="34"/>
        <v>0</v>
      </c>
      <c r="G201" s="190">
        <f t="shared" si="35"/>
        <v>44377</v>
      </c>
      <c r="H201" s="146">
        <f>VLOOKUP( $A201, Aop!$A$2:$N$415, 4, 0)</f>
        <v>268</v>
      </c>
      <c r="I201" s="79">
        <f t="shared" si="32"/>
        <v>2021</v>
      </c>
      <c r="J201" s="79"/>
      <c r="K201" s="79"/>
      <c r="L201" s="79">
        <f t="shared" ca="1" si="36"/>
        <v>297261</v>
      </c>
      <c r="M201" s="79">
        <f t="shared" ca="1" si="37"/>
        <v>0</v>
      </c>
    </row>
    <row r="202" spans="1:13" x14ac:dyDescent="0.2">
      <c r="A202" s="146">
        <v>206</v>
      </c>
      <c r="B202" s="146" t="str">
        <f>VLOOKUP( $A202, Aop!$A$2:$N$415, 2, 0)</f>
        <v>BUa</v>
      </c>
      <c r="C202" s="79">
        <f t="shared" si="33"/>
        <v>2</v>
      </c>
      <c r="D202" s="79" t="str">
        <f t="shared" si="30"/>
        <v>01494562</v>
      </c>
      <c r="E202" s="79" t="str">
        <f t="shared" si="31"/>
        <v>4400025960001</v>
      </c>
      <c r="F202" s="79" t="b">
        <f t="shared" si="34"/>
        <v>0</v>
      </c>
      <c r="G202" s="190">
        <f t="shared" si="35"/>
        <v>44377</v>
      </c>
      <c r="H202" s="146">
        <f>VLOOKUP( $A202, Aop!$A$2:$N$415, 4, 0)</f>
        <v>269</v>
      </c>
      <c r="I202" s="79">
        <f t="shared" si="32"/>
        <v>2021</v>
      </c>
      <c r="J202" s="79"/>
      <c r="K202" s="79"/>
      <c r="L202" s="79">
        <f t="shared" ca="1" si="36"/>
        <v>0</v>
      </c>
      <c r="M202" s="79">
        <f t="shared" ca="1" si="37"/>
        <v>61761</v>
      </c>
    </row>
    <row r="203" spans="1:13" x14ac:dyDescent="0.2">
      <c r="A203" s="146">
        <v>208</v>
      </c>
      <c r="B203" s="146" t="str">
        <f>VLOOKUP( $A203, Aop!$A$2:$N$415, 2, 0)</f>
        <v>BUa</v>
      </c>
      <c r="C203" s="79">
        <f t="shared" si="33"/>
        <v>2</v>
      </c>
      <c r="D203" s="79" t="str">
        <f t="shared" si="30"/>
        <v>01494562</v>
      </c>
      <c r="E203" s="79" t="str">
        <f t="shared" si="31"/>
        <v>4400025960001</v>
      </c>
      <c r="F203" s="79" t="b">
        <f t="shared" si="34"/>
        <v>0</v>
      </c>
      <c r="G203" s="190">
        <f t="shared" si="35"/>
        <v>44377</v>
      </c>
      <c r="H203" s="146">
        <f>VLOOKUP( $A203, Aop!$A$2:$N$415, 4, 0)</f>
        <v>270</v>
      </c>
      <c r="I203" s="79">
        <f t="shared" si="32"/>
        <v>2021</v>
      </c>
      <c r="J203" s="79"/>
      <c r="K203" s="79"/>
      <c r="L203" s="79">
        <f t="shared" ca="1" si="36"/>
        <v>0</v>
      </c>
      <c r="M203" s="79">
        <f t="shared" ca="1" si="37"/>
        <v>0</v>
      </c>
    </row>
    <row r="204" spans="1:13" x14ac:dyDescent="0.2">
      <c r="A204" s="146">
        <v>209</v>
      </c>
      <c r="B204" s="146" t="str">
        <f>VLOOKUP( $A204, Aop!$A$2:$N$415, 2, 0)</f>
        <v>BUa</v>
      </c>
      <c r="C204" s="79">
        <f t="shared" si="33"/>
        <v>2</v>
      </c>
      <c r="D204" s="79" t="str">
        <f t="shared" si="30"/>
        <v>01494562</v>
      </c>
      <c r="E204" s="79" t="str">
        <f t="shared" si="31"/>
        <v>4400025960001</v>
      </c>
      <c r="F204" s="79" t="b">
        <f t="shared" si="34"/>
        <v>0</v>
      </c>
      <c r="G204" s="190">
        <f t="shared" si="35"/>
        <v>44377</v>
      </c>
      <c r="H204" s="146">
        <f>VLOOKUP( $A204, Aop!$A$2:$N$415, 4, 0)</f>
        <v>271</v>
      </c>
      <c r="I204" s="79">
        <f t="shared" si="32"/>
        <v>2021</v>
      </c>
      <c r="J204" s="79"/>
      <c r="K204" s="79"/>
      <c r="L204" s="79" t="str">
        <f t="shared" ca="1" si="36"/>
        <v/>
      </c>
      <c r="M204" s="79" t="str">
        <f t="shared" ca="1" si="37"/>
        <v/>
      </c>
    </row>
    <row r="205" spans="1:13" x14ac:dyDescent="0.2">
      <c r="A205" s="146">
        <v>210</v>
      </c>
      <c r="B205" s="146" t="str">
        <f>VLOOKUP( $A205, Aop!$A$2:$N$415, 2, 0)</f>
        <v>BUa</v>
      </c>
      <c r="C205" s="79">
        <f t="shared" si="33"/>
        <v>2</v>
      </c>
      <c r="D205" s="79" t="str">
        <f t="shared" si="30"/>
        <v>01494562</v>
      </c>
      <c r="E205" s="79" t="str">
        <f t="shared" si="31"/>
        <v>4400025960001</v>
      </c>
      <c r="F205" s="79" t="b">
        <f t="shared" si="34"/>
        <v>0</v>
      </c>
      <c r="G205" s="190">
        <f t="shared" si="35"/>
        <v>44377</v>
      </c>
      <c r="H205" s="146">
        <f>VLOOKUP( $A205, Aop!$A$2:$N$415, 4, 0)</f>
        <v>272</v>
      </c>
      <c r="I205" s="79">
        <f t="shared" si="32"/>
        <v>2021</v>
      </c>
      <c r="J205" s="79"/>
      <c r="K205" s="79"/>
      <c r="L205" s="79" t="str">
        <f t="shared" ca="1" si="36"/>
        <v/>
      </c>
      <c r="M205" s="79" t="str">
        <f t="shared" ca="1" si="37"/>
        <v/>
      </c>
    </row>
    <row r="206" spans="1:13" x14ac:dyDescent="0.2">
      <c r="A206" s="146">
        <v>211</v>
      </c>
      <c r="B206" s="146" t="str">
        <f>VLOOKUP( $A206, Aop!$A$2:$N$415, 2, 0)</f>
        <v>BUa</v>
      </c>
      <c r="C206" s="79">
        <f t="shared" si="33"/>
        <v>2</v>
      </c>
      <c r="D206" s="79" t="str">
        <f t="shared" si="30"/>
        <v>01494562</v>
      </c>
      <c r="E206" s="79" t="str">
        <f t="shared" si="31"/>
        <v>4400025960001</v>
      </c>
      <c r="F206" s="79" t="b">
        <f t="shared" si="34"/>
        <v>0</v>
      </c>
      <c r="G206" s="190">
        <f t="shared" si="35"/>
        <v>44377</v>
      </c>
      <c r="H206" s="146">
        <f>VLOOKUP( $A206, Aop!$A$2:$N$415, 4, 0)</f>
        <v>273</v>
      </c>
      <c r="I206" s="79">
        <f t="shared" si="32"/>
        <v>2021</v>
      </c>
      <c r="J206" s="79"/>
      <c r="K206" s="79"/>
      <c r="L206" s="79" t="str">
        <f t="shared" ca="1" si="36"/>
        <v/>
      </c>
      <c r="M206" s="79" t="str">
        <f t="shared" ca="1" si="37"/>
        <v/>
      </c>
    </row>
    <row r="207" spans="1:13" x14ac:dyDescent="0.2">
      <c r="A207" s="146">
        <v>212</v>
      </c>
      <c r="B207" s="146" t="str">
        <f>VLOOKUP( $A207, Aop!$A$2:$N$415, 2, 0)</f>
        <v>BUa</v>
      </c>
      <c r="C207" s="79">
        <f t="shared" si="33"/>
        <v>2</v>
      </c>
      <c r="D207" s="79" t="str">
        <f t="shared" si="30"/>
        <v>01494562</v>
      </c>
      <c r="E207" s="79" t="str">
        <f t="shared" si="31"/>
        <v>4400025960001</v>
      </c>
      <c r="F207" s="79" t="b">
        <f t="shared" si="34"/>
        <v>0</v>
      </c>
      <c r="G207" s="190">
        <f t="shared" si="35"/>
        <v>44377</v>
      </c>
      <c r="H207" s="146">
        <f>VLOOKUP( $A207, Aop!$A$2:$N$415, 4, 0)</f>
        <v>274</v>
      </c>
      <c r="I207" s="79">
        <f t="shared" si="32"/>
        <v>2021</v>
      </c>
      <c r="J207" s="79"/>
      <c r="K207" s="79"/>
      <c r="L207" s="79" t="str">
        <f t="shared" ca="1" si="36"/>
        <v/>
      </c>
      <c r="M207" s="79" t="str">
        <f t="shared" ca="1" si="37"/>
        <v/>
      </c>
    </row>
    <row r="208" spans="1:13" x14ac:dyDescent="0.2">
      <c r="A208" s="146">
        <v>213</v>
      </c>
      <c r="B208" s="146" t="str">
        <f>VLOOKUP( $A208, Aop!$A$2:$N$415, 2, 0)</f>
        <v>BUa</v>
      </c>
      <c r="C208" s="79">
        <f t="shared" si="33"/>
        <v>2</v>
      </c>
      <c r="D208" s="79" t="str">
        <f t="shared" si="30"/>
        <v>01494562</v>
      </c>
      <c r="E208" s="79" t="str">
        <f t="shared" si="31"/>
        <v>4400025960001</v>
      </c>
      <c r="F208" s="79" t="b">
        <f t="shared" si="34"/>
        <v>0</v>
      </c>
      <c r="G208" s="190">
        <f t="shared" si="35"/>
        <v>44377</v>
      </c>
      <c r="H208" s="146">
        <f>VLOOKUP( $A208, Aop!$A$2:$N$415, 4, 0)</f>
        <v>275</v>
      </c>
      <c r="I208" s="79">
        <f t="shared" si="32"/>
        <v>2021</v>
      </c>
      <c r="J208" s="79"/>
      <c r="K208" s="79"/>
      <c r="L208" s="79" t="str">
        <f t="shared" ca="1" si="36"/>
        <v/>
      </c>
      <c r="M208" s="79" t="str">
        <f t="shared" ca="1" si="37"/>
        <v/>
      </c>
    </row>
    <row r="209" spans="1:13" x14ac:dyDescent="0.2">
      <c r="A209" s="146">
        <v>214</v>
      </c>
      <c r="B209" s="146" t="str">
        <f>VLOOKUP( $A209, Aop!$A$2:$N$415, 2, 0)</f>
        <v>BUa</v>
      </c>
      <c r="C209" s="79">
        <f t="shared" si="33"/>
        <v>2</v>
      </c>
      <c r="D209" s="79" t="str">
        <f t="shared" si="30"/>
        <v>01494562</v>
      </c>
      <c r="E209" s="79" t="str">
        <f t="shared" si="31"/>
        <v>4400025960001</v>
      </c>
      <c r="F209" s="79" t="b">
        <f t="shared" si="34"/>
        <v>0</v>
      </c>
      <c r="G209" s="190">
        <f t="shared" si="35"/>
        <v>44377</v>
      </c>
      <c r="H209" s="146">
        <f>VLOOKUP( $A209, Aop!$A$2:$N$415, 4, 0)</f>
        <v>276</v>
      </c>
      <c r="I209" s="79">
        <f t="shared" si="32"/>
        <v>2021</v>
      </c>
      <c r="J209" s="79"/>
      <c r="K209" s="79"/>
      <c r="L209" s="79" t="str">
        <f t="shared" ca="1" si="36"/>
        <v/>
      </c>
      <c r="M209" s="79" t="str">
        <f t="shared" ca="1" si="37"/>
        <v/>
      </c>
    </row>
    <row r="210" spans="1:13" x14ac:dyDescent="0.2">
      <c r="A210" s="146">
        <v>215</v>
      </c>
      <c r="B210" s="146" t="str">
        <f>VLOOKUP( $A210, Aop!$A$2:$N$415, 2, 0)</f>
        <v>BUa</v>
      </c>
      <c r="C210" s="79">
        <f t="shared" si="33"/>
        <v>2</v>
      </c>
      <c r="D210" s="79" t="str">
        <f t="shared" si="30"/>
        <v>01494562</v>
      </c>
      <c r="E210" s="79" t="str">
        <f t="shared" si="31"/>
        <v>4400025960001</v>
      </c>
      <c r="F210" s="79" t="b">
        <f t="shared" si="34"/>
        <v>0</v>
      </c>
      <c r="G210" s="190">
        <f t="shared" si="35"/>
        <v>44377</v>
      </c>
      <c r="H210" s="146">
        <f>VLOOKUP( $A210, Aop!$A$2:$N$415, 4, 0)</f>
        <v>277</v>
      </c>
      <c r="I210" s="79">
        <f t="shared" si="32"/>
        <v>2021</v>
      </c>
      <c r="J210" s="79"/>
      <c r="K210" s="79"/>
      <c r="L210" s="79" t="str">
        <f t="shared" ca="1" si="36"/>
        <v/>
      </c>
      <c r="M210" s="79" t="str">
        <f t="shared" ca="1" si="37"/>
        <v/>
      </c>
    </row>
    <row r="211" spans="1:13" x14ac:dyDescent="0.2">
      <c r="A211" s="146">
        <v>216</v>
      </c>
      <c r="B211" s="146" t="str">
        <f>VLOOKUP( $A211, Aop!$A$2:$N$415, 2, 0)</f>
        <v>BUa</v>
      </c>
      <c r="C211" s="79">
        <f t="shared" si="33"/>
        <v>2</v>
      </c>
      <c r="D211" s="79" t="str">
        <f t="shared" si="30"/>
        <v>01494562</v>
      </c>
      <c r="E211" s="79" t="str">
        <f t="shared" si="31"/>
        <v>4400025960001</v>
      </c>
      <c r="F211" s="79" t="b">
        <f t="shared" si="34"/>
        <v>0</v>
      </c>
      <c r="G211" s="190">
        <f t="shared" si="35"/>
        <v>44377</v>
      </c>
      <c r="H211" s="146">
        <f>VLOOKUP( $A211, Aop!$A$2:$N$415, 4, 0)</f>
        <v>278</v>
      </c>
      <c r="I211" s="79">
        <f t="shared" si="32"/>
        <v>2021</v>
      </c>
      <c r="J211" s="79"/>
      <c r="K211" s="79"/>
      <c r="L211" s="79" t="str">
        <f t="shared" ca="1" si="36"/>
        <v/>
      </c>
      <c r="M211" s="79" t="str">
        <f t="shared" ca="1" si="37"/>
        <v/>
      </c>
    </row>
    <row r="212" spans="1:13" x14ac:dyDescent="0.2">
      <c r="A212" s="146">
        <v>217</v>
      </c>
      <c r="B212" s="146" t="str">
        <f>VLOOKUP( $A212, Aop!$A$2:$N$415, 2, 0)</f>
        <v>BUa</v>
      </c>
      <c r="C212" s="79">
        <f t="shared" si="33"/>
        <v>2</v>
      </c>
      <c r="D212" s="79" t="str">
        <f t="shared" si="30"/>
        <v>01494562</v>
      </c>
      <c r="E212" s="79" t="str">
        <f t="shared" si="31"/>
        <v>4400025960001</v>
      </c>
      <c r="F212" s="79" t="b">
        <f t="shared" si="34"/>
        <v>0</v>
      </c>
      <c r="G212" s="190">
        <f t="shared" si="35"/>
        <v>44377</v>
      </c>
      <c r="H212" s="146">
        <f>VLOOKUP( $A212, Aop!$A$2:$N$415, 4, 0)</f>
        <v>279</v>
      </c>
      <c r="I212" s="79">
        <f t="shared" si="32"/>
        <v>2021</v>
      </c>
      <c r="J212" s="79"/>
      <c r="K212" s="79"/>
      <c r="L212" s="79" t="str">
        <f t="shared" ca="1" si="36"/>
        <v/>
      </c>
      <c r="M212" s="79" t="str">
        <f t="shared" ca="1" si="37"/>
        <v/>
      </c>
    </row>
    <row r="213" spans="1:13" x14ac:dyDescent="0.2">
      <c r="A213" s="146">
        <v>218</v>
      </c>
      <c r="B213" s="146" t="str">
        <f>VLOOKUP( $A213, Aop!$A$2:$N$415, 2, 0)</f>
        <v>BUa</v>
      </c>
      <c r="C213" s="79">
        <f t="shared" si="33"/>
        <v>2</v>
      </c>
      <c r="D213" s="79" t="str">
        <f t="shared" si="30"/>
        <v>01494562</v>
      </c>
      <c r="E213" s="79" t="str">
        <f t="shared" si="31"/>
        <v>4400025960001</v>
      </c>
      <c r="F213" s="79" t="b">
        <f t="shared" si="34"/>
        <v>0</v>
      </c>
      <c r="G213" s="190">
        <f t="shared" si="35"/>
        <v>44377</v>
      </c>
      <c r="H213" s="146">
        <f>VLOOKUP( $A213, Aop!$A$2:$N$415, 4, 0)</f>
        <v>280</v>
      </c>
      <c r="I213" s="79">
        <f t="shared" si="32"/>
        <v>2021</v>
      </c>
      <c r="J213" s="79"/>
      <c r="K213" s="79"/>
      <c r="L213" s="79">
        <f t="shared" ca="1" si="36"/>
        <v>0</v>
      </c>
      <c r="M213" s="79">
        <f t="shared" ca="1" si="37"/>
        <v>0</v>
      </c>
    </row>
    <row r="214" spans="1:13" x14ac:dyDescent="0.2">
      <c r="A214" s="146">
        <v>219</v>
      </c>
      <c r="B214" s="146" t="str">
        <f>VLOOKUP( $A214, Aop!$A$2:$N$415, 2, 0)</f>
        <v>BUa</v>
      </c>
      <c r="C214" s="79">
        <f t="shared" si="33"/>
        <v>2</v>
      </c>
      <c r="D214" s="79" t="str">
        <f t="shared" si="30"/>
        <v>01494562</v>
      </c>
      <c r="E214" s="79" t="str">
        <f t="shared" si="31"/>
        <v>4400025960001</v>
      </c>
      <c r="F214" s="79" t="b">
        <f t="shared" si="34"/>
        <v>0</v>
      </c>
      <c r="G214" s="190">
        <f t="shared" si="35"/>
        <v>44377</v>
      </c>
      <c r="H214" s="146">
        <f>VLOOKUP( $A214, Aop!$A$2:$N$415, 4, 0)</f>
        <v>281</v>
      </c>
      <c r="I214" s="79">
        <f t="shared" si="32"/>
        <v>2021</v>
      </c>
      <c r="J214" s="79"/>
      <c r="K214" s="79"/>
      <c r="L214" s="79" t="str">
        <f t="shared" ca="1" si="36"/>
        <v/>
      </c>
      <c r="M214" s="79" t="str">
        <f t="shared" ca="1" si="37"/>
        <v/>
      </c>
    </row>
    <row r="215" spans="1:13" x14ac:dyDescent="0.2">
      <c r="A215" s="146">
        <v>220</v>
      </c>
      <c r="B215" s="146" t="str">
        <f>VLOOKUP( $A215, Aop!$A$2:$N$415, 2, 0)</f>
        <v>BUa</v>
      </c>
      <c r="C215" s="79">
        <f t="shared" si="33"/>
        <v>2</v>
      </c>
      <c r="D215" s="79" t="str">
        <f t="shared" si="30"/>
        <v>01494562</v>
      </c>
      <c r="E215" s="79" t="str">
        <f t="shared" si="31"/>
        <v>4400025960001</v>
      </c>
      <c r="F215" s="79" t="b">
        <f t="shared" si="34"/>
        <v>0</v>
      </c>
      <c r="G215" s="190">
        <f t="shared" si="35"/>
        <v>44377</v>
      </c>
      <c r="H215" s="146">
        <f>VLOOKUP( $A215, Aop!$A$2:$N$415, 4, 0)</f>
        <v>282</v>
      </c>
      <c r="I215" s="79">
        <f t="shared" si="32"/>
        <v>2021</v>
      </c>
      <c r="J215" s="79"/>
      <c r="K215" s="79"/>
      <c r="L215" s="79" t="str">
        <f t="shared" ca="1" si="36"/>
        <v/>
      </c>
      <c r="M215" s="79" t="str">
        <f t="shared" ca="1" si="37"/>
        <v/>
      </c>
    </row>
    <row r="216" spans="1:13" x14ac:dyDescent="0.2">
      <c r="A216" s="146">
        <v>221</v>
      </c>
      <c r="B216" s="79" t="str">
        <f>VLOOKUP( $A216, Aop!$A$2:$N$415, 2, 0)</f>
        <v>BUa</v>
      </c>
      <c r="C216" s="79">
        <f>ID_Izvjestaj</f>
        <v>2</v>
      </c>
      <c r="D216" s="79" t="str">
        <f>Podatak_MB</f>
        <v>01494562</v>
      </c>
      <c r="E216" s="79" t="str">
        <f>Podatak_JIB</f>
        <v>4400025960001</v>
      </c>
      <c r="F216" s="79" t="b">
        <f>Konsolidovan_izvjestaj</f>
        <v>0</v>
      </c>
      <c r="G216" s="190">
        <f>Datum_Broj</f>
        <v>44377</v>
      </c>
      <c r="H216" s="79">
        <f>VLOOKUP( $A216, Aop!$A$2:$N$415, 4, 0)</f>
        <v>283</v>
      </c>
      <c r="I216" s="79">
        <f>Godina</f>
        <v>2021</v>
      </c>
      <c r="J216" s="79"/>
      <c r="K216" s="79"/>
      <c r="L216" s="79" t="str">
        <f t="shared" ca="1" si="36"/>
        <v/>
      </c>
      <c r="M216" s="79" t="str">
        <f t="shared" ca="1" si="37"/>
        <v/>
      </c>
    </row>
    <row r="217" spans="1:13" x14ac:dyDescent="0.2">
      <c r="A217" s="146">
        <v>222</v>
      </c>
      <c r="B217" s="146" t="str">
        <f>VLOOKUP( $A217, Aop!$A$2:$N$415, 2, 0)</f>
        <v>BUa</v>
      </c>
      <c r="C217" s="79">
        <f t="shared" si="33"/>
        <v>2</v>
      </c>
      <c r="D217" s="79" t="str">
        <f t="shared" si="30"/>
        <v>01494562</v>
      </c>
      <c r="E217" s="79" t="str">
        <f t="shared" si="31"/>
        <v>4400025960001</v>
      </c>
      <c r="F217" s="79" t="b">
        <f t="shared" si="34"/>
        <v>0</v>
      </c>
      <c r="G217" s="190">
        <f t="shared" si="35"/>
        <v>44377</v>
      </c>
      <c r="H217" s="146">
        <f>VLOOKUP( $A217, Aop!$A$2:$N$415, 4, 0)</f>
        <v>284</v>
      </c>
      <c r="I217" s="79">
        <f t="shared" si="32"/>
        <v>2021</v>
      </c>
      <c r="J217" s="79"/>
      <c r="K217" s="79"/>
      <c r="L217" s="79" t="str">
        <f t="shared" ca="1" si="36"/>
        <v/>
      </c>
      <c r="M217" s="79" t="str">
        <f t="shared" ca="1" si="37"/>
        <v/>
      </c>
    </row>
    <row r="218" spans="1:13" x14ac:dyDescent="0.2">
      <c r="A218" s="146">
        <v>223</v>
      </c>
      <c r="B218" s="146" t="str">
        <f>VLOOKUP( $A218, Aop!$A$2:$N$415, 2, 0)</f>
        <v>BUa</v>
      </c>
      <c r="C218" s="79">
        <f t="shared" si="33"/>
        <v>2</v>
      </c>
      <c r="D218" s="79" t="str">
        <f t="shared" si="30"/>
        <v>01494562</v>
      </c>
      <c r="E218" s="79" t="str">
        <f t="shared" si="31"/>
        <v>4400025960001</v>
      </c>
      <c r="F218" s="79" t="b">
        <f t="shared" si="34"/>
        <v>0</v>
      </c>
      <c r="G218" s="190">
        <f t="shared" si="35"/>
        <v>44377</v>
      </c>
      <c r="H218" s="146">
        <f>VLOOKUP( $A218, Aop!$A$2:$N$415, 4, 0)</f>
        <v>285</v>
      </c>
      <c r="I218" s="79">
        <f t="shared" si="32"/>
        <v>2021</v>
      </c>
      <c r="J218" s="79"/>
      <c r="K218" s="79"/>
      <c r="L218" s="79" t="str">
        <f t="shared" ca="1" si="36"/>
        <v/>
      </c>
      <c r="M218" s="79" t="str">
        <f t="shared" ca="1" si="37"/>
        <v/>
      </c>
    </row>
    <row r="219" spans="1:13" x14ac:dyDescent="0.2">
      <c r="A219" s="146">
        <v>224</v>
      </c>
      <c r="B219" s="79" t="str">
        <f>VLOOKUP( $A219, Aop!$A$2:$N$415, 2, 0)</f>
        <v>BUa</v>
      </c>
      <c r="C219" s="79">
        <f>ID_Izvjestaj</f>
        <v>2</v>
      </c>
      <c r="D219" s="79" t="str">
        <f>Podatak_MB</f>
        <v>01494562</v>
      </c>
      <c r="E219" s="79" t="str">
        <f>Podatak_JIB</f>
        <v>4400025960001</v>
      </c>
      <c r="F219" s="79" t="b">
        <f>Konsolidovan_izvjestaj</f>
        <v>0</v>
      </c>
      <c r="G219" s="190">
        <f>Datum_Broj</f>
        <v>44377</v>
      </c>
      <c r="H219" s="79">
        <f>VLOOKUP( $A219, Aop!$A$2:$N$415, 4, 0)</f>
        <v>286</v>
      </c>
      <c r="I219" s="79">
        <f>Godina</f>
        <v>2021</v>
      </c>
      <c r="J219" s="79"/>
      <c r="K219" s="79"/>
      <c r="L219" s="79" t="str">
        <f t="shared" ca="1" si="36"/>
        <v/>
      </c>
      <c r="M219" s="79" t="str">
        <f t="shared" ca="1" si="37"/>
        <v/>
      </c>
    </row>
    <row r="220" spans="1:13" x14ac:dyDescent="0.2">
      <c r="A220" s="146">
        <v>225</v>
      </c>
      <c r="B220" s="146" t="str">
        <f>VLOOKUP( $A220, Aop!$A$2:$N$415, 2, 0)</f>
        <v>BUa</v>
      </c>
      <c r="C220" s="79">
        <f t="shared" si="33"/>
        <v>2</v>
      </c>
      <c r="D220" s="79" t="str">
        <f t="shared" si="30"/>
        <v>01494562</v>
      </c>
      <c r="E220" s="79" t="str">
        <f t="shared" si="31"/>
        <v>4400025960001</v>
      </c>
      <c r="F220" s="79" t="b">
        <f t="shared" si="34"/>
        <v>0</v>
      </c>
      <c r="G220" s="190">
        <f t="shared" si="35"/>
        <v>44377</v>
      </c>
      <c r="H220" s="146">
        <f>VLOOKUP( $A220, Aop!$A$2:$N$415, 4, 0)</f>
        <v>287</v>
      </c>
      <c r="I220" s="79">
        <f t="shared" si="32"/>
        <v>2021</v>
      </c>
      <c r="J220" s="79"/>
      <c r="K220" s="79"/>
      <c r="L220" s="79" t="str">
        <f t="shared" ca="1" si="36"/>
        <v/>
      </c>
      <c r="M220" s="79" t="str">
        <f t="shared" ca="1" si="37"/>
        <v/>
      </c>
    </row>
    <row r="221" spans="1:13" x14ac:dyDescent="0.2">
      <c r="A221" s="146">
        <v>226</v>
      </c>
      <c r="B221" s="146" t="str">
        <f>VLOOKUP( $A221, Aop!$A$2:$N$415, 2, 0)</f>
        <v>BUa</v>
      </c>
      <c r="C221" s="79">
        <f t="shared" si="33"/>
        <v>2</v>
      </c>
      <c r="D221" s="79" t="str">
        <f t="shared" si="30"/>
        <v>01494562</v>
      </c>
      <c r="E221" s="79" t="str">
        <f t="shared" si="31"/>
        <v>4400025960001</v>
      </c>
      <c r="F221" s="79" t="b">
        <f t="shared" si="34"/>
        <v>0</v>
      </c>
      <c r="G221" s="190">
        <f t="shared" si="35"/>
        <v>44377</v>
      </c>
      <c r="H221" s="146">
        <f>VLOOKUP( $A221, Aop!$A$2:$N$415, 4, 0)</f>
        <v>288</v>
      </c>
      <c r="I221" s="79">
        <f t="shared" si="32"/>
        <v>2021</v>
      </c>
      <c r="J221" s="79"/>
      <c r="K221" s="79"/>
      <c r="L221" s="79" t="str">
        <f t="shared" ca="1" si="36"/>
        <v/>
      </c>
      <c r="M221" s="79" t="str">
        <f t="shared" ca="1" si="37"/>
        <v/>
      </c>
    </row>
    <row r="222" spans="1:13" x14ac:dyDescent="0.2">
      <c r="A222" s="146">
        <v>227</v>
      </c>
      <c r="B222" s="79" t="str">
        <f>VLOOKUP( $A222, Aop!$A$2:$N$415, 2, 0)</f>
        <v>BUa</v>
      </c>
      <c r="C222" s="79">
        <f>ID_Izvjestaj</f>
        <v>2</v>
      </c>
      <c r="D222" s="79" t="str">
        <f>Podatak_MB</f>
        <v>01494562</v>
      </c>
      <c r="E222" s="79" t="str">
        <f>Podatak_JIB</f>
        <v>4400025960001</v>
      </c>
      <c r="F222" s="79" t="b">
        <f>Konsolidovan_izvjestaj</f>
        <v>0</v>
      </c>
      <c r="G222" s="190">
        <f>Datum_Broj</f>
        <v>44377</v>
      </c>
      <c r="H222" s="79">
        <f>VLOOKUP( $A222, Aop!$A$2:$N$415, 4, 0)</f>
        <v>289</v>
      </c>
      <c r="I222" s="79">
        <f>Godina</f>
        <v>2021</v>
      </c>
      <c r="J222" s="79"/>
      <c r="K222" s="79"/>
      <c r="L222" s="79" t="str">
        <f t="shared" ca="1" si="36"/>
        <v/>
      </c>
      <c r="M222" s="79" t="str">
        <f t="shared" ca="1" si="37"/>
        <v/>
      </c>
    </row>
    <row r="223" spans="1:13" x14ac:dyDescent="0.2">
      <c r="A223" s="146">
        <v>228</v>
      </c>
      <c r="B223" s="146" t="str">
        <f>VLOOKUP( $A223, Aop!$A$2:$N$415, 2, 0)</f>
        <v>BUa</v>
      </c>
      <c r="C223" s="79">
        <f t="shared" si="33"/>
        <v>2</v>
      </c>
      <c r="D223" s="79" t="str">
        <f t="shared" si="30"/>
        <v>01494562</v>
      </c>
      <c r="E223" s="79" t="str">
        <f t="shared" si="31"/>
        <v>4400025960001</v>
      </c>
      <c r="F223" s="79" t="b">
        <f t="shared" si="34"/>
        <v>0</v>
      </c>
      <c r="G223" s="190">
        <f t="shared" si="35"/>
        <v>44377</v>
      </c>
      <c r="H223" s="146">
        <f>VLOOKUP( $A223, Aop!$A$2:$N$415, 4, 0)</f>
        <v>290</v>
      </c>
      <c r="I223" s="79">
        <f t="shared" si="32"/>
        <v>2021</v>
      </c>
      <c r="J223" s="79"/>
      <c r="K223" s="79"/>
      <c r="L223" s="79">
        <f t="shared" ca="1" si="36"/>
        <v>0</v>
      </c>
      <c r="M223" s="79">
        <f t="shared" ca="1" si="37"/>
        <v>0</v>
      </c>
    </row>
    <row r="224" spans="1:13" x14ac:dyDescent="0.2">
      <c r="A224" s="146">
        <v>229</v>
      </c>
      <c r="B224" s="146" t="str">
        <f>VLOOKUP( $A224, Aop!$A$2:$N$415, 2, 0)</f>
        <v>BUa</v>
      </c>
      <c r="C224" s="79">
        <f t="shared" si="33"/>
        <v>2</v>
      </c>
      <c r="D224" s="79" t="str">
        <f t="shared" si="30"/>
        <v>01494562</v>
      </c>
      <c r="E224" s="79" t="str">
        <f t="shared" si="31"/>
        <v>4400025960001</v>
      </c>
      <c r="F224" s="79" t="b">
        <f t="shared" si="34"/>
        <v>0</v>
      </c>
      <c r="G224" s="190">
        <f t="shared" si="35"/>
        <v>44377</v>
      </c>
      <c r="H224" s="146">
        <f>VLOOKUP( $A224, Aop!$A$2:$N$415, 4, 0)</f>
        <v>291</v>
      </c>
      <c r="I224" s="79">
        <f t="shared" si="32"/>
        <v>2021</v>
      </c>
      <c r="J224" s="79"/>
      <c r="K224" s="79"/>
      <c r="L224" s="79">
        <f t="shared" ca="1" si="36"/>
        <v>0</v>
      </c>
      <c r="M224" s="79">
        <f t="shared" ca="1" si="37"/>
        <v>0</v>
      </c>
    </row>
    <row r="225" spans="1:13" x14ac:dyDescent="0.2">
      <c r="A225" s="146">
        <v>230</v>
      </c>
      <c r="B225" s="146" t="str">
        <f>VLOOKUP( $A225, Aop!$A$2:$N$415, 2, 0)</f>
        <v>BUa</v>
      </c>
      <c r="C225" s="79">
        <f t="shared" si="33"/>
        <v>2</v>
      </c>
      <c r="D225" s="79" t="str">
        <f t="shared" si="30"/>
        <v>01494562</v>
      </c>
      <c r="E225" s="79" t="str">
        <f t="shared" si="31"/>
        <v>4400025960001</v>
      </c>
      <c r="F225" s="79" t="b">
        <f t="shared" si="34"/>
        <v>0</v>
      </c>
      <c r="G225" s="190">
        <f t="shared" si="35"/>
        <v>44377</v>
      </c>
      <c r="H225" s="146">
        <f>VLOOKUP( $A225, Aop!$A$2:$N$415, 4, 0)</f>
        <v>292</v>
      </c>
      <c r="I225" s="79">
        <f t="shared" si="32"/>
        <v>2021</v>
      </c>
      <c r="J225" s="79"/>
      <c r="K225" s="79"/>
      <c r="L225" s="79">
        <f t="shared" ca="1" si="36"/>
        <v>8361</v>
      </c>
      <c r="M225" s="79">
        <f t="shared" ca="1" si="37"/>
        <v>34383</v>
      </c>
    </row>
    <row r="226" spans="1:13" x14ac:dyDescent="0.2">
      <c r="A226" s="146">
        <v>231</v>
      </c>
      <c r="B226" s="146" t="str">
        <f>VLOOKUP( $A226, Aop!$A$2:$N$415, 2, 0)</f>
        <v>BUa</v>
      </c>
      <c r="C226" s="79">
        <f t="shared" si="33"/>
        <v>2</v>
      </c>
      <c r="D226" s="79" t="str">
        <f t="shared" si="30"/>
        <v>01494562</v>
      </c>
      <c r="E226" s="79" t="str">
        <f t="shared" si="31"/>
        <v>4400025960001</v>
      </c>
      <c r="F226" s="79" t="b">
        <f t="shared" si="34"/>
        <v>0</v>
      </c>
      <c r="G226" s="190">
        <f t="shared" si="35"/>
        <v>44377</v>
      </c>
      <c r="H226" s="146">
        <f>VLOOKUP( $A226, Aop!$A$2:$N$415, 4, 0)</f>
        <v>293</v>
      </c>
      <c r="I226" s="79">
        <f t="shared" si="32"/>
        <v>2021</v>
      </c>
      <c r="J226" s="79"/>
      <c r="K226" s="79"/>
      <c r="L226" s="79">
        <f t="shared" ca="1" si="36"/>
        <v>1414</v>
      </c>
      <c r="M226" s="79">
        <f t="shared" ca="1" si="37"/>
        <v>15893</v>
      </c>
    </row>
    <row r="227" spans="1:13" x14ac:dyDescent="0.2">
      <c r="A227" s="146">
        <v>233</v>
      </c>
      <c r="B227" s="146" t="str">
        <f>VLOOKUP( $A227, Aop!$A$2:$N$415, 2, 0)</f>
        <v>BUa</v>
      </c>
      <c r="C227" s="79">
        <f t="shared" si="33"/>
        <v>2</v>
      </c>
      <c r="D227" s="79" t="str">
        <f t="shared" si="30"/>
        <v>01494562</v>
      </c>
      <c r="E227" s="79" t="str">
        <f t="shared" si="31"/>
        <v>4400025960001</v>
      </c>
      <c r="F227" s="79" t="b">
        <f t="shared" si="34"/>
        <v>0</v>
      </c>
      <c r="G227" s="190">
        <f t="shared" si="35"/>
        <v>44377</v>
      </c>
      <c r="H227" s="146">
        <f>VLOOKUP( $A227, Aop!$A$2:$N$415, 4, 0)</f>
        <v>294</v>
      </c>
      <c r="I227" s="79">
        <f t="shared" si="32"/>
        <v>2021</v>
      </c>
      <c r="J227" s="79"/>
      <c r="K227" s="79"/>
      <c r="L227" s="79">
        <f t="shared" ca="1" si="36"/>
        <v>0</v>
      </c>
      <c r="M227" s="79">
        <f t="shared" ca="1" si="37"/>
        <v>0</v>
      </c>
    </row>
    <row r="228" spans="1:13" x14ac:dyDescent="0.2">
      <c r="A228" s="146">
        <v>234</v>
      </c>
      <c r="B228" s="146" t="str">
        <f>VLOOKUP( $A228, Aop!$A$2:$N$415, 2, 0)</f>
        <v>BUa</v>
      </c>
      <c r="C228" s="79">
        <f t="shared" si="33"/>
        <v>2</v>
      </c>
      <c r="D228" s="79" t="str">
        <f t="shared" si="30"/>
        <v>01494562</v>
      </c>
      <c r="E228" s="79" t="str">
        <f t="shared" si="31"/>
        <v>4400025960001</v>
      </c>
      <c r="F228" s="79" t="b">
        <f t="shared" si="34"/>
        <v>0</v>
      </c>
      <c r="G228" s="190">
        <f t="shared" si="35"/>
        <v>44377</v>
      </c>
      <c r="H228" s="146">
        <f>VLOOKUP( $A228, Aop!$A$2:$N$415, 4, 0)</f>
        <v>295</v>
      </c>
      <c r="I228" s="79">
        <f t="shared" si="32"/>
        <v>2021</v>
      </c>
      <c r="J228" s="79"/>
      <c r="K228" s="79"/>
      <c r="L228" s="79">
        <f t="shared" ca="1" si="36"/>
        <v>4457963</v>
      </c>
      <c r="M228" s="79">
        <f t="shared" ca="1" si="37"/>
        <v>5283181</v>
      </c>
    </row>
    <row r="229" spans="1:13" x14ac:dyDescent="0.2">
      <c r="A229" s="146">
        <v>236</v>
      </c>
      <c r="B229" s="146" t="str">
        <f>VLOOKUP( $A229, Aop!$A$2:$N$415, 2, 0)</f>
        <v>BUa</v>
      </c>
      <c r="C229" s="79">
        <f t="shared" si="33"/>
        <v>2</v>
      </c>
      <c r="D229" s="79" t="str">
        <f t="shared" si="30"/>
        <v>01494562</v>
      </c>
      <c r="E229" s="79" t="str">
        <f t="shared" si="31"/>
        <v>4400025960001</v>
      </c>
      <c r="F229" s="79" t="b">
        <f t="shared" si="34"/>
        <v>0</v>
      </c>
      <c r="G229" s="190">
        <f t="shared" si="35"/>
        <v>44377</v>
      </c>
      <c r="H229" s="146">
        <f>VLOOKUP( $A229, Aop!$A$2:$N$415, 4, 0)</f>
        <v>296</v>
      </c>
      <c r="I229" s="79">
        <f t="shared" si="32"/>
        <v>2021</v>
      </c>
      <c r="J229" s="79"/>
      <c r="K229" s="79"/>
      <c r="L229" s="79" t="str">
        <f t="shared" ca="1" si="36"/>
        <v/>
      </c>
      <c r="M229" s="79" t="str">
        <f t="shared" ca="1" si="37"/>
        <v/>
      </c>
    </row>
    <row r="230" spans="1:13" x14ac:dyDescent="0.2">
      <c r="A230" s="146">
        <v>237</v>
      </c>
      <c r="B230" s="146" t="str">
        <f>VLOOKUP( $A230, Aop!$A$2:$N$415, 2, 0)</f>
        <v>BUa</v>
      </c>
      <c r="C230" s="79">
        <f t="shared" si="33"/>
        <v>2</v>
      </c>
      <c r="D230" s="79" t="str">
        <f t="shared" si="30"/>
        <v>01494562</v>
      </c>
      <c r="E230" s="79" t="str">
        <f t="shared" si="31"/>
        <v>4400025960001</v>
      </c>
      <c r="F230" s="79" t="b">
        <f t="shared" si="34"/>
        <v>0</v>
      </c>
      <c r="G230" s="190">
        <f t="shared" si="35"/>
        <v>44377</v>
      </c>
      <c r="H230" s="146">
        <f>VLOOKUP( $A230, Aop!$A$2:$N$415, 4, 0)</f>
        <v>297</v>
      </c>
      <c r="I230" s="79">
        <f t="shared" si="32"/>
        <v>2021</v>
      </c>
      <c r="J230" s="79"/>
      <c r="K230" s="79"/>
      <c r="L230" s="79" t="str">
        <f t="shared" ca="1" si="36"/>
        <v/>
      </c>
      <c r="M230" s="79" t="str">
        <f t="shared" ca="1" si="37"/>
        <v/>
      </c>
    </row>
    <row r="231" spans="1:13" x14ac:dyDescent="0.2">
      <c r="A231" s="146">
        <v>238</v>
      </c>
      <c r="B231" s="146" t="str">
        <f>VLOOKUP( $A231, Aop!$A$2:$N$415, 2, 0)</f>
        <v>BUa</v>
      </c>
      <c r="C231" s="79">
        <f t="shared" si="33"/>
        <v>2</v>
      </c>
      <c r="D231" s="79" t="str">
        <f t="shared" si="30"/>
        <v>01494562</v>
      </c>
      <c r="E231" s="79" t="str">
        <f t="shared" si="31"/>
        <v>4400025960001</v>
      </c>
      <c r="F231" s="79" t="b">
        <f t="shared" si="34"/>
        <v>0</v>
      </c>
      <c r="G231" s="190">
        <f t="shared" si="35"/>
        <v>44377</v>
      </c>
      <c r="H231" s="146">
        <f>VLOOKUP( $A231, Aop!$A$2:$N$415, 4, 0)</f>
        <v>298</v>
      </c>
      <c r="I231" s="79">
        <f t="shared" si="32"/>
        <v>2021</v>
      </c>
      <c r="J231" s="79"/>
      <c r="K231" s="79"/>
      <c r="L231" s="79" t="str">
        <f t="shared" ca="1" si="36"/>
        <v/>
      </c>
      <c r="M231" s="79" t="str">
        <f t="shared" ca="1" si="37"/>
        <v/>
      </c>
    </row>
    <row r="232" spans="1:13" x14ac:dyDescent="0.2">
      <c r="A232" s="146">
        <v>240</v>
      </c>
      <c r="B232" s="146" t="str">
        <f>VLOOKUP( $A232, Aop!$A$2:$N$415, 2, 0)</f>
        <v>BUa</v>
      </c>
      <c r="C232" s="79">
        <f t="shared" si="33"/>
        <v>2</v>
      </c>
      <c r="D232" s="79" t="str">
        <f t="shared" si="30"/>
        <v>01494562</v>
      </c>
      <c r="E232" s="79" t="str">
        <f t="shared" si="31"/>
        <v>4400025960001</v>
      </c>
      <c r="F232" s="79" t="b">
        <f t="shared" si="34"/>
        <v>0</v>
      </c>
      <c r="G232" s="190">
        <f t="shared" si="35"/>
        <v>44377</v>
      </c>
      <c r="H232" s="146">
        <f>VLOOKUP( $A232, Aop!$A$2:$N$415, 4, 0)</f>
        <v>299</v>
      </c>
      <c r="I232" s="79">
        <f t="shared" si="32"/>
        <v>2021</v>
      </c>
      <c r="J232" s="79"/>
      <c r="K232" s="79"/>
      <c r="L232" s="79">
        <f t="shared" ca="1" si="36"/>
        <v>0</v>
      </c>
      <c r="M232" s="79">
        <f t="shared" ca="1" si="37"/>
        <v>0</v>
      </c>
    </row>
    <row r="233" spans="1:13" x14ac:dyDescent="0.2">
      <c r="A233" s="146">
        <v>241</v>
      </c>
      <c r="B233" s="146" t="str">
        <f>VLOOKUP( $A233, Aop!$A$2:$N$415, 2, 0)</f>
        <v>BUa</v>
      </c>
      <c r="C233" s="79">
        <f t="shared" si="33"/>
        <v>2</v>
      </c>
      <c r="D233" s="79" t="str">
        <f t="shared" si="30"/>
        <v>01494562</v>
      </c>
      <c r="E233" s="79" t="str">
        <f t="shared" si="31"/>
        <v>4400025960001</v>
      </c>
      <c r="F233" s="79" t="b">
        <f t="shared" si="34"/>
        <v>0</v>
      </c>
      <c r="G233" s="190">
        <f t="shared" si="35"/>
        <v>44377</v>
      </c>
      <c r="H233" s="146">
        <f>VLOOKUP( $A233, Aop!$A$2:$N$415, 4, 0)</f>
        <v>300</v>
      </c>
      <c r="I233" s="79">
        <f t="shared" si="32"/>
        <v>2021</v>
      </c>
      <c r="J233" s="79"/>
      <c r="K233" s="79"/>
      <c r="L233" s="79">
        <f t="shared" ca="1" si="36"/>
        <v>4457963</v>
      </c>
      <c r="M233" s="79">
        <f t="shared" ca="1" si="37"/>
        <v>5283181</v>
      </c>
    </row>
    <row r="234" spans="1:13" x14ac:dyDescent="0.2">
      <c r="A234" s="146">
        <v>242</v>
      </c>
      <c r="B234" s="146" t="str">
        <f>VLOOKUP( $A234, Aop!$A$2:$N$415, 2, 0)</f>
        <v>BUa</v>
      </c>
      <c r="C234" s="79">
        <f t="shared" si="33"/>
        <v>2</v>
      </c>
      <c r="D234" s="79" t="str">
        <f t="shared" si="30"/>
        <v>01494562</v>
      </c>
      <c r="E234" s="79" t="str">
        <f t="shared" si="31"/>
        <v>4400025960001</v>
      </c>
      <c r="F234" s="79" t="b">
        <f t="shared" si="34"/>
        <v>0</v>
      </c>
      <c r="G234" s="190">
        <f t="shared" si="35"/>
        <v>44377</v>
      </c>
      <c r="H234" s="146">
        <f>VLOOKUP( $A234, Aop!$A$2:$N$415, 4, 0)</f>
        <v>301</v>
      </c>
      <c r="I234" s="79">
        <f t="shared" si="32"/>
        <v>2021</v>
      </c>
      <c r="J234" s="79"/>
      <c r="K234" s="79"/>
      <c r="L234" s="79">
        <f t="shared" ca="1" si="36"/>
        <v>12964463</v>
      </c>
      <c r="M234" s="79">
        <f t="shared" ca="1" si="37"/>
        <v>15483180</v>
      </c>
    </row>
    <row r="235" spans="1:13" x14ac:dyDescent="0.2">
      <c r="A235" s="146">
        <v>243</v>
      </c>
      <c r="B235" s="146" t="str">
        <f>VLOOKUP( $A235, Aop!$A$2:$N$415, 2, 0)</f>
        <v>BUa</v>
      </c>
      <c r="C235" s="79">
        <f t="shared" si="33"/>
        <v>2</v>
      </c>
      <c r="D235" s="79" t="str">
        <f t="shared" si="30"/>
        <v>01494562</v>
      </c>
      <c r="E235" s="79" t="str">
        <f t="shared" si="31"/>
        <v>4400025960001</v>
      </c>
      <c r="F235" s="79" t="b">
        <f t="shared" si="34"/>
        <v>0</v>
      </c>
      <c r="G235" s="190">
        <f t="shared" si="35"/>
        <v>44377</v>
      </c>
      <c r="H235" s="146">
        <f>VLOOKUP( $A235, Aop!$A$2:$N$415, 4, 0)</f>
        <v>302</v>
      </c>
      <c r="I235" s="79">
        <f t="shared" si="32"/>
        <v>2021</v>
      </c>
      <c r="J235" s="79"/>
      <c r="K235" s="79"/>
      <c r="L235" s="79">
        <f t="shared" ca="1" si="36"/>
        <v>17422426</v>
      </c>
      <c r="M235" s="79">
        <f t="shared" ca="1" si="37"/>
        <v>20766361</v>
      </c>
    </row>
    <row r="236" spans="1:13" x14ac:dyDescent="0.2">
      <c r="A236" s="146">
        <v>244</v>
      </c>
      <c r="B236" s="146" t="str">
        <f>VLOOKUP( $A236, Aop!$A$2:$N$415, 2, 0)</f>
        <v>BUa</v>
      </c>
      <c r="C236" s="79">
        <f t="shared" si="33"/>
        <v>2</v>
      </c>
      <c r="D236" s="79" t="str">
        <f t="shared" si="30"/>
        <v>01494562</v>
      </c>
      <c r="E236" s="79" t="str">
        <f t="shared" si="31"/>
        <v>4400025960001</v>
      </c>
      <c r="F236" s="79" t="b">
        <f t="shared" si="34"/>
        <v>0</v>
      </c>
      <c r="G236" s="190">
        <f t="shared" si="35"/>
        <v>44377</v>
      </c>
      <c r="H236" s="146">
        <f>VLOOKUP( $A236, Aop!$A$2:$N$415, 4, 0)</f>
        <v>303</v>
      </c>
      <c r="I236" s="79">
        <f t="shared" si="32"/>
        <v>2021</v>
      </c>
      <c r="J236" s="79"/>
      <c r="K236" s="79"/>
      <c r="L236" s="79" t="str">
        <f t="shared" ca="1" si="36"/>
        <v/>
      </c>
      <c r="M236" s="79" t="str">
        <f t="shared" ca="1" si="37"/>
        <v/>
      </c>
    </row>
    <row r="237" spans="1:13" x14ac:dyDescent="0.2">
      <c r="A237" s="146">
        <v>245</v>
      </c>
      <c r="B237" s="146" t="str">
        <f>VLOOKUP( $A237, Aop!$A$2:$N$415, 2, 0)</f>
        <v>BUa</v>
      </c>
      <c r="C237" s="79">
        <f t="shared" si="33"/>
        <v>2</v>
      </c>
      <c r="D237" s="79" t="str">
        <f t="shared" si="30"/>
        <v>01494562</v>
      </c>
      <c r="E237" s="79" t="str">
        <f t="shared" si="31"/>
        <v>4400025960001</v>
      </c>
      <c r="F237" s="79" t="b">
        <f t="shared" si="34"/>
        <v>0</v>
      </c>
      <c r="G237" s="190">
        <f t="shared" si="35"/>
        <v>44377</v>
      </c>
      <c r="H237" s="146">
        <f>VLOOKUP( $A237, Aop!$A$2:$N$415, 4, 0)</f>
        <v>304</v>
      </c>
      <c r="I237" s="79">
        <f t="shared" si="32"/>
        <v>2021</v>
      </c>
      <c r="J237" s="79"/>
      <c r="K237" s="79"/>
      <c r="L237" s="79" t="str">
        <f t="shared" ca="1" si="36"/>
        <v/>
      </c>
      <c r="M237" s="79" t="str">
        <f t="shared" ca="1" si="37"/>
        <v/>
      </c>
    </row>
    <row r="238" spans="1:13" x14ac:dyDescent="0.2">
      <c r="A238" s="146">
        <v>246</v>
      </c>
      <c r="B238" s="146" t="str">
        <f>VLOOKUP( $A238, Aop!$A$2:$N$415, 2, 0)</f>
        <v>BUa</v>
      </c>
      <c r="C238" s="79">
        <f t="shared" si="33"/>
        <v>2</v>
      </c>
      <c r="D238" s="79" t="str">
        <f t="shared" si="30"/>
        <v>01494562</v>
      </c>
      <c r="E238" s="79" t="str">
        <f t="shared" si="31"/>
        <v>4400025960001</v>
      </c>
      <c r="F238" s="79" t="b">
        <f t="shared" si="34"/>
        <v>0</v>
      </c>
      <c r="G238" s="190">
        <f t="shared" si="35"/>
        <v>44377</v>
      </c>
      <c r="H238" s="146">
        <f>VLOOKUP( $A238, Aop!$A$2:$N$415, 4, 0)</f>
        <v>305</v>
      </c>
      <c r="I238" s="79">
        <f t="shared" si="32"/>
        <v>2021</v>
      </c>
      <c r="J238" s="79"/>
      <c r="K238" s="79"/>
      <c r="L238" s="79" t="str">
        <f t="shared" ca="1" si="36"/>
        <v/>
      </c>
      <c r="M238" s="79" t="str">
        <f t="shared" ca="1" si="37"/>
        <v/>
      </c>
    </row>
    <row r="239" spans="1:13" x14ac:dyDescent="0.2">
      <c r="A239" s="146">
        <v>247</v>
      </c>
      <c r="B239" s="146" t="str">
        <f>VLOOKUP( $A239, Aop!$A$2:$N$415, 2, 0)</f>
        <v>BUa</v>
      </c>
      <c r="C239" s="79">
        <f t="shared" si="33"/>
        <v>2</v>
      </c>
      <c r="D239" s="79" t="str">
        <f t="shared" si="30"/>
        <v>01494562</v>
      </c>
      <c r="E239" s="79" t="str">
        <f t="shared" si="31"/>
        <v>4400025960001</v>
      </c>
      <c r="F239" s="79" t="b">
        <f t="shared" si="34"/>
        <v>0</v>
      </c>
      <c r="G239" s="190">
        <f t="shared" si="35"/>
        <v>44377</v>
      </c>
      <c r="H239" s="146">
        <f>VLOOKUP( $A239, Aop!$A$2:$N$415, 4, 0)</f>
        <v>306</v>
      </c>
      <c r="I239" s="79">
        <f t="shared" si="32"/>
        <v>2021</v>
      </c>
      <c r="J239" s="79"/>
      <c r="K239" s="79"/>
      <c r="L239" s="79" t="str">
        <f t="shared" ca="1" si="36"/>
        <v/>
      </c>
      <c r="M239" s="79" t="str">
        <f t="shared" ca="1" si="37"/>
        <v/>
      </c>
    </row>
    <row r="240" spans="1:13" x14ac:dyDescent="0.2">
      <c r="A240" s="146">
        <v>248</v>
      </c>
      <c r="B240" s="146" t="str">
        <f>VLOOKUP( $A240, Aop!$A$2:$N$415, 2, 0)</f>
        <v>BUa</v>
      </c>
      <c r="C240" s="79">
        <f t="shared" si="33"/>
        <v>2</v>
      </c>
      <c r="D240" s="79" t="str">
        <f t="shared" si="30"/>
        <v>01494562</v>
      </c>
      <c r="E240" s="79" t="str">
        <f t="shared" si="31"/>
        <v>4400025960001</v>
      </c>
      <c r="F240" s="79" t="b">
        <f t="shared" si="34"/>
        <v>0</v>
      </c>
      <c r="G240" s="190">
        <f t="shared" si="35"/>
        <v>44377</v>
      </c>
      <c r="H240" s="146">
        <f>VLOOKUP( $A240, Aop!$A$2:$N$415, 4, 0)</f>
        <v>307</v>
      </c>
      <c r="I240" s="79">
        <f t="shared" si="32"/>
        <v>2021</v>
      </c>
      <c r="J240" s="79"/>
      <c r="K240" s="79"/>
      <c r="L240" s="79" t="str">
        <f t="shared" ca="1" si="36"/>
        <v/>
      </c>
      <c r="M240" s="79" t="str">
        <f t="shared" ca="1" si="37"/>
        <v/>
      </c>
    </row>
    <row r="241" spans="1:13" x14ac:dyDescent="0.2">
      <c r="A241" s="146">
        <v>249</v>
      </c>
      <c r="B241" s="146" t="str">
        <f>VLOOKUP( $A241, Aop!$A$2:$N$415, 2, 0)</f>
        <v>BUa</v>
      </c>
      <c r="C241" s="79">
        <f t="shared" si="33"/>
        <v>2</v>
      </c>
      <c r="D241" s="79" t="str">
        <f t="shared" si="30"/>
        <v>01494562</v>
      </c>
      <c r="E241" s="79" t="str">
        <f t="shared" si="31"/>
        <v>4400025960001</v>
      </c>
      <c r="F241" s="79" t="b">
        <f t="shared" si="34"/>
        <v>0</v>
      </c>
      <c r="G241" s="190">
        <f t="shared" si="35"/>
        <v>44377</v>
      </c>
      <c r="H241" s="146">
        <f>VLOOKUP( $A241, Aop!$A$2:$N$415, 4, 0)</f>
        <v>308</v>
      </c>
      <c r="I241" s="79">
        <f t="shared" si="32"/>
        <v>2021</v>
      </c>
      <c r="J241" s="79"/>
      <c r="K241" s="79"/>
      <c r="L241" s="79">
        <f t="shared" ca="1" si="36"/>
        <v>2137</v>
      </c>
      <c r="M241" s="79">
        <f t="shared" ca="1" si="37"/>
        <v>2119</v>
      </c>
    </row>
    <row r="242" spans="1:13" x14ac:dyDescent="0.2">
      <c r="A242" s="146">
        <v>250</v>
      </c>
      <c r="B242" s="146" t="str">
        <f>VLOOKUP( $A242, Aop!$A$2:$N$415, 2, 0)</f>
        <v>BUa</v>
      </c>
      <c r="C242" s="79">
        <f t="shared" si="33"/>
        <v>2</v>
      </c>
      <c r="D242" s="79" t="str">
        <f t="shared" si="30"/>
        <v>01494562</v>
      </c>
      <c r="E242" s="79" t="str">
        <f t="shared" si="31"/>
        <v>4400025960001</v>
      </c>
      <c r="F242" s="79" t="b">
        <f t="shared" si="34"/>
        <v>0</v>
      </c>
      <c r="G242" s="190">
        <f t="shared" si="35"/>
        <v>44377</v>
      </c>
      <c r="H242" s="146">
        <f>VLOOKUP( $A242, Aop!$A$2:$N$415, 4, 0)</f>
        <v>309</v>
      </c>
      <c r="I242" s="79">
        <f t="shared" si="32"/>
        <v>2021</v>
      </c>
      <c r="J242" s="79"/>
      <c r="K242" s="79"/>
      <c r="L242" s="79">
        <f t="shared" ca="1" si="36"/>
        <v>2169</v>
      </c>
      <c r="M242" s="79">
        <f t="shared" ca="1" si="37"/>
        <v>2247</v>
      </c>
    </row>
    <row r="243" spans="1:13" x14ac:dyDescent="0.2">
      <c r="A243" s="146">
        <v>251</v>
      </c>
      <c r="B243" s="146" t="str">
        <f>VLOOKUP( $A243, Aop!$A$2:$N$415, 2, 0)</f>
        <v>BUb</v>
      </c>
      <c r="C243" s="79">
        <f t="shared" si="33"/>
        <v>2</v>
      </c>
      <c r="D243" s="79" t="str">
        <f t="shared" si="30"/>
        <v>01494562</v>
      </c>
      <c r="E243" s="79" t="str">
        <f t="shared" si="31"/>
        <v>4400025960001</v>
      </c>
      <c r="F243" s="79" t="b">
        <f t="shared" si="34"/>
        <v>0</v>
      </c>
      <c r="G243" s="190">
        <f t="shared" si="35"/>
        <v>44377</v>
      </c>
      <c r="H243" s="146">
        <f>VLOOKUP( $A243, Aop!$A$2:$N$415, 4, 0)</f>
        <v>400</v>
      </c>
      <c r="I243" s="79">
        <f t="shared" si="32"/>
        <v>2021</v>
      </c>
      <c r="J243" s="79"/>
      <c r="K243" s="79"/>
      <c r="L243" s="79">
        <f t="shared" ca="1" si="36"/>
        <v>-4457963</v>
      </c>
      <c r="M243" s="79">
        <f t="shared" ca="1" si="37"/>
        <v>-5283181</v>
      </c>
    </row>
    <row r="244" spans="1:13" x14ac:dyDescent="0.2">
      <c r="A244" s="146">
        <v>252</v>
      </c>
      <c r="B244" s="146" t="str">
        <f>VLOOKUP( $A244, Aop!$A$2:$N$415, 2, 0)</f>
        <v>BUb</v>
      </c>
      <c r="C244" s="79">
        <f t="shared" si="33"/>
        <v>2</v>
      </c>
      <c r="D244" s="79" t="str">
        <f t="shared" si="30"/>
        <v>01494562</v>
      </c>
      <c r="E244" s="79" t="str">
        <f t="shared" si="31"/>
        <v>4400025960001</v>
      </c>
      <c r="F244" s="79" t="b">
        <f t="shared" si="34"/>
        <v>0</v>
      </c>
      <c r="G244" s="190">
        <f t="shared" si="35"/>
        <v>44377</v>
      </c>
      <c r="H244" s="146">
        <f>VLOOKUP( $A244, Aop!$A$2:$N$415, 4, 0)</f>
        <v>401</v>
      </c>
      <c r="I244" s="79">
        <f t="shared" si="32"/>
        <v>2021</v>
      </c>
      <c r="J244" s="79"/>
      <c r="K244" s="79"/>
      <c r="L244" s="79">
        <f t="shared" ca="1" si="36"/>
        <v>0</v>
      </c>
      <c r="M244" s="79">
        <f t="shared" ca="1" si="37"/>
        <v>0</v>
      </c>
    </row>
    <row r="245" spans="1:13" x14ac:dyDescent="0.2">
      <c r="A245" s="146">
        <v>253</v>
      </c>
      <c r="B245" s="146" t="str">
        <f>VLOOKUP( $A245, Aop!$A$2:$N$415, 2, 0)</f>
        <v>BUb</v>
      </c>
      <c r="C245" s="79">
        <f t="shared" si="33"/>
        <v>2</v>
      </c>
      <c r="D245" s="79" t="str">
        <f t="shared" si="30"/>
        <v>01494562</v>
      </c>
      <c r="E245" s="79" t="str">
        <f t="shared" si="31"/>
        <v>4400025960001</v>
      </c>
      <c r="F245" s="79" t="b">
        <f t="shared" si="34"/>
        <v>0</v>
      </c>
      <c r="G245" s="190">
        <f t="shared" si="35"/>
        <v>44377</v>
      </c>
      <c r="H245" s="146">
        <f>VLOOKUP( $A245, Aop!$A$2:$N$415, 4, 0)</f>
        <v>402</v>
      </c>
      <c r="I245" s="79">
        <f t="shared" si="32"/>
        <v>2021</v>
      </c>
      <c r="J245" s="79"/>
      <c r="K245" s="79"/>
      <c r="L245" s="79" t="str">
        <f t="shared" ca="1" si="36"/>
        <v/>
      </c>
      <c r="M245" s="79" t="str">
        <f t="shared" ca="1" si="37"/>
        <v/>
      </c>
    </row>
    <row r="246" spans="1:13" x14ac:dyDescent="0.2">
      <c r="A246" s="146">
        <v>254</v>
      </c>
      <c r="B246" s="79" t="str">
        <f>VLOOKUP( $A246, Aop!$A$2:$N$415, 2, 0)</f>
        <v>BUb</v>
      </c>
      <c r="C246" s="79">
        <f>ID_Izvjestaj</f>
        <v>2</v>
      </c>
      <c r="D246" s="79" t="str">
        <f>Podatak_MB</f>
        <v>01494562</v>
      </c>
      <c r="E246" s="79" t="str">
        <f>Podatak_JIB</f>
        <v>4400025960001</v>
      </c>
      <c r="F246" s="79" t="b">
        <f>Konsolidovan_izvjestaj</f>
        <v>0</v>
      </c>
      <c r="G246" s="190">
        <f>Datum_Broj</f>
        <v>44377</v>
      </c>
      <c r="H246" s="79">
        <f>VLOOKUP( $A246, Aop!$A$2:$N$415, 4, 0)</f>
        <v>403</v>
      </c>
      <c r="I246" s="79">
        <f>Godina</f>
        <v>2021</v>
      </c>
      <c r="J246" s="79"/>
      <c r="K246" s="79"/>
      <c r="L246" s="79" t="str">
        <f t="shared" ca="1" si="36"/>
        <v/>
      </c>
      <c r="M246" s="79" t="str">
        <f t="shared" ca="1" si="37"/>
        <v/>
      </c>
    </row>
    <row r="247" spans="1:13" x14ac:dyDescent="0.2">
      <c r="A247" s="146">
        <v>255</v>
      </c>
      <c r="B247" s="146" t="str">
        <f>VLOOKUP( $A247, Aop!$A$2:$N$415, 2, 0)</f>
        <v>BUb</v>
      </c>
      <c r="C247" s="79">
        <f t="shared" si="33"/>
        <v>2</v>
      </c>
      <c r="D247" s="79" t="str">
        <f t="shared" si="30"/>
        <v>01494562</v>
      </c>
      <c r="E247" s="79" t="str">
        <f t="shared" si="31"/>
        <v>4400025960001</v>
      </c>
      <c r="F247" s="79" t="b">
        <f t="shared" si="34"/>
        <v>0</v>
      </c>
      <c r="G247" s="190">
        <f t="shared" si="35"/>
        <v>44377</v>
      </c>
      <c r="H247" s="146">
        <f>VLOOKUP( $A247, Aop!$A$2:$N$415, 4, 0)</f>
        <v>404</v>
      </c>
      <c r="I247" s="79">
        <f t="shared" si="32"/>
        <v>2021</v>
      </c>
      <c r="J247" s="79"/>
      <c r="K247" s="79"/>
      <c r="L247" s="79" t="str">
        <f t="shared" ca="1" si="36"/>
        <v/>
      </c>
      <c r="M247" s="79" t="str">
        <f t="shared" ca="1" si="37"/>
        <v/>
      </c>
    </row>
    <row r="248" spans="1:13" x14ac:dyDescent="0.2">
      <c r="A248" s="146">
        <v>256</v>
      </c>
      <c r="B248" s="146" t="str">
        <f>VLOOKUP( $A248, Aop!$A$2:$N$415, 2, 0)</f>
        <v>BUb</v>
      </c>
      <c r="C248" s="79">
        <f t="shared" si="33"/>
        <v>2</v>
      </c>
      <c r="D248" s="79" t="str">
        <f t="shared" si="30"/>
        <v>01494562</v>
      </c>
      <c r="E248" s="79" t="str">
        <f t="shared" si="31"/>
        <v>4400025960001</v>
      </c>
      <c r="F248" s="79" t="b">
        <f t="shared" si="34"/>
        <v>0</v>
      </c>
      <c r="G248" s="190">
        <f t="shared" si="35"/>
        <v>44377</v>
      </c>
      <c r="H248" s="146">
        <f>VLOOKUP( $A248, Aop!$A$2:$N$415, 4, 0)</f>
        <v>405</v>
      </c>
      <c r="I248" s="79">
        <f t="shared" si="32"/>
        <v>2021</v>
      </c>
      <c r="J248" s="79"/>
      <c r="K248" s="79"/>
      <c r="L248" s="79" t="str">
        <f t="shared" ca="1" si="36"/>
        <v/>
      </c>
      <c r="M248" s="79" t="str">
        <f t="shared" ca="1" si="37"/>
        <v/>
      </c>
    </row>
    <row r="249" spans="1:13" x14ac:dyDescent="0.2">
      <c r="A249" s="146">
        <v>257</v>
      </c>
      <c r="B249" s="79" t="str">
        <f>VLOOKUP( $A249, Aop!$A$2:$N$415, 2, 0)</f>
        <v>BUb</v>
      </c>
      <c r="C249" s="79">
        <f>ID_Izvjestaj</f>
        <v>2</v>
      </c>
      <c r="D249" s="79" t="str">
        <f>Podatak_MB</f>
        <v>01494562</v>
      </c>
      <c r="E249" s="79" t="str">
        <f>Podatak_JIB</f>
        <v>4400025960001</v>
      </c>
      <c r="F249" s="79" t="b">
        <f>Konsolidovan_izvjestaj</f>
        <v>0</v>
      </c>
      <c r="G249" s="190">
        <f>Datum_Broj</f>
        <v>44377</v>
      </c>
      <c r="H249" s="79">
        <f>VLOOKUP( $A249, Aop!$A$2:$N$415, 4, 0)</f>
        <v>406</v>
      </c>
      <c r="I249" s="79">
        <f>Godina</f>
        <v>2021</v>
      </c>
      <c r="J249" s="79"/>
      <c r="K249" s="79"/>
      <c r="L249" s="79" t="str">
        <f t="shared" ca="1" si="36"/>
        <v/>
      </c>
      <c r="M249" s="79" t="str">
        <f t="shared" ca="1" si="37"/>
        <v/>
      </c>
    </row>
    <row r="250" spans="1:13" x14ac:dyDescent="0.2">
      <c r="A250" s="146">
        <v>258</v>
      </c>
      <c r="B250" s="146" t="str">
        <f>VLOOKUP( $A250, Aop!$A$2:$N$415, 2, 0)</f>
        <v>BUb</v>
      </c>
      <c r="C250" s="79">
        <f t="shared" si="33"/>
        <v>2</v>
      </c>
      <c r="D250" s="79" t="str">
        <f t="shared" si="30"/>
        <v>01494562</v>
      </c>
      <c r="E250" s="79" t="str">
        <f t="shared" si="31"/>
        <v>4400025960001</v>
      </c>
      <c r="F250" s="79" t="b">
        <f t="shared" si="34"/>
        <v>0</v>
      </c>
      <c r="G250" s="190">
        <f t="shared" si="35"/>
        <v>44377</v>
      </c>
      <c r="H250" s="146">
        <f>VLOOKUP( $A250, Aop!$A$2:$N$415, 4, 0)</f>
        <v>407</v>
      </c>
      <c r="I250" s="79">
        <f t="shared" si="32"/>
        <v>2021</v>
      </c>
      <c r="J250" s="79"/>
      <c r="K250" s="79"/>
      <c r="L250" s="79" t="str">
        <f t="shared" ca="1" si="36"/>
        <v/>
      </c>
      <c r="M250" s="79" t="str">
        <f t="shared" ca="1" si="37"/>
        <v/>
      </c>
    </row>
    <row r="251" spans="1:13" x14ac:dyDescent="0.2">
      <c r="A251" s="146">
        <v>259</v>
      </c>
      <c r="B251" s="146" t="str">
        <f>VLOOKUP( $A251, Aop!$A$2:$N$415, 2, 0)</f>
        <v>BUb</v>
      </c>
      <c r="C251" s="79">
        <f t="shared" si="33"/>
        <v>2</v>
      </c>
      <c r="D251" s="79" t="str">
        <f t="shared" ref="D251:D308" si="38">Podatak_MB</f>
        <v>01494562</v>
      </c>
      <c r="E251" s="79" t="str">
        <f t="shared" ref="E251:E308" si="39">Podatak_JIB</f>
        <v>4400025960001</v>
      </c>
      <c r="F251" s="79" t="b">
        <f t="shared" si="34"/>
        <v>0</v>
      </c>
      <c r="G251" s="190">
        <f t="shared" si="35"/>
        <v>44377</v>
      </c>
      <c r="H251" s="146">
        <f>VLOOKUP( $A251, Aop!$A$2:$N$415, 4, 0)</f>
        <v>408</v>
      </c>
      <c r="I251" s="79">
        <f t="shared" ref="I251:I308" si="40">Godina</f>
        <v>2021</v>
      </c>
      <c r="J251" s="79"/>
      <c r="K251" s="79"/>
      <c r="L251" s="79">
        <f t="shared" ca="1" si="36"/>
        <v>0</v>
      </c>
      <c r="M251" s="79">
        <f t="shared" ca="1" si="37"/>
        <v>0</v>
      </c>
    </row>
    <row r="252" spans="1:13" x14ac:dyDescent="0.2">
      <c r="A252" s="146">
        <v>260</v>
      </c>
      <c r="B252" s="146" t="str">
        <f>VLOOKUP( $A252, Aop!$A$2:$N$415, 2, 0)</f>
        <v>BUb</v>
      </c>
      <c r="C252" s="79">
        <f t="shared" ref="C252:C309" si="41">ID_Izvjestaj</f>
        <v>2</v>
      </c>
      <c r="D252" s="79" t="str">
        <f t="shared" si="38"/>
        <v>01494562</v>
      </c>
      <c r="E252" s="79" t="str">
        <f t="shared" si="39"/>
        <v>4400025960001</v>
      </c>
      <c r="F252" s="79" t="b">
        <f t="shared" ref="F252:F309" si="42">Konsolidovan_izvjestaj</f>
        <v>0</v>
      </c>
      <c r="G252" s="190">
        <f t="shared" ref="G252:G309" si="43">Datum_Broj</f>
        <v>44377</v>
      </c>
      <c r="H252" s="146">
        <f>VLOOKUP( $A252, Aop!$A$2:$N$415, 4, 0)</f>
        <v>409</v>
      </c>
      <c r="I252" s="79">
        <f t="shared" si="40"/>
        <v>2021</v>
      </c>
      <c r="J252" s="79"/>
      <c r="K252" s="79"/>
      <c r="L252" s="79" t="str">
        <f t="shared" ca="1" si="36"/>
        <v/>
      </c>
      <c r="M252" s="79" t="str">
        <f t="shared" ca="1" si="37"/>
        <v/>
      </c>
    </row>
    <row r="253" spans="1:13" x14ac:dyDescent="0.2">
      <c r="A253" s="146">
        <v>261</v>
      </c>
      <c r="B253" s="146" t="str">
        <f>VLOOKUP( $A253, Aop!$A$2:$N$415, 2, 0)</f>
        <v>BUb</v>
      </c>
      <c r="C253" s="79">
        <f t="shared" si="41"/>
        <v>2</v>
      </c>
      <c r="D253" s="79" t="str">
        <f t="shared" si="38"/>
        <v>01494562</v>
      </c>
      <c r="E253" s="79" t="str">
        <f t="shared" si="39"/>
        <v>4400025960001</v>
      </c>
      <c r="F253" s="79" t="b">
        <f t="shared" si="42"/>
        <v>0</v>
      </c>
      <c r="G253" s="190">
        <f t="shared" si="43"/>
        <v>44377</v>
      </c>
      <c r="H253" s="146">
        <f>VLOOKUP( $A253, Aop!$A$2:$N$415, 4, 0)</f>
        <v>410</v>
      </c>
      <c r="I253" s="79">
        <f t="shared" si="40"/>
        <v>2021</v>
      </c>
      <c r="J253" s="79"/>
      <c r="K253" s="79"/>
      <c r="L253" s="79" t="str">
        <f t="shared" ca="1" si="36"/>
        <v/>
      </c>
      <c r="M253" s="79" t="str">
        <f t="shared" ca="1" si="37"/>
        <v/>
      </c>
    </row>
    <row r="254" spans="1:13" x14ac:dyDescent="0.2">
      <c r="A254" s="146">
        <v>262</v>
      </c>
      <c r="B254" s="146" t="str">
        <f>VLOOKUP( $A254, Aop!$A$2:$N$415, 2, 0)</f>
        <v>BUb</v>
      </c>
      <c r="C254" s="79">
        <f t="shared" si="41"/>
        <v>2</v>
      </c>
      <c r="D254" s="79" t="str">
        <f t="shared" si="38"/>
        <v>01494562</v>
      </c>
      <c r="E254" s="79" t="str">
        <f t="shared" si="39"/>
        <v>4400025960001</v>
      </c>
      <c r="F254" s="79" t="b">
        <f t="shared" si="42"/>
        <v>0</v>
      </c>
      <c r="G254" s="190">
        <f t="shared" si="43"/>
        <v>44377</v>
      </c>
      <c r="H254" s="146">
        <f>VLOOKUP( $A254, Aop!$A$2:$N$415, 4, 0)</f>
        <v>411</v>
      </c>
      <c r="I254" s="79">
        <f t="shared" si="40"/>
        <v>2021</v>
      </c>
      <c r="J254" s="79"/>
      <c r="K254" s="79"/>
      <c r="L254" s="79" t="str">
        <f t="shared" ca="1" si="36"/>
        <v/>
      </c>
      <c r="M254" s="79" t="str">
        <f t="shared" ca="1" si="37"/>
        <v/>
      </c>
    </row>
    <row r="255" spans="1:13" x14ac:dyDescent="0.2">
      <c r="A255" s="146">
        <v>263</v>
      </c>
      <c r="B255" s="146" t="str">
        <f>VLOOKUP( $A255, Aop!$A$2:$N$415, 2, 0)</f>
        <v>BUb</v>
      </c>
      <c r="C255" s="79">
        <f t="shared" si="41"/>
        <v>2</v>
      </c>
      <c r="D255" s="79" t="str">
        <f t="shared" si="38"/>
        <v>01494562</v>
      </c>
      <c r="E255" s="79" t="str">
        <f t="shared" si="39"/>
        <v>4400025960001</v>
      </c>
      <c r="F255" s="79" t="b">
        <f t="shared" si="42"/>
        <v>0</v>
      </c>
      <c r="G255" s="190">
        <f t="shared" si="43"/>
        <v>44377</v>
      </c>
      <c r="H255" s="146">
        <f>VLOOKUP( $A255, Aop!$A$2:$N$415, 4, 0)</f>
        <v>412</v>
      </c>
      <c r="I255" s="79">
        <f t="shared" si="40"/>
        <v>2021</v>
      </c>
      <c r="J255" s="79"/>
      <c r="K255" s="79"/>
      <c r="L255" s="79" t="str">
        <f t="shared" ca="1" si="36"/>
        <v/>
      </c>
      <c r="M255" s="79" t="str">
        <f t="shared" ca="1" si="37"/>
        <v/>
      </c>
    </row>
    <row r="256" spans="1:13" x14ac:dyDescent="0.2">
      <c r="A256" s="146">
        <v>264</v>
      </c>
      <c r="B256" s="146" t="str">
        <f>VLOOKUP( $A256, Aop!$A$2:$N$415, 2, 0)</f>
        <v>BUb</v>
      </c>
      <c r="C256" s="79">
        <f t="shared" si="41"/>
        <v>2</v>
      </c>
      <c r="D256" s="79" t="str">
        <f t="shared" si="38"/>
        <v>01494562</v>
      </c>
      <c r="E256" s="79" t="str">
        <f t="shared" si="39"/>
        <v>4400025960001</v>
      </c>
      <c r="F256" s="79" t="b">
        <f t="shared" si="42"/>
        <v>0</v>
      </c>
      <c r="G256" s="190">
        <f t="shared" si="43"/>
        <v>44377</v>
      </c>
      <c r="H256" s="146">
        <f>VLOOKUP( $A256, Aop!$A$2:$N$415, 4, 0)</f>
        <v>413</v>
      </c>
      <c r="I256" s="79">
        <f t="shared" si="40"/>
        <v>2021</v>
      </c>
      <c r="J256" s="79"/>
      <c r="K256" s="79"/>
      <c r="L256" s="79" t="str">
        <f t="shared" ca="1" si="36"/>
        <v/>
      </c>
      <c r="M256" s="79" t="str">
        <f t="shared" ca="1" si="37"/>
        <v/>
      </c>
    </row>
    <row r="257" spans="1:13" x14ac:dyDescent="0.2">
      <c r="A257" s="146">
        <v>265</v>
      </c>
      <c r="B257" s="146" t="str">
        <f>VLOOKUP( $A257, Aop!$A$2:$N$415, 2, 0)</f>
        <v>BUb</v>
      </c>
      <c r="C257" s="79">
        <f t="shared" si="41"/>
        <v>2</v>
      </c>
      <c r="D257" s="79" t="str">
        <f t="shared" si="38"/>
        <v>01494562</v>
      </c>
      <c r="E257" s="79" t="str">
        <f t="shared" si="39"/>
        <v>4400025960001</v>
      </c>
      <c r="F257" s="79" t="b">
        <f t="shared" si="42"/>
        <v>0</v>
      </c>
      <c r="G257" s="190">
        <f t="shared" si="43"/>
        <v>44377</v>
      </c>
      <c r="H257" s="146">
        <f>VLOOKUP( $A257, Aop!$A$2:$N$415, 4, 0)</f>
        <v>414</v>
      </c>
      <c r="I257" s="79">
        <f t="shared" si="40"/>
        <v>2021</v>
      </c>
      <c r="J257" s="79"/>
      <c r="K257" s="79"/>
      <c r="L257" s="79">
        <f t="shared" ca="1" si="36"/>
        <v>0</v>
      </c>
      <c r="M257" s="79">
        <f t="shared" ca="1" si="37"/>
        <v>0</v>
      </c>
    </row>
    <row r="258" spans="1:13" x14ac:dyDescent="0.2">
      <c r="A258" s="146">
        <v>266</v>
      </c>
      <c r="B258" s="146" t="str">
        <f>VLOOKUP( $A258, Aop!$A$2:$N$415, 2, 0)</f>
        <v>BUb</v>
      </c>
      <c r="C258" s="79">
        <f t="shared" si="41"/>
        <v>2</v>
      </c>
      <c r="D258" s="79" t="str">
        <f t="shared" si="38"/>
        <v>01494562</v>
      </c>
      <c r="E258" s="79" t="str">
        <f t="shared" si="39"/>
        <v>4400025960001</v>
      </c>
      <c r="F258" s="79" t="b">
        <f t="shared" si="42"/>
        <v>0</v>
      </c>
      <c r="G258" s="190">
        <f t="shared" si="43"/>
        <v>44377</v>
      </c>
      <c r="H258" s="146">
        <f>VLOOKUP( $A258, Aop!$A$2:$N$415, 4, 0)</f>
        <v>415</v>
      </c>
      <c r="I258" s="79">
        <f t="shared" si="40"/>
        <v>2021</v>
      </c>
      <c r="J258" s="79"/>
      <c r="K258" s="79"/>
      <c r="L258" s="79" t="str">
        <f t="shared" ref="L258:L321" ca="1" si="44">IF( VLOOKUP( $H258, INDIRECT( "Lookup_" &amp; $B258), IF( LEFT( $B258, 2) = "BS", R$2, R$1), 0) = "", "", VLOOKUP( $H258, INDIRECT( "Lookup_" &amp; $B258), IF( LEFT( $B258, 2) = "BS", R$2, R$1), 0))</f>
        <v/>
      </c>
      <c r="M258" s="79" t="str">
        <f t="shared" ref="M258:M321" ca="1" si="45">IF( VLOOKUP( $H258, INDIRECT( "Lookup_" &amp; $B258), IF( LEFT( $B258, 2) = "BS", S$2, S$1), 0) = "", "", VLOOKUP( $H258, INDIRECT( "Lookup_" &amp; $B258), IF( LEFT( $B258, 2) = "BS", S$2, S$1), 0))</f>
        <v/>
      </c>
    </row>
    <row r="259" spans="1:13" x14ac:dyDescent="0.2">
      <c r="A259" s="146">
        <v>267</v>
      </c>
      <c r="B259" s="146" t="str">
        <f>VLOOKUP( $A259, Aop!$A$2:$N$415, 2, 0)</f>
        <v>BUb</v>
      </c>
      <c r="C259" s="79">
        <f t="shared" si="41"/>
        <v>2</v>
      </c>
      <c r="D259" s="79" t="str">
        <f t="shared" si="38"/>
        <v>01494562</v>
      </c>
      <c r="E259" s="79" t="str">
        <f t="shared" si="39"/>
        <v>4400025960001</v>
      </c>
      <c r="F259" s="79" t="b">
        <f t="shared" si="42"/>
        <v>0</v>
      </c>
      <c r="G259" s="190">
        <f t="shared" si="43"/>
        <v>44377</v>
      </c>
      <c r="H259" s="146">
        <f>VLOOKUP( $A259, Aop!$A$2:$N$415, 4, 0)</f>
        <v>416</v>
      </c>
      <c r="I259" s="79">
        <f t="shared" si="40"/>
        <v>2021</v>
      </c>
      <c r="J259" s="79"/>
      <c r="K259" s="79"/>
      <c r="L259" s="79">
        <f t="shared" ca="1" si="44"/>
        <v>0</v>
      </c>
      <c r="M259" s="79">
        <f t="shared" ca="1" si="45"/>
        <v>0</v>
      </c>
    </row>
    <row r="260" spans="1:13" x14ac:dyDescent="0.2">
      <c r="A260" s="146">
        <v>269</v>
      </c>
      <c r="B260" s="146" t="str">
        <f>VLOOKUP( $A260, Aop!$A$2:$N$415, 2, 0)</f>
        <v>BUb</v>
      </c>
      <c r="C260" s="79">
        <f t="shared" si="41"/>
        <v>2</v>
      </c>
      <c r="D260" s="79" t="str">
        <f t="shared" si="38"/>
        <v>01494562</v>
      </c>
      <c r="E260" s="79" t="str">
        <f t="shared" si="39"/>
        <v>4400025960001</v>
      </c>
      <c r="F260" s="79" t="b">
        <f t="shared" si="42"/>
        <v>0</v>
      </c>
      <c r="G260" s="190">
        <f t="shared" si="43"/>
        <v>44377</v>
      </c>
      <c r="H260" s="146">
        <f>VLOOKUP( $A260, Aop!$A$2:$N$415, 4, 0)</f>
        <v>417</v>
      </c>
      <c r="I260" s="79">
        <f t="shared" si="40"/>
        <v>2021</v>
      </c>
      <c r="J260" s="79"/>
      <c r="K260" s="79"/>
      <c r="L260" s="79">
        <f t="shared" ca="1" si="44"/>
        <v>0</v>
      </c>
      <c r="M260" s="79">
        <f t="shared" ca="1" si="45"/>
        <v>0</v>
      </c>
    </row>
    <row r="261" spans="1:13" x14ac:dyDescent="0.2">
      <c r="A261" s="146">
        <v>270</v>
      </c>
      <c r="B261" s="146" t="str">
        <f>VLOOKUP( $A261, Aop!$A$2:$N$415, 2, 0)</f>
        <v>BUb</v>
      </c>
      <c r="C261" s="79">
        <f t="shared" si="41"/>
        <v>2</v>
      </c>
      <c r="D261" s="79" t="str">
        <f t="shared" si="38"/>
        <v>01494562</v>
      </c>
      <c r="E261" s="79" t="str">
        <f t="shared" si="39"/>
        <v>4400025960001</v>
      </c>
      <c r="F261" s="79" t="b">
        <f t="shared" si="42"/>
        <v>0</v>
      </c>
      <c r="G261" s="190">
        <f t="shared" si="43"/>
        <v>44377</v>
      </c>
      <c r="H261" s="146">
        <f>VLOOKUP( $A261, Aop!$A$2:$N$415, 4, 0)</f>
        <v>418</v>
      </c>
      <c r="I261" s="79">
        <f t="shared" si="40"/>
        <v>2021</v>
      </c>
      <c r="J261" s="79"/>
      <c r="K261" s="79"/>
      <c r="L261" s="79">
        <f t="shared" ca="1" si="44"/>
        <v>4457963</v>
      </c>
      <c r="M261" s="79">
        <f t="shared" ca="1" si="45"/>
        <v>5283181</v>
      </c>
    </row>
    <row r="262" spans="1:13" x14ac:dyDescent="0.2">
      <c r="A262" s="146">
        <v>272</v>
      </c>
      <c r="B262" s="146" t="str">
        <f>VLOOKUP( $A262, Aop!$A$2:$N$415, 2, 0)</f>
        <v>BTG</v>
      </c>
      <c r="C262" s="79">
        <f t="shared" si="41"/>
        <v>2</v>
      </c>
      <c r="D262" s="79" t="str">
        <f t="shared" si="38"/>
        <v>01494562</v>
      </c>
      <c r="E262" s="79" t="str">
        <f t="shared" si="39"/>
        <v>4400025960001</v>
      </c>
      <c r="F262" s="79" t="b">
        <f t="shared" si="42"/>
        <v>0</v>
      </c>
      <c r="G262" s="190">
        <f t="shared" si="43"/>
        <v>44377</v>
      </c>
      <c r="H262" s="146">
        <f>VLOOKUP( $A262, Aop!$A$2:$N$415, 4, 0)</f>
        <v>501</v>
      </c>
      <c r="I262" s="79">
        <f t="shared" si="40"/>
        <v>2021</v>
      </c>
      <c r="J262" s="79"/>
      <c r="K262" s="79"/>
      <c r="L262" s="79">
        <f t="shared" ca="1" si="44"/>
        <v>14139939</v>
      </c>
      <c r="M262" s="79">
        <f t="shared" ca="1" si="45"/>
        <v>13372236</v>
      </c>
    </row>
    <row r="263" spans="1:13" x14ac:dyDescent="0.2">
      <c r="A263" s="146">
        <v>273</v>
      </c>
      <c r="B263" s="146" t="str">
        <f>VLOOKUP( $A263, Aop!$A$2:$N$415, 2, 0)</f>
        <v>BTG</v>
      </c>
      <c r="C263" s="79">
        <f t="shared" si="41"/>
        <v>2</v>
      </c>
      <c r="D263" s="79" t="str">
        <f t="shared" si="38"/>
        <v>01494562</v>
      </c>
      <c r="E263" s="79" t="str">
        <f t="shared" si="39"/>
        <v>4400025960001</v>
      </c>
      <c r="F263" s="79" t="b">
        <f t="shared" si="42"/>
        <v>0</v>
      </c>
      <c r="G263" s="190">
        <f t="shared" si="43"/>
        <v>44377</v>
      </c>
      <c r="H263" s="146">
        <f>VLOOKUP( $A263, Aop!$A$2:$N$415, 4, 0)</f>
        <v>502</v>
      </c>
      <c r="I263" s="79">
        <f t="shared" si="40"/>
        <v>2021</v>
      </c>
      <c r="J263" s="79"/>
      <c r="K263" s="79"/>
      <c r="L263" s="79">
        <f t="shared" ca="1" si="44"/>
        <v>9454597</v>
      </c>
      <c r="M263" s="79">
        <f t="shared" ca="1" si="45"/>
        <v>6881189</v>
      </c>
    </row>
    <row r="264" spans="1:13" x14ac:dyDescent="0.2">
      <c r="A264" s="146">
        <v>274</v>
      </c>
      <c r="B264" s="146" t="str">
        <f>VLOOKUP( $A264, Aop!$A$2:$N$415, 2, 0)</f>
        <v>BTG</v>
      </c>
      <c r="C264" s="79">
        <f t="shared" si="41"/>
        <v>2</v>
      </c>
      <c r="D264" s="79" t="str">
        <f t="shared" si="38"/>
        <v>01494562</v>
      </c>
      <c r="E264" s="79" t="str">
        <f t="shared" si="39"/>
        <v>4400025960001</v>
      </c>
      <c r="F264" s="79" t="b">
        <f t="shared" si="42"/>
        <v>0</v>
      </c>
      <c r="G264" s="190">
        <f t="shared" si="43"/>
        <v>44377</v>
      </c>
      <c r="H264" s="146">
        <f>VLOOKUP( $A264, Aop!$A$2:$N$415, 4, 0)</f>
        <v>503</v>
      </c>
      <c r="I264" s="79">
        <f t="shared" si="40"/>
        <v>2021</v>
      </c>
      <c r="J264" s="79"/>
      <c r="K264" s="79"/>
      <c r="L264" s="79">
        <f t="shared" ca="1" si="44"/>
        <v>4166667</v>
      </c>
      <c r="M264" s="79">
        <f t="shared" ca="1" si="45"/>
        <v>6250000</v>
      </c>
    </row>
    <row r="265" spans="1:13" x14ac:dyDescent="0.2">
      <c r="A265" s="146">
        <v>275</v>
      </c>
      <c r="B265" s="146" t="str">
        <f>VLOOKUP( $A265, Aop!$A$2:$N$415, 2, 0)</f>
        <v>BTG</v>
      </c>
      <c r="C265" s="79">
        <f t="shared" si="41"/>
        <v>2</v>
      </c>
      <c r="D265" s="79" t="str">
        <f t="shared" si="38"/>
        <v>01494562</v>
      </c>
      <c r="E265" s="79" t="str">
        <f t="shared" si="39"/>
        <v>4400025960001</v>
      </c>
      <c r="F265" s="79" t="b">
        <f t="shared" si="42"/>
        <v>0</v>
      </c>
      <c r="G265" s="190">
        <f t="shared" si="43"/>
        <v>44377</v>
      </c>
      <c r="H265" s="146">
        <f>VLOOKUP( $A265, Aop!$A$2:$N$415, 4, 0)</f>
        <v>504</v>
      </c>
      <c r="I265" s="79">
        <f t="shared" si="40"/>
        <v>2021</v>
      </c>
      <c r="J265" s="79"/>
      <c r="K265" s="79"/>
      <c r="L265" s="79">
        <f t="shared" ca="1" si="44"/>
        <v>518675</v>
      </c>
      <c r="M265" s="79">
        <f t="shared" ca="1" si="45"/>
        <v>241047</v>
      </c>
    </row>
    <row r="266" spans="1:13" x14ac:dyDescent="0.2">
      <c r="A266" s="146">
        <v>276</v>
      </c>
      <c r="B266" s="146" t="str">
        <f>VLOOKUP( $A266, Aop!$A$2:$N$415, 2, 0)</f>
        <v>BTG</v>
      </c>
      <c r="C266" s="79">
        <f t="shared" si="41"/>
        <v>2</v>
      </c>
      <c r="D266" s="79" t="str">
        <f t="shared" si="38"/>
        <v>01494562</v>
      </c>
      <c r="E266" s="79" t="str">
        <f t="shared" si="39"/>
        <v>4400025960001</v>
      </c>
      <c r="F266" s="79" t="b">
        <f t="shared" si="42"/>
        <v>0</v>
      </c>
      <c r="G266" s="190">
        <f t="shared" si="43"/>
        <v>44377</v>
      </c>
      <c r="H266" s="146">
        <f>VLOOKUP( $A266, Aop!$A$2:$N$415, 4, 0)</f>
        <v>505</v>
      </c>
      <c r="I266" s="79">
        <f t="shared" si="40"/>
        <v>2021</v>
      </c>
      <c r="J266" s="79"/>
      <c r="K266" s="79"/>
      <c r="L266" s="79">
        <f t="shared" ca="1" si="44"/>
        <v>15341679</v>
      </c>
      <c r="M266" s="79">
        <f t="shared" ca="1" si="45"/>
        <v>14910842</v>
      </c>
    </row>
    <row r="267" spans="1:13" x14ac:dyDescent="0.2">
      <c r="A267" s="146">
        <v>277</v>
      </c>
      <c r="B267" s="146" t="str">
        <f>VLOOKUP( $A267, Aop!$A$2:$N$415, 2, 0)</f>
        <v>BTG</v>
      </c>
      <c r="C267" s="79">
        <f t="shared" si="41"/>
        <v>2</v>
      </c>
      <c r="D267" s="79" t="str">
        <f t="shared" si="38"/>
        <v>01494562</v>
      </c>
      <c r="E267" s="79" t="str">
        <f t="shared" si="39"/>
        <v>4400025960001</v>
      </c>
      <c r="F267" s="79" t="b">
        <f t="shared" si="42"/>
        <v>0</v>
      </c>
      <c r="G267" s="190">
        <f t="shared" si="43"/>
        <v>44377</v>
      </c>
      <c r="H267" s="146">
        <f>VLOOKUP( $A267, Aop!$A$2:$N$415, 4, 0)</f>
        <v>506</v>
      </c>
      <c r="I267" s="79">
        <f t="shared" si="40"/>
        <v>2021</v>
      </c>
      <c r="J267" s="79"/>
      <c r="K267" s="79"/>
      <c r="L267" s="79">
        <f t="shared" ca="1" si="44"/>
        <v>3911472</v>
      </c>
      <c r="M267" s="79">
        <f t="shared" ca="1" si="45"/>
        <v>2958056</v>
      </c>
    </row>
    <row r="268" spans="1:13" x14ac:dyDescent="0.2">
      <c r="A268" s="146">
        <v>278</v>
      </c>
      <c r="B268" s="146" t="str">
        <f>VLOOKUP( $A268, Aop!$A$2:$N$415, 2, 0)</f>
        <v>BTG</v>
      </c>
      <c r="C268" s="79">
        <f t="shared" si="41"/>
        <v>2</v>
      </c>
      <c r="D268" s="79" t="str">
        <f t="shared" si="38"/>
        <v>01494562</v>
      </c>
      <c r="E268" s="79" t="str">
        <f t="shared" si="39"/>
        <v>4400025960001</v>
      </c>
      <c r="F268" s="79" t="b">
        <f t="shared" si="42"/>
        <v>0</v>
      </c>
      <c r="G268" s="190">
        <f t="shared" si="43"/>
        <v>44377</v>
      </c>
      <c r="H268" s="146">
        <f>VLOOKUP( $A268, Aop!$A$2:$N$415, 4, 0)</f>
        <v>507</v>
      </c>
      <c r="I268" s="79">
        <f t="shared" si="40"/>
        <v>2021</v>
      </c>
      <c r="J268" s="79"/>
      <c r="K268" s="79"/>
      <c r="L268" s="79">
        <f t="shared" ca="1" si="44"/>
        <v>10209931</v>
      </c>
      <c r="M268" s="79">
        <f t="shared" ca="1" si="45"/>
        <v>10952811</v>
      </c>
    </row>
    <row r="269" spans="1:13" x14ac:dyDescent="0.2">
      <c r="A269" s="146">
        <v>279</v>
      </c>
      <c r="B269" s="146" t="str">
        <f>VLOOKUP( $A269, Aop!$A$2:$N$415, 2, 0)</f>
        <v>BTG</v>
      </c>
      <c r="C269" s="79">
        <f t="shared" si="41"/>
        <v>2</v>
      </c>
      <c r="D269" s="79" t="str">
        <f t="shared" si="38"/>
        <v>01494562</v>
      </c>
      <c r="E269" s="79" t="str">
        <f t="shared" si="39"/>
        <v>4400025960001</v>
      </c>
      <c r="F269" s="79" t="b">
        <f t="shared" si="42"/>
        <v>0</v>
      </c>
      <c r="G269" s="190">
        <f t="shared" si="43"/>
        <v>44377</v>
      </c>
      <c r="H269" s="146">
        <f>VLOOKUP( $A269, Aop!$A$2:$N$415, 4, 0)</f>
        <v>508</v>
      </c>
      <c r="I269" s="79">
        <f t="shared" si="40"/>
        <v>2021</v>
      </c>
      <c r="J269" s="79"/>
      <c r="K269" s="79"/>
      <c r="L269" s="79">
        <f t="shared" ca="1" si="44"/>
        <v>22418</v>
      </c>
      <c r="M269" s="79">
        <f t="shared" ca="1" si="45"/>
        <v>5391</v>
      </c>
    </row>
    <row r="270" spans="1:13" x14ac:dyDescent="0.2">
      <c r="A270" s="146">
        <v>280</v>
      </c>
      <c r="B270" s="146" t="str">
        <f>VLOOKUP( $A270, Aop!$A$2:$N$415, 2, 0)</f>
        <v>BTG</v>
      </c>
      <c r="C270" s="79">
        <f t="shared" si="41"/>
        <v>2</v>
      </c>
      <c r="D270" s="79" t="str">
        <f t="shared" si="38"/>
        <v>01494562</v>
      </c>
      <c r="E270" s="79" t="str">
        <f t="shared" si="39"/>
        <v>4400025960001</v>
      </c>
      <c r="F270" s="79" t="b">
        <f t="shared" si="42"/>
        <v>0</v>
      </c>
      <c r="G270" s="190">
        <f t="shared" si="43"/>
        <v>44377</v>
      </c>
      <c r="H270" s="146">
        <f>VLOOKUP( $A270, Aop!$A$2:$N$415, 4, 0)</f>
        <v>509</v>
      </c>
      <c r="I270" s="79">
        <f t="shared" si="40"/>
        <v>2021</v>
      </c>
      <c r="J270" s="79"/>
      <c r="K270" s="79"/>
      <c r="L270" s="79" t="str">
        <f t="shared" ca="1" si="44"/>
        <v/>
      </c>
      <c r="M270" s="79" t="str">
        <f t="shared" ca="1" si="45"/>
        <v/>
      </c>
    </row>
    <row r="271" spans="1:13" x14ac:dyDescent="0.2">
      <c r="A271" s="146">
        <v>281</v>
      </c>
      <c r="B271" s="146" t="str">
        <f>VLOOKUP( $A271, Aop!$A$2:$N$415, 2, 0)</f>
        <v>BTG</v>
      </c>
      <c r="C271" s="79">
        <f t="shared" si="41"/>
        <v>2</v>
      </c>
      <c r="D271" s="79" t="str">
        <f t="shared" si="38"/>
        <v>01494562</v>
      </c>
      <c r="E271" s="79" t="str">
        <f t="shared" si="39"/>
        <v>4400025960001</v>
      </c>
      <c r="F271" s="79" t="b">
        <f t="shared" si="42"/>
        <v>0</v>
      </c>
      <c r="G271" s="190">
        <f t="shared" si="43"/>
        <v>44377</v>
      </c>
      <c r="H271" s="146">
        <f>VLOOKUP( $A271, Aop!$A$2:$N$415, 4, 0)</f>
        <v>510</v>
      </c>
      <c r="I271" s="79">
        <f t="shared" si="40"/>
        <v>2021</v>
      </c>
      <c r="J271" s="79"/>
      <c r="K271" s="79"/>
      <c r="L271" s="79">
        <f t="shared" ca="1" si="44"/>
        <v>1197858</v>
      </c>
      <c r="M271" s="79">
        <f t="shared" ca="1" si="45"/>
        <v>994584</v>
      </c>
    </row>
    <row r="272" spans="1:13" x14ac:dyDescent="0.2">
      <c r="A272" s="146">
        <v>282</v>
      </c>
      <c r="B272" s="79" t="str">
        <f>VLOOKUP( $A272, Aop!$A$2:$N$415, 2, 0)</f>
        <v>BTG</v>
      </c>
      <c r="C272" s="79">
        <f>ID_Izvjestaj</f>
        <v>2</v>
      </c>
      <c r="D272" s="79" t="str">
        <f>Podatak_MB</f>
        <v>01494562</v>
      </c>
      <c r="E272" s="79" t="str">
        <f>Podatak_JIB</f>
        <v>4400025960001</v>
      </c>
      <c r="F272" s="79" t="b">
        <f>Konsolidovan_izvjestaj</f>
        <v>0</v>
      </c>
      <c r="G272" s="190">
        <f>Datum_Broj</f>
        <v>44377</v>
      </c>
      <c r="H272" s="79">
        <f>VLOOKUP( $A272, Aop!$A$2:$N$415, 4, 0)</f>
        <v>511</v>
      </c>
      <c r="I272" s="79">
        <f>Godina</f>
        <v>2021</v>
      </c>
      <c r="J272" s="79"/>
      <c r="K272" s="79"/>
      <c r="L272" s="79">
        <f t="shared" ca="1" si="44"/>
        <v>0</v>
      </c>
      <c r="M272" s="79">
        <f t="shared" ca="1" si="45"/>
        <v>0</v>
      </c>
    </row>
    <row r="273" spans="1:13" x14ac:dyDescent="0.2">
      <c r="A273" s="146">
        <v>283</v>
      </c>
      <c r="B273" s="146" t="str">
        <f>VLOOKUP( $A273, Aop!$A$2:$N$415, 2, 0)</f>
        <v>BTG</v>
      </c>
      <c r="C273" s="79">
        <f t="shared" si="41"/>
        <v>2</v>
      </c>
      <c r="D273" s="79" t="str">
        <f t="shared" si="38"/>
        <v>01494562</v>
      </c>
      <c r="E273" s="79" t="str">
        <f t="shared" si="39"/>
        <v>4400025960001</v>
      </c>
      <c r="F273" s="79" t="b">
        <f t="shared" si="42"/>
        <v>0</v>
      </c>
      <c r="G273" s="190">
        <f t="shared" si="43"/>
        <v>44377</v>
      </c>
      <c r="H273" s="146">
        <f>VLOOKUP( $A273, Aop!$A$2:$N$415, 4, 0)</f>
        <v>512</v>
      </c>
      <c r="I273" s="79">
        <f t="shared" si="40"/>
        <v>2021</v>
      </c>
      <c r="J273" s="79"/>
      <c r="K273" s="79"/>
      <c r="L273" s="79">
        <f t="shared" ca="1" si="44"/>
        <v>1201740</v>
      </c>
      <c r="M273" s="79">
        <f t="shared" ca="1" si="45"/>
        <v>1538606</v>
      </c>
    </row>
    <row r="274" spans="1:13" x14ac:dyDescent="0.2">
      <c r="A274" s="146">
        <v>285</v>
      </c>
      <c r="B274" s="146" t="str">
        <f>VLOOKUP( $A274, Aop!$A$2:$N$415, 2, 0)</f>
        <v>BTG</v>
      </c>
      <c r="C274" s="79">
        <f t="shared" si="41"/>
        <v>2</v>
      </c>
      <c r="D274" s="79" t="str">
        <f t="shared" si="38"/>
        <v>01494562</v>
      </c>
      <c r="E274" s="79" t="str">
        <f t="shared" si="39"/>
        <v>4400025960001</v>
      </c>
      <c r="F274" s="79" t="b">
        <f t="shared" si="42"/>
        <v>0</v>
      </c>
      <c r="G274" s="190">
        <f t="shared" si="43"/>
        <v>44377</v>
      </c>
      <c r="H274" s="146">
        <f>VLOOKUP( $A274, Aop!$A$2:$N$415, 4, 0)</f>
        <v>513</v>
      </c>
      <c r="I274" s="79">
        <f t="shared" si="40"/>
        <v>2021</v>
      </c>
      <c r="J274" s="79"/>
      <c r="K274" s="79"/>
      <c r="L274" s="79">
        <f t="shared" ca="1" si="44"/>
        <v>0</v>
      </c>
      <c r="M274" s="79">
        <f t="shared" ca="1" si="45"/>
        <v>0</v>
      </c>
    </row>
    <row r="275" spans="1:13" x14ac:dyDescent="0.2">
      <c r="A275" s="146">
        <v>286</v>
      </c>
      <c r="B275" s="146" t="str">
        <f>VLOOKUP( $A275, Aop!$A$2:$N$415, 2, 0)</f>
        <v>BTG</v>
      </c>
      <c r="C275" s="79">
        <f t="shared" si="41"/>
        <v>2</v>
      </c>
      <c r="D275" s="79" t="str">
        <f t="shared" si="38"/>
        <v>01494562</v>
      </c>
      <c r="E275" s="79" t="str">
        <f t="shared" si="39"/>
        <v>4400025960001</v>
      </c>
      <c r="F275" s="79" t="b">
        <f t="shared" si="42"/>
        <v>0</v>
      </c>
      <c r="G275" s="190">
        <f t="shared" si="43"/>
        <v>44377</v>
      </c>
      <c r="H275" s="146">
        <f>VLOOKUP( $A275, Aop!$A$2:$N$415, 4, 0)</f>
        <v>514</v>
      </c>
      <c r="I275" s="79">
        <f t="shared" si="40"/>
        <v>2021</v>
      </c>
      <c r="J275" s="79"/>
      <c r="K275" s="79"/>
      <c r="L275" s="79" t="str">
        <f t="shared" ca="1" si="44"/>
        <v/>
      </c>
      <c r="M275" s="79" t="str">
        <f t="shared" ca="1" si="45"/>
        <v/>
      </c>
    </row>
    <row r="276" spans="1:13" x14ac:dyDescent="0.2">
      <c r="A276" s="146">
        <v>287</v>
      </c>
      <c r="B276" s="146" t="str">
        <f>VLOOKUP( $A276, Aop!$A$2:$N$415, 2, 0)</f>
        <v>BTG</v>
      </c>
      <c r="C276" s="79">
        <f t="shared" si="41"/>
        <v>2</v>
      </c>
      <c r="D276" s="79" t="str">
        <f t="shared" si="38"/>
        <v>01494562</v>
      </c>
      <c r="E276" s="79" t="str">
        <f t="shared" si="39"/>
        <v>4400025960001</v>
      </c>
      <c r="F276" s="79" t="b">
        <f t="shared" si="42"/>
        <v>0</v>
      </c>
      <c r="G276" s="190">
        <f t="shared" si="43"/>
        <v>44377</v>
      </c>
      <c r="H276" s="146">
        <f>VLOOKUP( $A276, Aop!$A$2:$N$415, 4, 0)</f>
        <v>515</v>
      </c>
      <c r="I276" s="79">
        <f t="shared" si="40"/>
        <v>2021</v>
      </c>
      <c r="J276" s="79"/>
      <c r="K276" s="79"/>
      <c r="L276" s="79" t="str">
        <f t="shared" ca="1" si="44"/>
        <v/>
      </c>
      <c r="M276" s="79" t="str">
        <f t="shared" ca="1" si="45"/>
        <v/>
      </c>
    </row>
    <row r="277" spans="1:13" x14ac:dyDescent="0.2">
      <c r="A277" s="146">
        <v>288</v>
      </c>
      <c r="B277" s="146" t="str">
        <f>VLOOKUP( $A277, Aop!$A$2:$N$415, 2, 0)</f>
        <v>BTG</v>
      </c>
      <c r="C277" s="79">
        <f t="shared" si="41"/>
        <v>2</v>
      </c>
      <c r="D277" s="79" t="str">
        <f t="shared" si="38"/>
        <v>01494562</v>
      </c>
      <c r="E277" s="79" t="str">
        <f t="shared" si="39"/>
        <v>4400025960001</v>
      </c>
      <c r="F277" s="79" t="b">
        <f t="shared" si="42"/>
        <v>0</v>
      </c>
      <c r="G277" s="190">
        <f t="shared" si="43"/>
        <v>44377</v>
      </c>
      <c r="H277" s="146">
        <f>VLOOKUP( $A277, Aop!$A$2:$N$415, 4, 0)</f>
        <v>516</v>
      </c>
      <c r="I277" s="79">
        <f t="shared" si="40"/>
        <v>2021</v>
      </c>
      <c r="J277" s="79"/>
      <c r="K277" s="79"/>
      <c r="L277" s="79" t="str">
        <f t="shared" ca="1" si="44"/>
        <v/>
      </c>
      <c r="M277" s="79" t="str">
        <f t="shared" ca="1" si="45"/>
        <v/>
      </c>
    </row>
    <row r="278" spans="1:13" x14ac:dyDescent="0.2">
      <c r="A278" s="146">
        <v>289</v>
      </c>
      <c r="B278" s="146" t="str">
        <f>VLOOKUP( $A278, Aop!$A$2:$N$415, 2, 0)</f>
        <v>BTG</v>
      </c>
      <c r="C278" s="79">
        <f t="shared" si="41"/>
        <v>2</v>
      </c>
      <c r="D278" s="79" t="str">
        <f t="shared" si="38"/>
        <v>01494562</v>
      </c>
      <c r="E278" s="79" t="str">
        <f t="shared" si="39"/>
        <v>4400025960001</v>
      </c>
      <c r="F278" s="79" t="b">
        <f t="shared" si="42"/>
        <v>0</v>
      </c>
      <c r="G278" s="190">
        <f t="shared" si="43"/>
        <v>44377</v>
      </c>
      <c r="H278" s="146">
        <f>VLOOKUP( $A278, Aop!$A$2:$N$415, 4, 0)</f>
        <v>517</v>
      </c>
      <c r="I278" s="79">
        <f t="shared" si="40"/>
        <v>2021</v>
      </c>
      <c r="J278" s="79"/>
      <c r="K278" s="79"/>
      <c r="L278" s="79" t="str">
        <f t="shared" ca="1" si="44"/>
        <v/>
      </c>
      <c r="M278" s="79" t="str">
        <f t="shared" ca="1" si="45"/>
        <v/>
      </c>
    </row>
    <row r="279" spans="1:13" x14ac:dyDescent="0.2">
      <c r="A279" s="146">
        <v>290</v>
      </c>
      <c r="B279" s="146" t="str">
        <f>VLOOKUP( $A279, Aop!$A$2:$N$415, 2, 0)</f>
        <v>BTG</v>
      </c>
      <c r="C279" s="79">
        <f t="shared" si="41"/>
        <v>2</v>
      </c>
      <c r="D279" s="79" t="str">
        <f t="shared" si="38"/>
        <v>01494562</v>
      </c>
      <c r="E279" s="79" t="str">
        <f t="shared" si="39"/>
        <v>4400025960001</v>
      </c>
      <c r="F279" s="79" t="b">
        <f t="shared" si="42"/>
        <v>0</v>
      </c>
      <c r="G279" s="190">
        <f t="shared" si="43"/>
        <v>44377</v>
      </c>
      <c r="H279" s="146">
        <f>VLOOKUP( $A279, Aop!$A$2:$N$415, 4, 0)</f>
        <v>518</v>
      </c>
      <c r="I279" s="79">
        <f t="shared" si="40"/>
        <v>2021</v>
      </c>
      <c r="J279" s="79"/>
      <c r="K279" s="79"/>
      <c r="L279" s="79" t="str">
        <f t="shared" ca="1" si="44"/>
        <v/>
      </c>
      <c r="M279" s="79" t="str">
        <f t="shared" ca="1" si="45"/>
        <v/>
      </c>
    </row>
    <row r="280" spans="1:13" x14ac:dyDescent="0.2">
      <c r="A280" s="146">
        <v>291</v>
      </c>
      <c r="B280" s="146" t="str">
        <f>VLOOKUP( $A280, Aop!$A$2:$N$415, 2, 0)</f>
        <v>BTG</v>
      </c>
      <c r="C280" s="79">
        <f t="shared" si="41"/>
        <v>2</v>
      </c>
      <c r="D280" s="79" t="str">
        <f t="shared" si="38"/>
        <v>01494562</v>
      </c>
      <c r="E280" s="79" t="str">
        <f t="shared" si="39"/>
        <v>4400025960001</v>
      </c>
      <c r="F280" s="79" t="b">
        <f t="shared" si="42"/>
        <v>0</v>
      </c>
      <c r="G280" s="190">
        <f t="shared" si="43"/>
        <v>44377</v>
      </c>
      <c r="H280" s="146">
        <f>VLOOKUP( $A280, Aop!$A$2:$N$415, 4, 0)</f>
        <v>519</v>
      </c>
      <c r="I280" s="79">
        <f t="shared" si="40"/>
        <v>2021</v>
      </c>
      <c r="J280" s="79"/>
      <c r="K280" s="79"/>
      <c r="L280" s="79" t="str">
        <f t="shared" ca="1" si="44"/>
        <v/>
      </c>
      <c r="M280" s="79" t="str">
        <f t="shared" ca="1" si="45"/>
        <v/>
      </c>
    </row>
    <row r="281" spans="1:13" x14ac:dyDescent="0.2">
      <c r="A281" s="146">
        <v>292</v>
      </c>
      <c r="B281" s="146" t="str">
        <f>VLOOKUP( $A281, Aop!$A$2:$N$415, 2, 0)</f>
        <v>BTG</v>
      </c>
      <c r="C281" s="79">
        <f t="shared" si="41"/>
        <v>2</v>
      </c>
      <c r="D281" s="79" t="str">
        <f t="shared" si="38"/>
        <v>01494562</v>
      </c>
      <c r="E281" s="79" t="str">
        <f t="shared" si="39"/>
        <v>4400025960001</v>
      </c>
      <c r="F281" s="79" t="b">
        <f t="shared" si="42"/>
        <v>0</v>
      </c>
      <c r="G281" s="190">
        <f t="shared" si="43"/>
        <v>44377</v>
      </c>
      <c r="H281" s="146">
        <f>VLOOKUP( $A281, Aop!$A$2:$N$415, 4, 0)</f>
        <v>520</v>
      </c>
      <c r="I281" s="79">
        <f t="shared" si="40"/>
        <v>2021</v>
      </c>
      <c r="J281" s="79"/>
      <c r="K281" s="79"/>
      <c r="L281" s="79">
        <f t="shared" ca="1" si="44"/>
        <v>0</v>
      </c>
      <c r="M281" s="79">
        <f t="shared" ca="1" si="45"/>
        <v>0</v>
      </c>
    </row>
    <row r="282" spans="1:13" x14ac:dyDescent="0.2">
      <c r="A282" s="146">
        <v>293</v>
      </c>
      <c r="B282" s="146" t="str">
        <f>VLOOKUP( $A282, Aop!$A$2:$N$415, 2, 0)</f>
        <v>BTG</v>
      </c>
      <c r="C282" s="79">
        <f t="shared" si="41"/>
        <v>2</v>
      </c>
      <c r="D282" s="79" t="str">
        <f t="shared" si="38"/>
        <v>01494562</v>
      </c>
      <c r="E282" s="79" t="str">
        <f t="shared" si="39"/>
        <v>4400025960001</v>
      </c>
      <c r="F282" s="79" t="b">
        <f t="shared" si="42"/>
        <v>0</v>
      </c>
      <c r="G282" s="190">
        <f t="shared" si="43"/>
        <v>44377</v>
      </c>
      <c r="H282" s="146">
        <f>VLOOKUP( $A282, Aop!$A$2:$N$415, 4, 0)</f>
        <v>521</v>
      </c>
      <c r="I282" s="79">
        <f t="shared" si="40"/>
        <v>2021</v>
      </c>
      <c r="J282" s="79"/>
      <c r="K282" s="79"/>
      <c r="L282" s="79" t="str">
        <f t="shared" ca="1" si="44"/>
        <v/>
      </c>
      <c r="M282" s="79" t="str">
        <f t="shared" ca="1" si="45"/>
        <v/>
      </c>
    </row>
    <row r="283" spans="1:13" x14ac:dyDescent="0.2">
      <c r="A283" s="146">
        <v>294</v>
      </c>
      <c r="B283" s="146" t="str">
        <f>VLOOKUP( $A283, Aop!$A$2:$N$415, 2, 0)</f>
        <v>BTG</v>
      </c>
      <c r="C283" s="79">
        <f t="shared" si="41"/>
        <v>2</v>
      </c>
      <c r="D283" s="79" t="str">
        <f t="shared" si="38"/>
        <v>01494562</v>
      </c>
      <c r="E283" s="79" t="str">
        <f t="shared" si="39"/>
        <v>4400025960001</v>
      </c>
      <c r="F283" s="79" t="b">
        <f t="shared" si="42"/>
        <v>0</v>
      </c>
      <c r="G283" s="190">
        <f t="shared" si="43"/>
        <v>44377</v>
      </c>
      <c r="H283" s="146">
        <f>VLOOKUP( $A283, Aop!$A$2:$N$415, 4, 0)</f>
        <v>522</v>
      </c>
      <c r="I283" s="79">
        <f t="shared" si="40"/>
        <v>2021</v>
      </c>
      <c r="J283" s="79"/>
      <c r="K283" s="79"/>
      <c r="L283" s="79" t="str">
        <f t="shared" ca="1" si="44"/>
        <v/>
      </c>
      <c r="M283" s="79" t="str">
        <f t="shared" ca="1" si="45"/>
        <v/>
      </c>
    </row>
    <row r="284" spans="1:13" x14ac:dyDescent="0.2">
      <c r="A284" s="146">
        <v>295</v>
      </c>
      <c r="B284" s="146" t="str">
        <f>VLOOKUP( $A284, Aop!$A$2:$N$415, 2, 0)</f>
        <v>BTG</v>
      </c>
      <c r="C284" s="79">
        <f t="shared" si="41"/>
        <v>2</v>
      </c>
      <c r="D284" s="79" t="str">
        <f t="shared" si="38"/>
        <v>01494562</v>
      </c>
      <c r="E284" s="79" t="str">
        <f t="shared" si="39"/>
        <v>4400025960001</v>
      </c>
      <c r="F284" s="79" t="b">
        <f t="shared" si="42"/>
        <v>0</v>
      </c>
      <c r="G284" s="190">
        <f t="shared" si="43"/>
        <v>44377</v>
      </c>
      <c r="H284" s="146">
        <f>VLOOKUP( $A284, Aop!$A$2:$N$415, 4, 0)</f>
        <v>523</v>
      </c>
      <c r="I284" s="79">
        <f t="shared" si="40"/>
        <v>2021</v>
      </c>
      <c r="J284" s="79"/>
      <c r="K284" s="79"/>
      <c r="L284" s="79" t="str">
        <f t="shared" ca="1" si="44"/>
        <v/>
      </c>
      <c r="M284" s="79" t="str">
        <f t="shared" ca="1" si="45"/>
        <v/>
      </c>
    </row>
    <row r="285" spans="1:13" x14ac:dyDescent="0.2">
      <c r="A285" s="146">
        <v>296</v>
      </c>
      <c r="B285" s="146" t="str">
        <f>VLOOKUP( $A285, Aop!$A$2:$N$415, 2, 0)</f>
        <v>BTG</v>
      </c>
      <c r="C285" s="79">
        <f t="shared" si="41"/>
        <v>2</v>
      </c>
      <c r="D285" s="79" t="str">
        <f t="shared" si="38"/>
        <v>01494562</v>
      </c>
      <c r="E285" s="79" t="str">
        <f t="shared" si="39"/>
        <v>4400025960001</v>
      </c>
      <c r="F285" s="79" t="b">
        <f t="shared" si="42"/>
        <v>0</v>
      </c>
      <c r="G285" s="190">
        <f t="shared" si="43"/>
        <v>44377</v>
      </c>
      <c r="H285" s="146">
        <f>VLOOKUP( $A285, Aop!$A$2:$N$415, 4, 0)</f>
        <v>524</v>
      </c>
      <c r="I285" s="79">
        <f t="shared" si="40"/>
        <v>2021</v>
      </c>
      <c r="J285" s="79"/>
      <c r="K285" s="79"/>
      <c r="L285" s="79" t="str">
        <f t="shared" ca="1" si="44"/>
        <v/>
      </c>
      <c r="M285" s="79" t="str">
        <f t="shared" ca="1" si="45"/>
        <v/>
      </c>
    </row>
    <row r="286" spans="1:13" x14ac:dyDescent="0.2">
      <c r="A286" s="146">
        <v>297</v>
      </c>
      <c r="B286" s="146" t="str">
        <f>VLOOKUP( $A286, Aop!$A$2:$N$415, 2, 0)</f>
        <v>BTG</v>
      </c>
      <c r="C286" s="79">
        <f t="shared" si="41"/>
        <v>2</v>
      </c>
      <c r="D286" s="79" t="str">
        <f t="shared" si="38"/>
        <v>01494562</v>
      </c>
      <c r="E286" s="79" t="str">
        <f t="shared" si="39"/>
        <v>4400025960001</v>
      </c>
      <c r="F286" s="79" t="b">
        <f t="shared" si="42"/>
        <v>0</v>
      </c>
      <c r="G286" s="190">
        <f t="shared" si="43"/>
        <v>44377</v>
      </c>
      <c r="H286" s="146">
        <f>VLOOKUP( $A286, Aop!$A$2:$N$415, 4, 0)</f>
        <v>525</v>
      </c>
      <c r="I286" s="79">
        <f t="shared" si="40"/>
        <v>2021</v>
      </c>
      <c r="J286" s="79"/>
      <c r="K286" s="79"/>
      <c r="L286" s="79">
        <f t="shared" ca="1" si="44"/>
        <v>0</v>
      </c>
      <c r="M286" s="79">
        <f t="shared" ca="1" si="45"/>
        <v>0</v>
      </c>
    </row>
    <row r="287" spans="1:13" x14ac:dyDescent="0.2">
      <c r="A287" s="146">
        <v>298</v>
      </c>
      <c r="B287" s="146" t="str">
        <f>VLOOKUP( $A287, Aop!$A$2:$N$415, 2, 0)</f>
        <v>BTG</v>
      </c>
      <c r="C287" s="79">
        <f t="shared" si="41"/>
        <v>2</v>
      </c>
      <c r="D287" s="79" t="str">
        <f t="shared" si="38"/>
        <v>01494562</v>
      </c>
      <c r="E287" s="79" t="str">
        <f t="shared" si="39"/>
        <v>4400025960001</v>
      </c>
      <c r="F287" s="79" t="b">
        <f t="shared" si="42"/>
        <v>0</v>
      </c>
      <c r="G287" s="190">
        <f t="shared" si="43"/>
        <v>44377</v>
      </c>
      <c r="H287" s="146">
        <f>VLOOKUP( $A287, Aop!$A$2:$N$415, 4, 0)</f>
        <v>526</v>
      </c>
      <c r="I287" s="79">
        <f t="shared" si="40"/>
        <v>2021</v>
      </c>
      <c r="J287" s="79"/>
      <c r="K287" s="79"/>
      <c r="L287" s="79">
        <f t="shared" ca="1" si="44"/>
        <v>0</v>
      </c>
      <c r="M287" s="79">
        <f t="shared" ca="1" si="45"/>
        <v>0</v>
      </c>
    </row>
    <row r="288" spans="1:13" x14ac:dyDescent="0.2">
      <c r="A288" s="146">
        <v>300</v>
      </c>
      <c r="B288" s="146" t="str">
        <f>VLOOKUP( $A288, Aop!$A$2:$N$415, 2, 0)</f>
        <v>BTG</v>
      </c>
      <c r="C288" s="79">
        <f t="shared" si="41"/>
        <v>2</v>
      </c>
      <c r="D288" s="79" t="str">
        <f t="shared" si="38"/>
        <v>01494562</v>
      </c>
      <c r="E288" s="79" t="str">
        <f t="shared" si="39"/>
        <v>4400025960001</v>
      </c>
      <c r="F288" s="79" t="b">
        <f t="shared" si="42"/>
        <v>0</v>
      </c>
      <c r="G288" s="190">
        <f t="shared" si="43"/>
        <v>44377</v>
      </c>
      <c r="H288" s="146">
        <f>VLOOKUP( $A288, Aop!$A$2:$N$415, 4, 0)</f>
        <v>527</v>
      </c>
      <c r="I288" s="79">
        <f t="shared" si="40"/>
        <v>2021</v>
      </c>
      <c r="J288" s="79"/>
      <c r="K288" s="79"/>
      <c r="L288" s="79">
        <f t="shared" ca="1" si="44"/>
        <v>0</v>
      </c>
      <c r="M288" s="79">
        <f t="shared" ca="1" si="45"/>
        <v>0</v>
      </c>
    </row>
    <row r="289" spans="1:13" x14ac:dyDescent="0.2">
      <c r="A289" s="146">
        <v>301</v>
      </c>
      <c r="B289" s="146" t="str">
        <f>VLOOKUP( $A289, Aop!$A$2:$N$415, 2, 0)</f>
        <v>BTG</v>
      </c>
      <c r="C289" s="79">
        <f t="shared" si="41"/>
        <v>2</v>
      </c>
      <c r="D289" s="79" t="str">
        <f t="shared" si="38"/>
        <v>01494562</v>
      </c>
      <c r="E289" s="79" t="str">
        <f t="shared" si="39"/>
        <v>4400025960001</v>
      </c>
      <c r="F289" s="79" t="b">
        <f t="shared" si="42"/>
        <v>0</v>
      </c>
      <c r="G289" s="190">
        <f t="shared" si="43"/>
        <v>44377</v>
      </c>
      <c r="H289" s="146">
        <f>VLOOKUP( $A289, Aop!$A$2:$N$415, 4, 0)</f>
        <v>528</v>
      </c>
      <c r="I289" s="79">
        <f t="shared" si="40"/>
        <v>2021</v>
      </c>
      <c r="J289" s="79"/>
      <c r="K289" s="79"/>
      <c r="L289" s="79" t="str">
        <f t="shared" ca="1" si="44"/>
        <v/>
      </c>
      <c r="M289" s="79" t="str">
        <f t="shared" ca="1" si="45"/>
        <v/>
      </c>
    </row>
    <row r="290" spans="1:13" x14ac:dyDescent="0.2">
      <c r="A290" s="146">
        <v>302</v>
      </c>
      <c r="B290" s="146" t="str">
        <f>VLOOKUP( $A290, Aop!$A$2:$N$415, 2, 0)</f>
        <v>BTG</v>
      </c>
      <c r="C290" s="79">
        <f t="shared" si="41"/>
        <v>2</v>
      </c>
      <c r="D290" s="79" t="str">
        <f t="shared" si="38"/>
        <v>01494562</v>
      </c>
      <c r="E290" s="79" t="str">
        <f t="shared" si="39"/>
        <v>4400025960001</v>
      </c>
      <c r="F290" s="79" t="b">
        <f t="shared" si="42"/>
        <v>0</v>
      </c>
      <c r="G290" s="190">
        <f t="shared" si="43"/>
        <v>44377</v>
      </c>
      <c r="H290" s="146">
        <f>VLOOKUP( $A290, Aop!$A$2:$N$415, 4, 0)</f>
        <v>529</v>
      </c>
      <c r="I290" s="79">
        <f t="shared" si="40"/>
        <v>2021</v>
      </c>
      <c r="J290" s="79"/>
      <c r="K290" s="79"/>
      <c r="L290" s="79" t="str">
        <f t="shared" ca="1" si="44"/>
        <v/>
      </c>
      <c r="M290" s="79" t="str">
        <f t="shared" ca="1" si="45"/>
        <v/>
      </c>
    </row>
    <row r="291" spans="1:13" x14ac:dyDescent="0.2">
      <c r="A291" s="146">
        <v>303</v>
      </c>
      <c r="B291" s="146" t="str">
        <f>VLOOKUP( $A291, Aop!$A$2:$N$415, 2, 0)</f>
        <v>BTG</v>
      </c>
      <c r="C291" s="79">
        <f t="shared" si="41"/>
        <v>2</v>
      </c>
      <c r="D291" s="79" t="str">
        <f t="shared" si="38"/>
        <v>01494562</v>
      </c>
      <c r="E291" s="79" t="str">
        <f t="shared" si="39"/>
        <v>4400025960001</v>
      </c>
      <c r="F291" s="79" t="b">
        <f t="shared" si="42"/>
        <v>0</v>
      </c>
      <c r="G291" s="190">
        <f t="shared" si="43"/>
        <v>44377</v>
      </c>
      <c r="H291" s="146">
        <f>VLOOKUP( $A291, Aop!$A$2:$N$415, 4, 0)</f>
        <v>530</v>
      </c>
      <c r="I291" s="79">
        <f t="shared" si="40"/>
        <v>2021</v>
      </c>
      <c r="J291" s="79"/>
      <c r="K291" s="79"/>
      <c r="L291" s="79" t="str">
        <f t="shared" ca="1" si="44"/>
        <v/>
      </c>
      <c r="M291" s="79" t="str">
        <f t="shared" ca="1" si="45"/>
        <v/>
      </c>
    </row>
    <row r="292" spans="1:13" x14ac:dyDescent="0.2">
      <c r="A292" s="146">
        <v>304</v>
      </c>
      <c r="B292" s="146" t="str">
        <f>VLOOKUP( $A292, Aop!$A$2:$N$415, 2, 0)</f>
        <v>BTG</v>
      </c>
      <c r="C292" s="79">
        <f t="shared" si="41"/>
        <v>2</v>
      </c>
      <c r="D292" s="79" t="str">
        <f t="shared" si="38"/>
        <v>01494562</v>
      </c>
      <c r="E292" s="79" t="str">
        <f t="shared" si="39"/>
        <v>4400025960001</v>
      </c>
      <c r="F292" s="79" t="b">
        <f t="shared" si="42"/>
        <v>0</v>
      </c>
      <c r="G292" s="190">
        <f t="shared" si="43"/>
        <v>44377</v>
      </c>
      <c r="H292" s="146">
        <f>VLOOKUP( $A292, Aop!$A$2:$N$415, 4, 0)</f>
        <v>531</v>
      </c>
      <c r="I292" s="79">
        <f t="shared" si="40"/>
        <v>2021</v>
      </c>
      <c r="J292" s="79"/>
      <c r="K292" s="79"/>
      <c r="L292" s="79" t="str">
        <f t="shared" ca="1" si="44"/>
        <v/>
      </c>
      <c r="M292" s="79" t="str">
        <f t="shared" ca="1" si="45"/>
        <v/>
      </c>
    </row>
    <row r="293" spans="1:13" x14ac:dyDescent="0.2">
      <c r="A293" s="146">
        <v>305</v>
      </c>
      <c r="B293" s="146" t="str">
        <f>VLOOKUP( $A293, Aop!$A$2:$N$415, 2, 0)</f>
        <v>BTG</v>
      </c>
      <c r="C293" s="79">
        <f t="shared" si="41"/>
        <v>2</v>
      </c>
      <c r="D293" s="79" t="str">
        <f t="shared" si="38"/>
        <v>01494562</v>
      </c>
      <c r="E293" s="79" t="str">
        <f t="shared" si="39"/>
        <v>4400025960001</v>
      </c>
      <c r="F293" s="79" t="b">
        <f t="shared" si="42"/>
        <v>0</v>
      </c>
      <c r="G293" s="190">
        <f t="shared" si="43"/>
        <v>44377</v>
      </c>
      <c r="H293" s="146">
        <f>VLOOKUP( $A293, Aop!$A$2:$N$415, 4, 0)</f>
        <v>532</v>
      </c>
      <c r="I293" s="79">
        <f t="shared" si="40"/>
        <v>2021</v>
      </c>
      <c r="J293" s="79"/>
      <c r="K293" s="79"/>
      <c r="L293" s="79">
        <f t="shared" ca="1" si="44"/>
        <v>34559</v>
      </c>
      <c r="M293" s="79">
        <f t="shared" ca="1" si="45"/>
        <v>31448</v>
      </c>
    </row>
    <row r="294" spans="1:13" x14ac:dyDescent="0.2">
      <c r="A294" s="146">
        <v>306</v>
      </c>
      <c r="B294" s="146" t="str">
        <f>VLOOKUP( $A294, Aop!$A$2:$N$415, 2, 0)</f>
        <v>BTG</v>
      </c>
      <c r="C294" s="79">
        <f t="shared" si="41"/>
        <v>2</v>
      </c>
      <c r="D294" s="79" t="str">
        <f t="shared" si="38"/>
        <v>01494562</v>
      </c>
      <c r="E294" s="79" t="str">
        <f t="shared" si="39"/>
        <v>4400025960001</v>
      </c>
      <c r="F294" s="79" t="b">
        <f t="shared" si="42"/>
        <v>0</v>
      </c>
      <c r="G294" s="190">
        <f t="shared" si="43"/>
        <v>44377</v>
      </c>
      <c r="H294" s="146">
        <f>VLOOKUP( $A294, Aop!$A$2:$N$415, 4, 0)</f>
        <v>533</v>
      </c>
      <c r="I294" s="79">
        <f t="shared" si="40"/>
        <v>2021</v>
      </c>
      <c r="J294" s="79"/>
      <c r="K294" s="79"/>
      <c r="L294" s="79" t="str">
        <f t="shared" ca="1" si="44"/>
        <v/>
      </c>
      <c r="M294" s="79" t="str">
        <f t="shared" ca="1" si="45"/>
        <v/>
      </c>
    </row>
    <row r="295" spans="1:13" x14ac:dyDescent="0.2">
      <c r="A295" s="146">
        <v>307</v>
      </c>
      <c r="B295" s="146" t="str">
        <f>VLOOKUP( $A295, Aop!$A$2:$N$415, 2, 0)</f>
        <v>BTG</v>
      </c>
      <c r="C295" s="79">
        <f t="shared" si="41"/>
        <v>2</v>
      </c>
      <c r="D295" s="79" t="str">
        <f t="shared" si="38"/>
        <v>01494562</v>
      </c>
      <c r="E295" s="79" t="str">
        <f t="shared" si="39"/>
        <v>4400025960001</v>
      </c>
      <c r="F295" s="79" t="b">
        <f t="shared" si="42"/>
        <v>0</v>
      </c>
      <c r="G295" s="190">
        <f t="shared" si="43"/>
        <v>44377</v>
      </c>
      <c r="H295" s="146">
        <f>VLOOKUP( $A295, Aop!$A$2:$N$415, 4, 0)</f>
        <v>534</v>
      </c>
      <c r="I295" s="79">
        <f t="shared" si="40"/>
        <v>2021</v>
      </c>
      <c r="J295" s="79"/>
      <c r="K295" s="79"/>
      <c r="L295" s="79" t="str">
        <f t="shared" ca="1" si="44"/>
        <v/>
      </c>
      <c r="M295" s="79" t="str">
        <f t="shared" ca="1" si="45"/>
        <v/>
      </c>
    </row>
    <row r="296" spans="1:13" x14ac:dyDescent="0.2">
      <c r="A296" s="146">
        <v>308</v>
      </c>
      <c r="B296" s="146" t="str">
        <f>VLOOKUP( $A296, Aop!$A$2:$N$415, 2, 0)</f>
        <v>BTG</v>
      </c>
      <c r="C296" s="79">
        <f t="shared" si="41"/>
        <v>2</v>
      </c>
      <c r="D296" s="79" t="str">
        <f t="shared" si="38"/>
        <v>01494562</v>
      </c>
      <c r="E296" s="79" t="str">
        <f t="shared" si="39"/>
        <v>4400025960001</v>
      </c>
      <c r="F296" s="79" t="b">
        <f t="shared" si="42"/>
        <v>0</v>
      </c>
      <c r="G296" s="190">
        <f t="shared" si="43"/>
        <v>44377</v>
      </c>
      <c r="H296" s="146">
        <f>VLOOKUP( $A296, Aop!$A$2:$N$415, 4, 0)</f>
        <v>535</v>
      </c>
      <c r="I296" s="79">
        <f t="shared" si="40"/>
        <v>2021</v>
      </c>
      <c r="J296" s="79"/>
      <c r="K296" s="79"/>
      <c r="L296" s="79">
        <f t="shared" ca="1" si="44"/>
        <v>34559</v>
      </c>
      <c r="M296" s="79">
        <f t="shared" ca="1" si="45"/>
        <v>31448</v>
      </c>
    </row>
    <row r="297" spans="1:13" x14ac:dyDescent="0.2">
      <c r="A297" s="146">
        <v>309</v>
      </c>
      <c r="B297" s="146" t="str">
        <f>VLOOKUP( $A297, Aop!$A$2:$N$415, 2, 0)</f>
        <v>BTG</v>
      </c>
      <c r="C297" s="79">
        <f t="shared" si="41"/>
        <v>2</v>
      </c>
      <c r="D297" s="79" t="str">
        <f t="shared" si="38"/>
        <v>01494562</v>
      </c>
      <c r="E297" s="79" t="str">
        <f t="shared" si="39"/>
        <v>4400025960001</v>
      </c>
      <c r="F297" s="79" t="b">
        <f t="shared" si="42"/>
        <v>0</v>
      </c>
      <c r="G297" s="190">
        <f t="shared" si="43"/>
        <v>44377</v>
      </c>
      <c r="H297" s="146">
        <f>VLOOKUP( $A297, Aop!$A$2:$N$415, 4, 0)</f>
        <v>536</v>
      </c>
      <c r="I297" s="79">
        <f t="shared" si="40"/>
        <v>2021</v>
      </c>
      <c r="J297" s="79"/>
      <c r="K297" s="79"/>
      <c r="L297" s="79" t="str">
        <f t="shared" ca="1" si="44"/>
        <v/>
      </c>
      <c r="M297" s="79" t="str">
        <f t="shared" ca="1" si="45"/>
        <v/>
      </c>
    </row>
    <row r="298" spans="1:13" x14ac:dyDescent="0.2">
      <c r="A298" s="146">
        <v>310</v>
      </c>
      <c r="B298" s="146" t="str">
        <f>VLOOKUP( $A298, Aop!$A$2:$N$415, 2, 0)</f>
        <v>BTG</v>
      </c>
      <c r="C298" s="79">
        <f t="shared" si="41"/>
        <v>2</v>
      </c>
      <c r="D298" s="79" t="str">
        <f t="shared" si="38"/>
        <v>01494562</v>
      </c>
      <c r="E298" s="79" t="str">
        <f t="shared" si="39"/>
        <v>4400025960001</v>
      </c>
      <c r="F298" s="79" t="b">
        <f t="shared" si="42"/>
        <v>0</v>
      </c>
      <c r="G298" s="190">
        <f t="shared" si="43"/>
        <v>44377</v>
      </c>
      <c r="H298" s="146">
        <f>VLOOKUP( $A298, Aop!$A$2:$N$415, 4, 0)</f>
        <v>537</v>
      </c>
      <c r="I298" s="79">
        <f t="shared" si="40"/>
        <v>2021</v>
      </c>
      <c r="J298" s="79"/>
      <c r="K298" s="79"/>
      <c r="L298" s="79" t="str">
        <f t="shared" ca="1" si="44"/>
        <v/>
      </c>
      <c r="M298" s="79" t="str">
        <f t="shared" ca="1" si="45"/>
        <v/>
      </c>
    </row>
    <row r="299" spans="1:13" x14ac:dyDescent="0.2">
      <c r="A299" s="146">
        <v>311</v>
      </c>
      <c r="B299" s="146" t="str">
        <f>VLOOKUP( $A299, Aop!$A$2:$N$415, 2, 0)</f>
        <v>BTG</v>
      </c>
      <c r="C299" s="79">
        <f t="shared" si="41"/>
        <v>2</v>
      </c>
      <c r="D299" s="79" t="str">
        <f t="shared" si="38"/>
        <v>01494562</v>
      </c>
      <c r="E299" s="79" t="str">
        <f t="shared" si="39"/>
        <v>4400025960001</v>
      </c>
      <c r="F299" s="79" t="b">
        <f t="shared" si="42"/>
        <v>0</v>
      </c>
      <c r="G299" s="190">
        <f t="shared" si="43"/>
        <v>44377</v>
      </c>
      <c r="H299" s="146">
        <f>VLOOKUP( $A299, Aop!$A$2:$N$415, 4, 0)</f>
        <v>538</v>
      </c>
      <c r="I299" s="79">
        <f t="shared" si="40"/>
        <v>2021</v>
      </c>
      <c r="J299" s="79"/>
      <c r="K299" s="79"/>
      <c r="L299" s="79" t="str">
        <f t="shared" ca="1" si="44"/>
        <v/>
      </c>
      <c r="M299" s="79" t="str">
        <f t="shared" ca="1" si="45"/>
        <v/>
      </c>
    </row>
    <row r="300" spans="1:13" x14ac:dyDescent="0.2">
      <c r="A300" s="146">
        <v>312</v>
      </c>
      <c r="B300" s="146" t="str">
        <f>VLOOKUP( $A300, Aop!$A$2:$N$415, 2, 0)</f>
        <v>BTG</v>
      </c>
      <c r="C300" s="79">
        <f t="shared" si="41"/>
        <v>2</v>
      </c>
      <c r="D300" s="79" t="str">
        <f t="shared" si="38"/>
        <v>01494562</v>
      </c>
      <c r="E300" s="79" t="str">
        <f t="shared" si="39"/>
        <v>4400025960001</v>
      </c>
      <c r="F300" s="79" t="b">
        <f t="shared" si="42"/>
        <v>0</v>
      </c>
      <c r="G300" s="190">
        <f t="shared" si="43"/>
        <v>44377</v>
      </c>
      <c r="H300" s="146">
        <f>VLOOKUP( $A300, Aop!$A$2:$N$415, 4, 0)</f>
        <v>539</v>
      </c>
      <c r="I300" s="79">
        <f t="shared" si="40"/>
        <v>2021</v>
      </c>
      <c r="J300" s="79"/>
      <c r="K300" s="79"/>
      <c r="L300" s="79">
        <f t="shared" ca="1" si="44"/>
        <v>0</v>
      </c>
      <c r="M300" s="79">
        <f t="shared" ca="1" si="45"/>
        <v>0</v>
      </c>
    </row>
    <row r="301" spans="1:13" x14ac:dyDescent="0.2">
      <c r="A301" s="146">
        <v>313</v>
      </c>
      <c r="B301" s="146" t="str">
        <f>VLOOKUP( $A301, Aop!$A$2:$N$415, 2, 0)</f>
        <v>BTG</v>
      </c>
      <c r="C301" s="79">
        <f t="shared" si="41"/>
        <v>2</v>
      </c>
      <c r="D301" s="79" t="str">
        <f t="shared" si="38"/>
        <v>01494562</v>
      </c>
      <c r="E301" s="79" t="str">
        <f t="shared" si="39"/>
        <v>4400025960001</v>
      </c>
      <c r="F301" s="79" t="b">
        <f t="shared" si="42"/>
        <v>0</v>
      </c>
      <c r="G301" s="190">
        <f t="shared" si="43"/>
        <v>44377</v>
      </c>
      <c r="H301" s="146">
        <f>VLOOKUP( $A301, Aop!$A$2:$N$415, 4, 0)</f>
        <v>540</v>
      </c>
      <c r="I301" s="79">
        <f t="shared" si="40"/>
        <v>2021</v>
      </c>
      <c r="J301" s="79"/>
      <c r="K301" s="79"/>
      <c r="L301" s="79">
        <f t="shared" ca="1" si="44"/>
        <v>34559</v>
      </c>
      <c r="M301" s="79">
        <f t="shared" ca="1" si="45"/>
        <v>31448</v>
      </c>
    </row>
    <row r="302" spans="1:13" x14ac:dyDescent="0.2">
      <c r="A302" s="146">
        <v>314</v>
      </c>
      <c r="B302" s="146" t="str">
        <f>VLOOKUP( $A302, Aop!$A$2:$N$415, 2, 0)</f>
        <v>BTG</v>
      </c>
      <c r="C302" s="79">
        <f t="shared" si="41"/>
        <v>2</v>
      </c>
      <c r="D302" s="79" t="str">
        <f t="shared" si="38"/>
        <v>01494562</v>
      </c>
      <c r="E302" s="79" t="str">
        <f t="shared" si="39"/>
        <v>4400025960001</v>
      </c>
      <c r="F302" s="79" t="b">
        <f t="shared" si="42"/>
        <v>0</v>
      </c>
      <c r="G302" s="190">
        <f t="shared" si="43"/>
        <v>44377</v>
      </c>
      <c r="H302" s="146">
        <f>VLOOKUP( $A302, Aop!$A$2:$N$415, 4, 0)</f>
        <v>541</v>
      </c>
      <c r="I302" s="79">
        <f t="shared" si="40"/>
        <v>2021</v>
      </c>
      <c r="J302" s="79"/>
      <c r="K302" s="79"/>
      <c r="L302" s="79">
        <f t="shared" ca="1" si="44"/>
        <v>14139939</v>
      </c>
      <c r="M302" s="79">
        <f t="shared" ca="1" si="45"/>
        <v>13372236</v>
      </c>
    </row>
    <row r="303" spans="1:13" x14ac:dyDescent="0.2">
      <c r="A303" s="146">
        <v>315</v>
      </c>
      <c r="B303" s="146" t="str">
        <f>VLOOKUP( $A303, Aop!$A$2:$N$415, 2, 0)</f>
        <v>BTG</v>
      </c>
      <c r="C303" s="79">
        <f t="shared" si="41"/>
        <v>2</v>
      </c>
      <c r="D303" s="79" t="str">
        <f t="shared" si="38"/>
        <v>01494562</v>
      </c>
      <c r="E303" s="79" t="str">
        <f t="shared" si="39"/>
        <v>4400025960001</v>
      </c>
      <c r="F303" s="79" t="b">
        <f t="shared" si="42"/>
        <v>0</v>
      </c>
      <c r="G303" s="190">
        <f t="shared" si="43"/>
        <v>44377</v>
      </c>
      <c r="H303" s="146">
        <f>VLOOKUP( $A303, Aop!$A$2:$N$415, 4, 0)</f>
        <v>542</v>
      </c>
      <c r="I303" s="79">
        <f t="shared" si="40"/>
        <v>2021</v>
      </c>
      <c r="J303" s="79"/>
      <c r="K303" s="79"/>
      <c r="L303" s="79">
        <f t="shared" ca="1" si="44"/>
        <v>15376238</v>
      </c>
      <c r="M303" s="79">
        <f t="shared" ca="1" si="45"/>
        <v>14942290</v>
      </c>
    </row>
    <row r="304" spans="1:13" x14ac:dyDescent="0.2">
      <c r="A304" s="146">
        <v>316</v>
      </c>
      <c r="B304" s="146" t="str">
        <f>VLOOKUP( $A304, Aop!$A$2:$N$415, 2, 0)</f>
        <v>BTG</v>
      </c>
      <c r="C304" s="79">
        <f t="shared" si="41"/>
        <v>2</v>
      </c>
      <c r="D304" s="79" t="str">
        <f t="shared" si="38"/>
        <v>01494562</v>
      </c>
      <c r="E304" s="79" t="str">
        <f t="shared" si="39"/>
        <v>4400025960001</v>
      </c>
      <c r="F304" s="79" t="b">
        <f t="shared" si="42"/>
        <v>0</v>
      </c>
      <c r="G304" s="190">
        <f t="shared" si="43"/>
        <v>44377</v>
      </c>
      <c r="H304" s="146">
        <f>VLOOKUP( $A304, Aop!$A$2:$N$415, 4, 0)</f>
        <v>543</v>
      </c>
      <c r="I304" s="79">
        <f t="shared" si="40"/>
        <v>2021</v>
      </c>
      <c r="J304" s="79"/>
      <c r="K304" s="79"/>
      <c r="L304" s="79">
        <f t="shared" ca="1" si="44"/>
        <v>0</v>
      </c>
      <c r="M304" s="79">
        <f t="shared" ca="1" si="45"/>
        <v>0</v>
      </c>
    </row>
    <row r="305" spans="1:13" x14ac:dyDescent="0.2">
      <c r="A305" s="146">
        <v>317</v>
      </c>
      <c r="B305" s="146" t="str">
        <f>VLOOKUP( $A305, Aop!$A$2:$N$415, 2, 0)</f>
        <v>BTG</v>
      </c>
      <c r="C305" s="79">
        <f t="shared" si="41"/>
        <v>2</v>
      </c>
      <c r="D305" s="79" t="str">
        <f t="shared" si="38"/>
        <v>01494562</v>
      </c>
      <c r="E305" s="79" t="str">
        <f t="shared" si="39"/>
        <v>4400025960001</v>
      </c>
      <c r="F305" s="79" t="b">
        <f t="shared" si="42"/>
        <v>0</v>
      </c>
      <c r="G305" s="190">
        <f t="shared" si="43"/>
        <v>44377</v>
      </c>
      <c r="H305" s="146">
        <f>VLOOKUP( $A305, Aop!$A$2:$N$415, 4, 0)</f>
        <v>544</v>
      </c>
      <c r="I305" s="79">
        <f t="shared" si="40"/>
        <v>2021</v>
      </c>
      <c r="J305" s="79"/>
      <c r="K305" s="79"/>
      <c r="L305" s="79">
        <f t="shared" ca="1" si="44"/>
        <v>1236299</v>
      </c>
      <c r="M305" s="79">
        <f t="shared" ca="1" si="45"/>
        <v>1570054</v>
      </c>
    </row>
    <row r="306" spans="1:13" x14ac:dyDescent="0.2">
      <c r="A306" s="146">
        <v>318</v>
      </c>
      <c r="B306" s="146" t="str">
        <f>VLOOKUP( $A306, Aop!$A$2:$N$415, 2, 0)</f>
        <v>BTG</v>
      </c>
      <c r="C306" s="79">
        <f t="shared" si="41"/>
        <v>2</v>
      </c>
      <c r="D306" s="79" t="str">
        <f t="shared" si="38"/>
        <v>01494562</v>
      </c>
      <c r="E306" s="79" t="str">
        <f t="shared" si="39"/>
        <v>4400025960001</v>
      </c>
      <c r="F306" s="79" t="b">
        <f t="shared" si="42"/>
        <v>0</v>
      </c>
      <c r="G306" s="190">
        <f t="shared" si="43"/>
        <v>44377</v>
      </c>
      <c r="H306" s="146">
        <f>VLOOKUP( $A306, Aop!$A$2:$N$415, 4, 0)</f>
        <v>545</v>
      </c>
      <c r="I306" s="79">
        <f t="shared" si="40"/>
        <v>2021</v>
      </c>
      <c r="J306" s="79"/>
      <c r="K306" s="79"/>
      <c r="L306" s="79">
        <f t="shared" ca="1" si="44"/>
        <v>20733130</v>
      </c>
      <c r="M306" s="79">
        <f t="shared" ca="1" si="45"/>
        <v>13189652</v>
      </c>
    </row>
    <row r="307" spans="1:13" x14ac:dyDescent="0.2">
      <c r="A307" s="146">
        <v>319</v>
      </c>
      <c r="B307" s="146" t="str">
        <f>VLOOKUP( $A307, Aop!$A$2:$N$415, 2, 0)</f>
        <v>BTG</v>
      </c>
      <c r="C307" s="79">
        <f t="shared" si="41"/>
        <v>2</v>
      </c>
      <c r="D307" s="79" t="str">
        <f t="shared" si="38"/>
        <v>01494562</v>
      </c>
      <c r="E307" s="79" t="str">
        <f t="shared" si="39"/>
        <v>4400025960001</v>
      </c>
      <c r="F307" s="79" t="b">
        <f t="shared" si="42"/>
        <v>0</v>
      </c>
      <c r="G307" s="190">
        <f t="shared" si="43"/>
        <v>44377</v>
      </c>
      <c r="H307" s="146">
        <f>VLOOKUP( $A307, Aop!$A$2:$N$415, 4, 0)</f>
        <v>546</v>
      </c>
      <c r="I307" s="79">
        <f t="shared" si="40"/>
        <v>2021</v>
      </c>
      <c r="J307" s="79"/>
      <c r="K307" s="79"/>
      <c r="L307" s="79" t="str">
        <f t="shared" ca="1" si="44"/>
        <v/>
      </c>
      <c r="M307" s="79" t="str">
        <f t="shared" ca="1" si="45"/>
        <v/>
      </c>
    </row>
    <row r="308" spans="1:13" x14ac:dyDescent="0.2">
      <c r="A308" s="146">
        <v>320</v>
      </c>
      <c r="B308" s="146" t="str">
        <f>VLOOKUP( $A308, Aop!$A$2:$N$415, 2, 0)</f>
        <v>BTG</v>
      </c>
      <c r="C308" s="79">
        <f t="shared" si="41"/>
        <v>2</v>
      </c>
      <c r="D308" s="79" t="str">
        <f t="shared" si="38"/>
        <v>01494562</v>
      </c>
      <c r="E308" s="79" t="str">
        <f t="shared" si="39"/>
        <v>4400025960001</v>
      </c>
      <c r="F308" s="79" t="b">
        <f t="shared" si="42"/>
        <v>0</v>
      </c>
      <c r="G308" s="190">
        <f t="shared" si="43"/>
        <v>44377</v>
      </c>
      <c r="H308" s="146">
        <f>VLOOKUP( $A308, Aop!$A$2:$N$415, 4, 0)</f>
        <v>547</v>
      </c>
      <c r="I308" s="79">
        <f t="shared" si="40"/>
        <v>2021</v>
      </c>
      <c r="J308" s="79"/>
      <c r="K308" s="79"/>
      <c r="L308" s="79" t="str">
        <f t="shared" ca="1" si="44"/>
        <v/>
      </c>
      <c r="M308" s="79" t="str">
        <f t="shared" ca="1" si="45"/>
        <v/>
      </c>
    </row>
    <row r="309" spans="1:13" x14ac:dyDescent="0.2">
      <c r="A309" s="146">
        <v>321</v>
      </c>
      <c r="B309" s="146" t="str">
        <f>VLOOKUP( $A309, Aop!$A$2:$N$415, 2, 0)</f>
        <v>BTG</v>
      </c>
      <c r="C309" s="79">
        <f t="shared" si="41"/>
        <v>2</v>
      </c>
      <c r="D309" s="79" t="str">
        <f t="shared" ref="D309:D354" si="46">Podatak_MB</f>
        <v>01494562</v>
      </c>
      <c r="E309" s="79" t="str">
        <f t="shared" ref="E309:E354" si="47">Podatak_JIB</f>
        <v>4400025960001</v>
      </c>
      <c r="F309" s="79" t="b">
        <f t="shared" si="42"/>
        <v>0</v>
      </c>
      <c r="G309" s="190">
        <f t="shared" si="43"/>
        <v>44377</v>
      </c>
      <c r="H309" s="146">
        <f>VLOOKUP( $A309, Aop!$A$2:$N$415, 4, 0)</f>
        <v>548</v>
      </c>
      <c r="I309" s="79">
        <f t="shared" ref="I309:I354" si="48">Godina</f>
        <v>2021</v>
      </c>
      <c r="J309" s="79"/>
      <c r="K309" s="79"/>
      <c r="L309" s="79">
        <f t="shared" ca="1" si="44"/>
        <v>19496831</v>
      </c>
      <c r="M309" s="79">
        <f t="shared" ca="1" si="45"/>
        <v>11619598</v>
      </c>
    </row>
    <row r="310" spans="1:13" x14ac:dyDescent="0.2">
      <c r="A310" s="146">
        <v>322</v>
      </c>
      <c r="B310" s="146" t="str">
        <f>VLOOKUP( $A310, Aop!$A$2:$N$415, 2, 0)</f>
        <v>Aneks</v>
      </c>
      <c r="C310" s="79">
        <f t="shared" ref="C310:C354" si="49">ID_Izvjestaj</f>
        <v>2</v>
      </c>
      <c r="D310" s="79" t="str">
        <f t="shared" si="46"/>
        <v>01494562</v>
      </c>
      <c r="E310" s="79" t="str">
        <f t="shared" si="47"/>
        <v>4400025960001</v>
      </c>
      <c r="F310" s="79" t="b">
        <f t="shared" ref="F310:F354" si="50">Konsolidovan_izvjestaj</f>
        <v>0</v>
      </c>
      <c r="G310" s="190">
        <f t="shared" ref="G310:G354" si="51">Datum_Broj</f>
        <v>44377</v>
      </c>
      <c r="H310" s="146">
        <f>VLOOKUP( $A310, Aop!$A$2:$N$415, 4, 0)</f>
        <v>601</v>
      </c>
      <c r="I310" s="79">
        <f t="shared" si="48"/>
        <v>2021</v>
      </c>
      <c r="J310" s="79"/>
      <c r="K310" s="79"/>
      <c r="L310" s="79" t="str">
        <f t="shared" ca="1" si="44"/>
        <v/>
      </c>
      <c r="M310" s="79" t="str">
        <f t="shared" ca="1" si="45"/>
        <v/>
      </c>
    </row>
    <row r="311" spans="1:13" x14ac:dyDescent="0.2">
      <c r="A311" s="146">
        <v>323</v>
      </c>
      <c r="B311" s="146" t="str">
        <f>VLOOKUP( $A311, Aop!$A$2:$N$415, 2, 0)</f>
        <v>Aneks</v>
      </c>
      <c r="C311" s="79">
        <f t="shared" si="49"/>
        <v>2</v>
      </c>
      <c r="D311" s="79" t="str">
        <f t="shared" si="46"/>
        <v>01494562</v>
      </c>
      <c r="E311" s="79" t="str">
        <f t="shared" si="47"/>
        <v>4400025960001</v>
      </c>
      <c r="F311" s="79" t="b">
        <f t="shared" si="50"/>
        <v>0</v>
      </c>
      <c r="G311" s="190">
        <f t="shared" si="51"/>
        <v>44377</v>
      </c>
      <c r="H311" s="146">
        <f>VLOOKUP( $A311, Aop!$A$2:$N$415, 4, 0)</f>
        <v>602</v>
      </c>
      <c r="I311" s="79">
        <f t="shared" si="48"/>
        <v>2021</v>
      </c>
      <c r="J311" s="79"/>
      <c r="K311" s="79"/>
      <c r="L311" s="79">
        <f t="shared" ca="1" si="44"/>
        <v>628117</v>
      </c>
      <c r="M311" s="79">
        <f t="shared" ca="1" si="45"/>
        <v>974032</v>
      </c>
    </row>
    <row r="312" spans="1:13" x14ac:dyDescent="0.2">
      <c r="A312" s="146">
        <v>324</v>
      </c>
      <c r="B312" s="146" t="str">
        <f>VLOOKUP( $A312, Aop!$A$2:$N$415, 2, 0)</f>
        <v>Aneks</v>
      </c>
      <c r="C312" s="79">
        <f t="shared" si="49"/>
        <v>2</v>
      </c>
      <c r="D312" s="79" t="str">
        <f t="shared" si="46"/>
        <v>01494562</v>
      </c>
      <c r="E312" s="79" t="str">
        <f t="shared" si="47"/>
        <v>4400025960001</v>
      </c>
      <c r="F312" s="79" t="b">
        <f t="shared" si="50"/>
        <v>0</v>
      </c>
      <c r="G312" s="190">
        <f t="shared" si="51"/>
        <v>44377</v>
      </c>
      <c r="H312" s="146">
        <f>VLOOKUP( $A312, Aop!$A$2:$N$415, 4, 0)</f>
        <v>603</v>
      </c>
      <c r="I312" s="79">
        <f t="shared" si="48"/>
        <v>2021</v>
      </c>
      <c r="J312" s="79"/>
      <c r="K312" s="79"/>
      <c r="L312" s="79">
        <f t="shared" ca="1" si="44"/>
        <v>9447934</v>
      </c>
      <c r="M312" s="79">
        <f t="shared" ca="1" si="45"/>
        <v>9492894</v>
      </c>
    </row>
    <row r="313" spans="1:13" x14ac:dyDescent="0.2">
      <c r="A313" s="146">
        <v>325</v>
      </c>
      <c r="B313" s="146" t="str">
        <f>VLOOKUP( $A313, Aop!$A$2:$N$415, 2, 0)</f>
        <v>Aneks</v>
      </c>
      <c r="C313" s="79">
        <f t="shared" si="49"/>
        <v>2</v>
      </c>
      <c r="D313" s="79" t="str">
        <f t="shared" si="46"/>
        <v>01494562</v>
      </c>
      <c r="E313" s="79" t="str">
        <f t="shared" si="47"/>
        <v>4400025960001</v>
      </c>
      <c r="F313" s="79" t="b">
        <f t="shared" si="50"/>
        <v>0</v>
      </c>
      <c r="G313" s="190">
        <f t="shared" si="51"/>
        <v>44377</v>
      </c>
      <c r="H313" s="146">
        <f>VLOOKUP( $A313, Aop!$A$2:$N$415, 4, 0)</f>
        <v>604</v>
      </c>
      <c r="I313" s="79">
        <f t="shared" si="48"/>
        <v>2021</v>
      </c>
      <c r="J313" s="79"/>
      <c r="K313" s="79"/>
      <c r="L313" s="79">
        <f t="shared" ca="1" si="44"/>
        <v>86478</v>
      </c>
      <c r="M313" s="79">
        <f t="shared" ca="1" si="45"/>
        <v>143215</v>
      </c>
    </row>
    <row r="314" spans="1:13" x14ac:dyDescent="0.2">
      <c r="A314" s="146">
        <v>326</v>
      </c>
      <c r="B314" s="146" t="str">
        <f>VLOOKUP( $A314, Aop!$A$2:$N$415, 2, 0)</f>
        <v>Aneks</v>
      </c>
      <c r="C314" s="79">
        <f t="shared" si="49"/>
        <v>2</v>
      </c>
      <c r="D314" s="79" t="str">
        <f t="shared" si="46"/>
        <v>01494562</v>
      </c>
      <c r="E314" s="79" t="str">
        <f t="shared" si="47"/>
        <v>4400025960001</v>
      </c>
      <c r="F314" s="79" t="b">
        <f t="shared" si="50"/>
        <v>0</v>
      </c>
      <c r="G314" s="190">
        <f t="shared" si="51"/>
        <v>44377</v>
      </c>
      <c r="H314" s="146">
        <f>VLOOKUP( $A314, Aop!$A$2:$N$415, 4, 0)</f>
        <v>605</v>
      </c>
      <c r="I314" s="79">
        <f t="shared" si="48"/>
        <v>2021</v>
      </c>
      <c r="J314" s="79"/>
      <c r="K314" s="79"/>
      <c r="L314" s="79">
        <f t="shared" ca="1" si="44"/>
        <v>3454490</v>
      </c>
      <c r="M314" s="79">
        <f t="shared" ca="1" si="45"/>
        <v>2268321</v>
      </c>
    </row>
    <row r="315" spans="1:13" x14ac:dyDescent="0.2">
      <c r="A315" s="146">
        <v>327</v>
      </c>
      <c r="B315" s="146" t="str">
        <f>VLOOKUP( $A315, Aop!$A$2:$N$415, 2, 0)</f>
        <v>Aneks</v>
      </c>
      <c r="C315" s="79">
        <f t="shared" si="49"/>
        <v>2</v>
      </c>
      <c r="D315" s="79" t="str">
        <f t="shared" si="46"/>
        <v>01494562</v>
      </c>
      <c r="E315" s="79" t="str">
        <f t="shared" si="47"/>
        <v>4400025960001</v>
      </c>
      <c r="F315" s="79" t="b">
        <f t="shared" si="50"/>
        <v>0</v>
      </c>
      <c r="G315" s="190">
        <f t="shared" si="51"/>
        <v>44377</v>
      </c>
      <c r="H315" s="146">
        <f>VLOOKUP( $A315, Aop!$A$2:$N$415, 4, 0)</f>
        <v>606</v>
      </c>
      <c r="I315" s="79">
        <f t="shared" si="48"/>
        <v>2021</v>
      </c>
      <c r="J315" s="79"/>
      <c r="K315" s="79"/>
      <c r="L315" s="79">
        <f t="shared" ca="1" si="44"/>
        <v>2935741</v>
      </c>
      <c r="M315" s="79">
        <f t="shared" ca="1" si="45"/>
        <v>3142602</v>
      </c>
    </row>
    <row r="316" spans="1:13" x14ac:dyDescent="0.2">
      <c r="A316" s="146">
        <v>328</v>
      </c>
      <c r="B316" s="146" t="str">
        <f>VLOOKUP( $A316, Aop!$A$2:$N$415, 2, 0)</f>
        <v>Aneks</v>
      </c>
      <c r="C316" s="79">
        <f t="shared" si="49"/>
        <v>2</v>
      </c>
      <c r="D316" s="79" t="str">
        <f t="shared" si="46"/>
        <v>01494562</v>
      </c>
      <c r="E316" s="79" t="str">
        <f t="shared" si="47"/>
        <v>4400025960001</v>
      </c>
      <c r="F316" s="79" t="b">
        <f t="shared" si="50"/>
        <v>0</v>
      </c>
      <c r="G316" s="190">
        <f t="shared" si="51"/>
        <v>44377</v>
      </c>
      <c r="H316" s="146">
        <f>VLOOKUP( $A316, Aop!$A$2:$N$415, 4, 0)</f>
        <v>607</v>
      </c>
      <c r="I316" s="79">
        <f t="shared" si="48"/>
        <v>2021</v>
      </c>
      <c r="J316" s="79"/>
      <c r="K316" s="79"/>
      <c r="L316" s="79">
        <f t="shared" ca="1" si="44"/>
        <v>7280</v>
      </c>
      <c r="M316" s="79">
        <f t="shared" ca="1" si="45"/>
        <v>79407</v>
      </c>
    </row>
    <row r="317" spans="1:13" x14ac:dyDescent="0.2">
      <c r="A317" s="146">
        <v>329</v>
      </c>
      <c r="B317" s="146" t="str">
        <f>VLOOKUP( $A317, Aop!$A$2:$N$415, 2, 0)</f>
        <v>Aneks</v>
      </c>
      <c r="C317" s="79">
        <f t="shared" si="49"/>
        <v>2</v>
      </c>
      <c r="D317" s="79" t="str">
        <f t="shared" si="46"/>
        <v>01494562</v>
      </c>
      <c r="E317" s="79" t="str">
        <f t="shared" si="47"/>
        <v>4400025960001</v>
      </c>
      <c r="F317" s="79" t="b">
        <f t="shared" si="50"/>
        <v>0</v>
      </c>
      <c r="G317" s="190">
        <f t="shared" si="51"/>
        <v>44377</v>
      </c>
      <c r="H317" s="146">
        <f>VLOOKUP( $A317, Aop!$A$2:$N$415, 4, 0)</f>
        <v>608</v>
      </c>
      <c r="I317" s="79">
        <f t="shared" si="48"/>
        <v>2021</v>
      </c>
      <c r="J317" s="79"/>
      <c r="K317" s="79"/>
      <c r="L317" s="79" t="str">
        <f t="shared" ca="1" si="44"/>
        <v/>
      </c>
      <c r="M317" s="79" t="str">
        <f t="shared" ca="1" si="45"/>
        <v/>
      </c>
    </row>
    <row r="318" spans="1:13" x14ac:dyDescent="0.2">
      <c r="A318" s="146">
        <v>330</v>
      </c>
      <c r="B318" s="146" t="str">
        <f>VLOOKUP( $A318, Aop!$A$2:$N$415, 2, 0)</f>
        <v>Aneks</v>
      </c>
      <c r="C318" s="79">
        <f t="shared" si="49"/>
        <v>2</v>
      </c>
      <c r="D318" s="79" t="str">
        <f t="shared" si="46"/>
        <v>01494562</v>
      </c>
      <c r="E318" s="79" t="str">
        <f t="shared" si="47"/>
        <v>4400025960001</v>
      </c>
      <c r="F318" s="79" t="b">
        <f t="shared" si="50"/>
        <v>0</v>
      </c>
      <c r="G318" s="190">
        <f t="shared" si="51"/>
        <v>44377</v>
      </c>
      <c r="H318" s="146">
        <f>VLOOKUP( $A318, Aop!$A$2:$N$415, 4, 0)</f>
        <v>609</v>
      </c>
      <c r="I318" s="79">
        <f t="shared" si="48"/>
        <v>2021</v>
      </c>
      <c r="J318" s="79"/>
      <c r="K318" s="79"/>
      <c r="L318" s="79" t="str">
        <f t="shared" ca="1" si="44"/>
        <v/>
      </c>
      <c r="M318" s="79" t="str">
        <f t="shared" ca="1" si="45"/>
        <v/>
      </c>
    </row>
    <row r="319" spans="1:13" x14ac:dyDescent="0.2">
      <c r="A319" s="146">
        <v>331</v>
      </c>
      <c r="B319" s="146" t="str">
        <f>VLOOKUP( $A319, Aop!$A$2:$N$415, 2, 0)</f>
        <v>Aneks</v>
      </c>
      <c r="C319" s="79">
        <f t="shared" si="49"/>
        <v>2</v>
      </c>
      <c r="D319" s="79" t="str">
        <f t="shared" si="46"/>
        <v>01494562</v>
      </c>
      <c r="E319" s="79" t="str">
        <f t="shared" si="47"/>
        <v>4400025960001</v>
      </c>
      <c r="F319" s="79" t="b">
        <f t="shared" si="50"/>
        <v>0</v>
      </c>
      <c r="G319" s="190">
        <f t="shared" si="51"/>
        <v>44377</v>
      </c>
      <c r="H319" s="146">
        <f>VLOOKUP( $A319, Aop!$A$2:$N$415, 4, 0)</f>
        <v>610</v>
      </c>
      <c r="I319" s="79">
        <f t="shared" si="48"/>
        <v>2021</v>
      </c>
      <c r="J319" s="79"/>
      <c r="K319" s="79"/>
      <c r="L319" s="79" t="str">
        <f t="shared" ca="1" si="44"/>
        <v/>
      </c>
      <c r="M319" s="79" t="str">
        <f t="shared" ca="1" si="45"/>
        <v/>
      </c>
    </row>
    <row r="320" spans="1:13" x14ac:dyDescent="0.2">
      <c r="A320" s="146">
        <v>332</v>
      </c>
      <c r="B320" s="146" t="str">
        <f>VLOOKUP( $A320, Aop!$A$2:$N$415, 2, 0)</f>
        <v>Aneks</v>
      </c>
      <c r="C320" s="79">
        <f t="shared" si="49"/>
        <v>2</v>
      </c>
      <c r="D320" s="79" t="str">
        <f t="shared" si="46"/>
        <v>01494562</v>
      </c>
      <c r="E320" s="79" t="str">
        <f t="shared" si="47"/>
        <v>4400025960001</v>
      </c>
      <c r="F320" s="79" t="b">
        <f t="shared" si="50"/>
        <v>0</v>
      </c>
      <c r="G320" s="190">
        <f t="shared" si="51"/>
        <v>44377</v>
      </c>
      <c r="H320" s="146">
        <f>VLOOKUP( $A320, Aop!$A$2:$N$415, 4, 0)</f>
        <v>611</v>
      </c>
      <c r="I320" s="79">
        <f t="shared" si="48"/>
        <v>2021</v>
      </c>
      <c r="J320" s="79"/>
      <c r="K320" s="79"/>
      <c r="L320" s="79" t="str">
        <f t="shared" ca="1" si="44"/>
        <v/>
      </c>
      <c r="M320" s="79" t="str">
        <f t="shared" ca="1" si="45"/>
        <v/>
      </c>
    </row>
    <row r="321" spans="1:13" x14ac:dyDescent="0.2">
      <c r="A321" s="146">
        <v>333</v>
      </c>
      <c r="B321" s="146" t="str">
        <f>VLOOKUP( $A321, Aop!$A$2:$N$415, 2, 0)</f>
        <v>Aneks</v>
      </c>
      <c r="C321" s="79">
        <f t="shared" si="49"/>
        <v>2</v>
      </c>
      <c r="D321" s="79" t="str">
        <f t="shared" si="46"/>
        <v>01494562</v>
      </c>
      <c r="E321" s="79" t="str">
        <f t="shared" si="47"/>
        <v>4400025960001</v>
      </c>
      <c r="F321" s="79" t="b">
        <f t="shared" si="50"/>
        <v>0</v>
      </c>
      <c r="G321" s="190">
        <f t="shared" si="51"/>
        <v>44377</v>
      </c>
      <c r="H321" s="146">
        <f>VLOOKUP( $A321, Aop!$A$2:$N$415, 4, 0)</f>
        <v>612</v>
      </c>
      <c r="I321" s="79">
        <f t="shared" si="48"/>
        <v>2021</v>
      </c>
      <c r="J321" s="79"/>
      <c r="K321" s="79"/>
      <c r="L321" s="79" t="str">
        <f t="shared" ca="1" si="44"/>
        <v/>
      </c>
      <c r="M321" s="79" t="str">
        <f t="shared" ca="1" si="45"/>
        <v/>
      </c>
    </row>
    <row r="322" spans="1:13" x14ac:dyDescent="0.2">
      <c r="A322" s="146">
        <v>334</v>
      </c>
      <c r="B322" s="146" t="str">
        <f>VLOOKUP( $A322, Aop!$A$2:$N$415, 2, 0)</f>
        <v>Aneks</v>
      </c>
      <c r="C322" s="79">
        <f t="shared" si="49"/>
        <v>2</v>
      </c>
      <c r="D322" s="79" t="str">
        <f t="shared" si="46"/>
        <v>01494562</v>
      </c>
      <c r="E322" s="79" t="str">
        <f t="shared" si="47"/>
        <v>4400025960001</v>
      </c>
      <c r="F322" s="79" t="b">
        <f t="shared" si="50"/>
        <v>0</v>
      </c>
      <c r="G322" s="190">
        <f t="shared" si="51"/>
        <v>44377</v>
      </c>
      <c r="H322" s="146">
        <f>VLOOKUP( $A322, Aop!$A$2:$N$415, 4, 0)</f>
        <v>613</v>
      </c>
      <c r="I322" s="79">
        <f t="shared" si="48"/>
        <v>2021</v>
      </c>
      <c r="J322" s="79"/>
      <c r="K322" s="79"/>
      <c r="L322" s="79" t="str">
        <f t="shared" ref="L322:L379" ca="1" si="52">IF( VLOOKUP( $H322, INDIRECT( "Lookup_" &amp; $B322), IF( LEFT( $B322, 2) = "BS", R$2, R$1), 0) = "", "", VLOOKUP( $H322, INDIRECT( "Lookup_" &amp; $B322), IF( LEFT( $B322, 2) = "BS", R$2, R$1), 0))</f>
        <v/>
      </c>
      <c r="M322" s="79" t="str">
        <f t="shared" ref="M322:M379" ca="1" si="53">IF( VLOOKUP( $H322, INDIRECT( "Lookup_" &amp; $B322), IF( LEFT( $B322, 2) = "BS", S$2, S$1), 0) = "", "", VLOOKUP( $H322, INDIRECT( "Lookup_" &amp; $B322), IF( LEFT( $B322, 2) = "BS", S$2, S$1), 0))</f>
        <v/>
      </c>
    </row>
    <row r="323" spans="1:13" x14ac:dyDescent="0.2">
      <c r="A323" s="146">
        <v>335</v>
      </c>
      <c r="B323" s="146" t="str">
        <f>VLOOKUP( $A323, Aop!$A$2:$N$415, 2, 0)</f>
        <v>Aneks</v>
      </c>
      <c r="C323" s="79">
        <f t="shared" si="49"/>
        <v>2</v>
      </c>
      <c r="D323" s="79" t="str">
        <f t="shared" si="46"/>
        <v>01494562</v>
      </c>
      <c r="E323" s="79" t="str">
        <f t="shared" si="47"/>
        <v>4400025960001</v>
      </c>
      <c r="F323" s="79" t="b">
        <f t="shared" si="50"/>
        <v>0</v>
      </c>
      <c r="G323" s="190">
        <f t="shared" si="51"/>
        <v>44377</v>
      </c>
      <c r="H323" s="146">
        <f>VLOOKUP( $A323, Aop!$A$2:$N$415, 4, 0)</f>
        <v>614</v>
      </c>
      <c r="I323" s="79">
        <f t="shared" si="48"/>
        <v>2021</v>
      </c>
      <c r="J323" s="79"/>
      <c r="K323" s="79"/>
      <c r="L323" s="79" t="str">
        <f t="shared" ca="1" si="52"/>
        <v/>
      </c>
      <c r="M323" s="79" t="str">
        <f t="shared" ca="1" si="53"/>
        <v/>
      </c>
    </row>
    <row r="324" spans="1:13" x14ac:dyDescent="0.2">
      <c r="A324" s="146">
        <v>336</v>
      </c>
      <c r="B324" s="146" t="str">
        <f>VLOOKUP( $A324, Aop!$A$2:$N$415, 2, 0)</f>
        <v>Aneks</v>
      </c>
      <c r="C324" s="79">
        <f t="shared" si="49"/>
        <v>2</v>
      </c>
      <c r="D324" s="79" t="str">
        <f t="shared" si="46"/>
        <v>01494562</v>
      </c>
      <c r="E324" s="79" t="str">
        <f t="shared" si="47"/>
        <v>4400025960001</v>
      </c>
      <c r="F324" s="79" t="b">
        <f t="shared" si="50"/>
        <v>0</v>
      </c>
      <c r="G324" s="190">
        <f t="shared" si="51"/>
        <v>44377</v>
      </c>
      <c r="H324" s="146">
        <f>VLOOKUP( $A324, Aop!$A$2:$N$415, 4, 0)</f>
        <v>615</v>
      </c>
      <c r="I324" s="79">
        <f t="shared" si="48"/>
        <v>2021</v>
      </c>
      <c r="J324" s="79"/>
      <c r="K324" s="79"/>
      <c r="L324" s="79" t="str">
        <f t="shared" ca="1" si="52"/>
        <v/>
      </c>
      <c r="M324" s="79" t="str">
        <f t="shared" ca="1" si="53"/>
        <v/>
      </c>
    </row>
    <row r="325" spans="1:13" x14ac:dyDescent="0.2">
      <c r="A325" s="146">
        <v>337</v>
      </c>
      <c r="B325" s="146" t="str">
        <f>VLOOKUP( $A325, Aop!$A$2:$N$415, 2, 0)</f>
        <v>Aneks</v>
      </c>
      <c r="C325" s="79">
        <f t="shared" si="49"/>
        <v>2</v>
      </c>
      <c r="D325" s="79" t="str">
        <f t="shared" si="46"/>
        <v>01494562</v>
      </c>
      <c r="E325" s="79" t="str">
        <f t="shared" si="47"/>
        <v>4400025960001</v>
      </c>
      <c r="F325" s="79" t="b">
        <f t="shared" si="50"/>
        <v>0</v>
      </c>
      <c r="G325" s="190">
        <f t="shared" si="51"/>
        <v>44377</v>
      </c>
      <c r="H325" s="146">
        <f>VLOOKUP( $A325, Aop!$A$2:$N$415, 4, 0)</f>
        <v>616</v>
      </c>
      <c r="I325" s="79">
        <f t="shared" si="48"/>
        <v>2021</v>
      </c>
      <c r="J325" s="79"/>
      <c r="K325" s="79"/>
      <c r="L325" s="79">
        <f t="shared" ca="1" si="52"/>
        <v>459481</v>
      </c>
      <c r="M325" s="79">
        <f t="shared" ca="1" si="53"/>
        <v>806269</v>
      </c>
    </row>
    <row r="326" spans="1:13" x14ac:dyDescent="0.2">
      <c r="A326" s="146">
        <v>338</v>
      </c>
      <c r="B326" s="146" t="str">
        <f>VLOOKUP( $A326, Aop!$A$2:$N$415, 2, 0)</f>
        <v>Aneks</v>
      </c>
      <c r="C326" s="79">
        <f t="shared" si="49"/>
        <v>2</v>
      </c>
      <c r="D326" s="79" t="str">
        <f t="shared" si="46"/>
        <v>01494562</v>
      </c>
      <c r="E326" s="79" t="str">
        <f t="shared" si="47"/>
        <v>4400025960001</v>
      </c>
      <c r="F326" s="79" t="b">
        <f t="shared" si="50"/>
        <v>0</v>
      </c>
      <c r="G326" s="190">
        <f t="shared" si="51"/>
        <v>44377</v>
      </c>
      <c r="H326" s="146">
        <f>VLOOKUP( $A326, Aop!$A$2:$N$415, 4, 0)</f>
        <v>617</v>
      </c>
      <c r="I326" s="79">
        <f t="shared" si="48"/>
        <v>2021</v>
      </c>
      <c r="J326" s="79"/>
      <c r="K326" s="79"/>
      <c r="L326" s="79">
        <f t="shared" ca="1" si="52"/>
        <v>6492235</v>
      </c>
      <c r="M326" s="79">
        <f t="shared" ca="1" si="53"/>
        <v>6925029</v>
      </c>
    </row>
    <row r="327" spans="1:13" x14ac:dyDescent="0.2">
      <c r="A327" s="146">
        <v>339</v>
      </c>
      <c r="B327" s="146" t="str">
        <f>VLOOKUP( $A327, Aop!$A$2:$N$415, 2, 0)</f>
        <v>Aneks</v>
      </c>
      <c r="C327" s="79">
        <f t="shared" si="49"/>
        <v>2</v>
      </c>
      <c r="D327" s="79" t="str">
        <f t="shared" si="46"/>
        <v>01494562</v>
      </c>
      <c r="E327" s="79" t="str">
        <f t="shared" si="47"/>
        <v>4400025960001</v>
      </c>
      <c r="F327" s="79" t="b">
        <f t="shared" si="50"/>
        <v>0</v>
      </c>
      <c r="G327" s="190">
        <f t="shared" si="51"/>
        <v>44377</v>
      </c>
      <c r="H327" s="146">
        <f>VLOOKUP( $A327, Aop!$A$2:$N$415, 4, 0)</f>
        <v>618</v>
      </c>
      <c r="I327" s="79">
        <f t="shared" si="48"/>
        <v>2021</v>
      </c>
      <c r="J327" s="79"/>
      <c r="K327" s="79"/>
      <c r="L327" s="79">
        <f t="shared" ca="1" si="52"/>
        <v>77567</v>
      </c>
      <c r="M327" s="79">
        <f t="shared" ca="1" si="53"/>
        <v>136643</v>
      </c>
    </row>
    <row r="328" spans="1:13" x14ac:dyDescent="0.2">
      <c r="A328" s="146">
        <v>340</v>
      </c>
      <c r="B328" s="146" t="str">
        <f>VLOOKUP( $A328, Aop!$A$2:$N$415, 2, 0)</f>
        <v>Aneks</v>
      </c>
      <c r="C328" s="79">
        <f t="shared" si="49"/>
        <v>2</v>
      </c>
      <c r="D328" s="79" t="str">
        <f t="shared" si="46"/>
        <v>01494562</v>
      </c>
      <c r="E328" s="79" t="str">
        <f t="shared" si="47"/>
        <v>4400025960001</v>
      </c>
      <c r="F328" s="79" t="b">
        <f t="shared" si="50"/>
        <v>0</v>
      </c>
      <c r="G328" s="190">
        <f t="shared" si="51"/>
        <v>44377</v>
      </c>
      <c r="H328" s="146">
        <f>VLOOKUP( $A328, Aop!$A$2:$N$415, 4, 0)</f>
        <v>619</v>
      </c>
      <c r="I328" s="79">
        <f t="shared" si="48"/>
        <v>2021</v>
      </c>
      <c r="J328" s="79"/>
      <c r="K328" s="79"/>
      <c r="L328" s="79">
        <f t="shared" ca="1" si="52"/>
        <v>5187752</v>
      </c>
      <c r="M328" s="79">
        <f t="shared" ca="1" si="53"/>
        <v>6989082</v>
      </c>
    </row>
    <row r="329" spans="1:13" x14ac:dyDescent="0.2">
      <c r="A329" s="146">
        <v>341</v>
      </c>
      <c r="B329" s="146" t="str">
        <f>VLOOKUP( $A329, Aop!$A$2:$N$415, 2, 0)</f>
        <v>Aneks</v>
      </c>
      <c r="C329" s="79">
        <f t="shared" si="49"/>
        <v>2</v>
      </c>
      <c r="D329" s="79" t="str">
        <f t="shared" si="46"/>
        <v>01494562</v>
      </c>
      <c r="E329" s="79" t="str">
        <f t="shared" si="47"/>
        <v>4400025960001</v>
      </c>
      <c r="F329" s="79" t="b">
        <f t="shared" si="50"/>
        <v>0</v>
      </c>
      <c r="G329" s="190">
        <f t="shared" si="51"/>
        <v>44377</v>
      </c>
      <c r="H329" s="146">
        <f>VLOOKUP( $A329, Aop!$A$2:$N$415, 4, 0)</f>
        <v>620</v>
      </c>
      <c r="I329" s="79">
        <f t="shared" si="48"/>
        <v>2021</v>
      </c>
      <c r="J329" s="79"/>
      <c r="K329" s="79"/>
      <c r="L329" s="79">
        <f t="shared" ca="1" si="52"/>
        <v>5052020</v>
      </c>
      <c r="M329" s="79">
        <f t="shared" ca="1" si="53"/>
        <v>6390426</v>
      </c>
    </row>
    <row r="330" spans="1:13" x14ac:dyDescent="0.2">
      <c r="A330" s="146">
        <v>342</v>
      </c>
      <c r="B330" s="146" t="str">
        <f>VLOOKUP( $A330, Aop!$A$2:$N$415, 2, 0)</f>
        <v>Aneks</v>
      </c>
      <c r="C330" s="79">
        <f t="shared" si="49"/>
        <v>2</v>
      </c>
      <c r="D330" s="79" t="str">
        <f t="shared" si="46"/>
        <v>01494562</v>
      </c>
      <c r="E330" s="79" t="str">
        <f t="shared" si="47"/>
        <v>4400025960001</v>
      </c>
      <c r="F330" s="79" t="b">
        <f t="shared" si="50"/>
        <v>0</v>
      </c>
      <c r="G330" s="190">
        <f t="shared" si="51"/>
        <v>44377</v>
      </c>
      <c r="H330" s="146">
        <f>VLOOKUP( $A330, Aop!$A$2:$N$415, 4, 0)</f>
        <v>621</v>
      </c>
      <c r="I330" s="79">
        <f t="shared" si="48"/>
        <v>2021</v>
      </c>
      <c r="J330" s="79"/>
      <c r="K330" s="79"/>
      <c r="L330" s="79" t="str">
        <f t="shared" ca="1" si="52"/>
        <v/>
      </c>
      <c r="M330" s="79" t="str">
        <f t="shared" ca="1" si="53"/>
        <v/>
      </c>
    </row>
    <row r="331" spans="1:13" x14ac:dyDescent="0.2">
      <c r="A331" s="146">
        <v>343</v>
      </c>
      <c r="B331" s="146" t="str">
        <f>VLOOKUP( $A331, Aop!$A$2:$N$415, 2, 0)</f>
        <v>Aneks</v>
      </c>
      <c r="C331" s="79">
        <f t="shared" si="49"/>
        <v>2</v>
      </c>
      <c r="D331" s="79" t="str">
        <f t="shared" si="46"/>
        <v>01494562</v>
      </c>
      <c r="E331" s="79" t="str">
        <f t="shared" si="47"/>
        <v>4400025960001</v>
      </c>
      <c r="F331" s="79" t="b">
        <f t="shared" si="50"/>
        <v>0</v>
      </c>
      <c r="G331" s="190">
        <f t="shared" si="51"/>
        <v>44377</v>
      </c>
      <c r="H331" s="146">
        <f>VLOOKUP( $A331, Aop!$A$2:$N$415, 4, 0)</f>
        <v>622</v>
      </c>
      <c r="I331" s="79">
        <f t="shared" si="48"/>
        <v>2021</v>
      </c>
      <c r="J331" s="79"/>
      <c r="K331" s="79"/>
      <c r="L331" s="79" t="str">
        <f t="shared" ca="1" si="52"/>
        <v/>
      </c>
      <c r="M331" s="79" t="str">
        <f t="shared" ca="1" si="53"/>
        <v/>
      </c>
    </row>
    <row r="332" spans="1:13" x14ac:dyDescent="0.2">
      <c r="A332" s="146">
        <v>344</v>
      </c>
      <c r="B332" s="146" t="str">
        <f>VLOOKUP( $A332, Aop!$A$2:$N$415, 2, 0)</f>
        <v>Aneks</v>
      </c>
      <c r="C332" s="79">
        <f t="shared" si="49"/>
        <v>2</v>
      </c>
      <c r="D332" s="79" t="str">
        <f t="shared" si="46"/>
        <v>01494562</v>
      </c>
      <c r="E332" s="79" t="str">
        <f t="shared" si="47"/>
        <v>4400025960001</v>
      </c>
      <c r="F332" s="79" t="b">
        <f t="shared" si="50"/>
        <v>0</v>
      </c>
      <c r="G332" s="190">
        <f t="shared" si="51"/>
        <v>44377</v>
      </c>
      <c r="H332" s="146">
        <f>VLOOKUP( $A332, Aop!$A$2:$N$415, 4, 0)</f>
        <v>623</v>
      </c>
      <c r="I332" s="79">
        <f t="shared" si="48"/>
        <v>2021</v>
      </c>
      <c r="J332" s="79"/>
      <c r="K332" s="79"/>
      <c r="L332" s="79">
        <f t="shared" ca="1" si="52"/>
        <v>135732</v>
      </c>
      <c r="M332" s="79">
        <f t="shared" ca="1" si="53"/>
        <v>529139</v>
      </c>
    </row>
    <row r="333" spans="1:13" x14ac:dyDescent="0.2">
      <c r="A333" s="146">
        <v>345</v>
      </c>
      <c r="B333" s="146" t="str">
        <f>VLOOKUP( $A333, Aop!$A$2:$N$415, 2, 0)</f>
        <v>Aneks</v>
      </c>
      <c r="C333" s="79">
        <f t="shared" si="49"/>
        <v>2</v>
      </c>
      <c r="D333" s="79" t="str">
        <f t="shared" si="46"/>
        <v>01494562</v>
      </c>
      <c r="E333" s="79" t="str">
        <f t="shared" si="47"/>
        <v>4400025960001</v>
      </c>
      <c r="F333" s="79" t="b">
        <f t="shared" si="50"/>
        <v>0</v>
      </c>
      <c r="G333" s="190">
        <f t="shared" si="51"/>
        <v>44377</v>
      </c>
      <c r="H333" s="146">
        <f>VLOOKUP( $A333, Aop!$A$2:$N$415, 4, 0)</f>
        <v>624</v>
      </c>
      <c r="I333" s="79">
        <f t="shared" si="48"/>
        <v>2021</v>
      </c>
      <c r="J333" s="79"/>
      <c r="K333" s="79"/>
      <c r="L333" s="79" t="str">
        <f t="shared" ca="1" si="52"/>
        <v/>
      </c>
      <c r="M333" s="79">
        <f t="shared" ca="1" si="53"/>
        <v>44253</v>
      </c>
    </row>
    <row r="334" spans="1:13" x14ac:dyDescent="0.2">
      <c r="A334" s="146">
        <v>346</v>
      </c>
      <c r="B334" s="146" t="str">
        <f>VLOOKUP( $A334, Aop!$A$2:$N$415, 2, 0)</f>
        <v>Aneks</v>
      </c>
      <c r="C334" s="79">
        <f t="shared" si="49"/>
        <v>2</v>
      </c>
      <c r="D334" s="79" t="str">
        <f t="shared" si="46"/>
        <v>01494562</v>
      </c>
      <c r="E334" s="79" t="str">
        <f t="shared" si="47"/>
        <v>4400025960001</v>
      </c>
      <c r="F334" s="79" t="b">
        <f t="shared" si="50"/>
        <v>0</v>
      </c>
      <c r="G334" s="190">
        <f t="shared" si="51"/>
        <v>44377</v>
      </c>
      <c r="H334" s="146">
        <f>VLOOKUP( $A334, Aop!$A$2:$N$415, 4, 0)</f>
        <v>625</v>
      </c>
      <c r="I334" s="79">
        <f t="shared" si="48"/>
        <v>2021</v>
      </c>
      <c r="J334" s="79"/>
      <c r="K334" s="79"/>
      <c r="L334" s="79" t="str">
        <f t="shared" ca="1" si="52"/>
        <v/>
      </c>
      <c r="M334" s="79" t="str">
        <f t="shared" ca="1" si="53"/>
        <v/>
      </c>
    </row>
    <row r="335" spans="1:13" x14ac:dyDescent="0.2">
      <c r="A335" s="146">
        <v>347</v>
      </c>
      <c r="B335" s="146" t="str">
        <f>VLOOKUP( $A335, Aop!$A$2:$N$415, 2, 0)</f>
        <v>Aneks</v>
      </c>
      <c r="C335" s="79">
        <f t="shared" si="49"/>
        <v>2</v>
      </c>
      <c r="D335" s="79" t="str">
        <f t="shared" si="46"/>
        <v>01494562</v>
      </c>
      <c r="E335" s="79" t="str">
        <f t="shared" si="47"/>
        <v>4400025960001</v>
      </c>
      <c r="F335" s="79" t="b">
        <f t="shared" si="50"/>
        <v>0</v>
      </c>
      <c r="G335" s="190">
        <f t="shared" si="51"/>
        <v>44377</v>
      </c>
      <c r="H335" s="146">
        <f>VLOOKUP( $A335, Aop!$A$2:$N$415, 4, 0)</f>
        <v>626</v>
      </c>
      <c r="I335" s="79">
        <f t="shared" si="48"/>
        <v>2021</v>
      </c>
      <c r="J335" s="79"/>
      <c r="K335" s="79"/>
      <c r="L335" s="79" t="str">
        <f t="shared" ca="1" si="52"/>
        <v/>
      </c>
      <c r="M335" s="79" t="str">
        <f t="shared" ca="1" si="53"/>
        <v/>
      </c>
    </row>
    <row r="336" spans="1:13" x14ac:dyDescent="0.2">
      <c r="A336" s="146">
        <v>348</v>
      </c>
      <c r="B336" s="146" t="str">
        <f>VLOOKUP( $A336, Aop!$A$2:$N$415, 2, 0)</f>
        <v>Aneks</v>
      </c>
      <c r="C336" s="79">
        <f t="shared" si="49"/>
        <v>2</v>
      </c>
      <c r="D336" s="79" t="str">
        <f t="shared" si="46"/>
        <v>01494562</v>
      </c>
      <c r="E336" s="79" t="str">
        <f t="shared" si="47"/>
        <v>4400025960001</v>
      </c>
      <c r="F336" s="79" t="b">
        <f t="shared" si="50"/>
        <v>0</v>
      </c>
      <c r="G336" s="190">
        <f t="shared" si="51"/>
        <v>44377</v>
      </c>
      <c r="H336" s="146">
        <f>VLOOKUP( $A336, Aop!$A$2:$N$415, 4, 0)</f>
        <v>627</v>
      </c>
      <c r="I336" s="79">
        <f t="shared" si="48"/>
        <v>2021</v>
      </c>
      <c r="J336" s="79"/>
      <c r="K336" s="79"/>
      <c r="L336" s="79" t="str">
        <f t="shared" ca="1" si="52"/>
        <v/>
      </c>
      <c r="M336" s="79">
        <f t="shared" ca="1" si="53"/>
        <v>25264</v>
      </c>
    </row>
    <row r="337" spans="1:13" x14ac:dyDescent="0.2">
      <c r="A337" s="146">
        <v>349</v>
      </c>
      <c r="B337" s="146" t="str">
        <f>VLOOKUP( $A337, Aop!$A$2:$N$415, 2, 0)</f>
        <v>Aneks</v>
      </c>
      <c r="C337" s="79">
        <f t="shared" si="49"/>
        <v>2</v>
      </c>
      <c r="D337" s="79" t="str">
        <f t="shared" si="46"/>
        <v>01494562</v>
      </c>
      <c r="E337" s="79" t="str">
        <f t="shared" si="47"/>
        <v>4400025960001</v>
      </c>
      <c r="F337" s="79" t="b">
        <f t="shared" si="50"/>
        <v>0</v>
      </c>
      <c r="G337" s="190">
        <f t="shared" si="51"/>
        <v>44377</v>
      </c>
      <c r="H337" s="146">
        <f>VLOOKUP( $A337, Aop!$A$2:$N$415, 4, 0)</f>
        <v>628</v>
      </c>
      <c r="I337" s="79">
        <f t="shared" si="48"/>
        <v>2021</v>
      </c>
      <c r="J337" s="79"/>
      <c r="K337" s="79"/>
      <c r="L337" s="79" t="str">
        <f t="shared" ca="1" si="52"/>
        <v/>
      </c>
      <c r="M337" s="79" t="str">
        <f t="shared" ca="1" si="53"/>
        <v/>
      </c>
    </row>
    <row r="338" spans="1:13" x14ac:dyDescent="0.2">
      <c r="A338" s="146">
        <v>350</v>
      </c>
      <c r="B338" s="146" t="str">
        <f>VLOOKUP( $A338, Aop!$A$2:$N$415, 2, 0)</f>
        <v>Aneks</v>
      </c>
      <c r="C338" s="79">
        <f t="shared" si="49"/>
        <v>2</v>
      </c>
      <c r="D338" s="79" t="str">
        <f t="shared" si="46"/>
        <v>01494562</v>
      </c>
      <c r="E338" s="79" t="str">
        <f t="shared" si="47"/>
        <v>4400025960001</v>
      </c>
      <c r="F338" s="79" t="b">
        <f t="shared" si="50"/>
        <v>0</v>
      </c>
      <c r="G338" s="190">
        <f t="shared" si="51"/>
        <v>44377</v>
      </c>
      <c r="H338" s="146">
        <f>VLOOKUP( $A338, Aop!$A$2:$N$415, 4, 0)</f>
        <v>629</v>
      </c>
      <c r="I338" s="79">
        <f t="shared" si="48"/>
        <v>2021</v>
      </c>
      <c r="J338" s="79"/>
      <c r="K338" s="79"/>
      <c r="L338" s="79">
        <f t="shared" ca="1" si="52"/>
        <v>486409</v>
      </c>
      <c r="M338" s="79">
        <f t="shared" ca="1" si="53"/>
        <v>102360</v>
      </c>
    </row>
    <row r="339" spans="1:13" x14ac:dyDescent="0.2">
      <c r="A339" s="146">
        <v>351</v>
      </c>
      <c r="B339" s="146" t="str">
        <f>VLOOKUP( $A339, Aop!$A$2:$N$415, 2, 0)</f>
        <v>Aneks</v>
      </c>
      <c r="C339" s="79">
        <f t="shared" si="49"/>
        <v>2</v>
      </c>
      <c r="D339" s="79" t="str">
        <f t="shared" si="46"/>
        <v>01494562</v>
      </c>
      <c r="E339" s="79" t="str">
        <f t="shared" si="47"/>
        <v>4400025960001</v>
      </c>
      <c r="F339" s="79" t="b">
        <f t="shared" si="50"/>
        <v>0</v>
      </c>
      <c r="G339" s="190">
        <f t="shared" si="51"/>
        <v>44377</v>
      </c>
      <c r="H339" s="146">
        <f>VLOOKUP( $A339, Aop!$A$2:$N$415, 4, 0)</f>
        <v>630</v>
      </c>
      <c r="I339" s="79">
        <f t="shared" si="48"/>
        <v>2021</v>
      </c>
      <c r="J339" s="79"/>
      <c r="K339" s="79"/>
      <c r="L339" s="79" t="str">
        <f t="shared" ca="1" si="52"/>
        <v/>
      </c>
      <c r="M339" s="79" t="str">
        <f t="shared" ca="1" si="53"/>
        <v/>
      </c>
    </row>
    <row r="340" spans="1:13" x14ac:dyDescent="0.2">
      <c r="A340" s="146">
        <v>352</v>
      </c>
      <c r="B340" s="79" t="str">
        <f>VLOOKUP( $A340, Aop!$A$2:$N$415, 2, 0)</f>
        <v>Aneks</v>
      </c>
      <c r="C340" s="79">
        <f>ID_Izvjestaj</f>
        <v>2</v>
      </c>
      <c r="D340" s="79" t="str">
        <f>Podatak_MB</f>
        <v>01494562</v>
      </c>
      <c r="E340" s="79" t="str">
        <f>Podatak_JIB</f>
        <v>4400025960001</v>
      </c>
      <c r="F340" s="79" t="b">
        <f>Konsolidovan_izvjestaj</f>
        <v>0</v>
      </c>
      <c r="G340" s="190">
        <f>Datum_Broj</f>
        <v>44377</v>
      </c>
      <c r="H340" s="79">
        <f>VLOOKUP( $A340, Aop!$A$2:$N$415, 4, 0)</f>
        <v>631</v>
      </c>
      <c r="I340" s="79">
        <f>Godina</f>
        <v>2021</v>
      </c>
      <c r="J340" s="79"/>
      <c r="K340" s="79"/>
      <c r="L340" s="79" t="str">
        <f t="shared" ca="1" si="52"/>
        <v/>
      </c>
      <c r="M340" s="79" t="str">
        <f t="shared" ca="1" si="53"/>
        <v/>
      </c>
    </row>
    <row r="341" spans="1:13" x14ac:dyDescent="0.2">
      <c r="A341" s="146">
        <v>353</v>
      </c>
      <c r="B341" s="146" t="str">
        <f>VLOOKUP( $A341, Aop!$A$2:$N$415, 2, 0)</f>
        <v>Aneks</v>
      </c>
      <c r="C341" s="79">
        <f t="shared" si="49"/>
        <v>2</v>
      </c>
      <c r="D341" s="79" t="str">
        <f t="shared" si="46"/>
        <v>01494562</v>
      </c>
      <c r="E341" s="79" t="str">
        <f t="shared" si="47"/>
        <v>4400025960001</v>
      </c>
      <c r="F341" s="79" t="b">
        <f t="shared" si="50"/>
        <v>0</v>
      </c>
      <c r="G341" s="190">
        <f t="shared" si="51"/>
        <v>44377</v>
      </c>
      <c r="H341" s="146">
        <f>VLOOKUP( $A341, Aop!$A$2:$N$415, 4, 0)</f>
        <v>632</v>
      </c>
      <c r="I341" s="79">
        <f t="shared" si="48"/>
        <v>2021</v>
      </c>
      <c r="J341" s="79"/>
      <c r="K341" s="79"/>
      <c r="L341" s="79" t="str">
        <f t="shared" ca="1" si="52"/>
        <v/>
      </c>
      <c r="M341" s="79" t="str">
        <f t="shared" ca="1" si="53"/>
        <v/>
      </c>
    </row>
    <row r="342" spans="1:13" x14ac:dyDescent="0.2">
      <c r="A342" s="146">
        <v>354</v>
      </c>
      <c r="B342" s="146" t="str">
        <f>VLOOKUP( $A342, Aop!$A$2:$N$415, 2, 0)</f>
        <v>Aneks</v>
      </c>
      <c r="C342" s="79">
        <f t="shared" si="49"/>
        <v>2</v>
      </c>
      <c r="D342" s="79" t="str">
        <f t="shared" si="46"/>
        <v>01494562</v>
      </c>
      <c r="E342" s="79" t="str">
        <f t="shared" si="47"/>
        <v>4400025960001</v>
      </c>
      <c r="F342" s="79" t="b">
        <f t="shared" si="50"/>
        <v>0</v>
      </c>
      <c r="G342" s="190">
        <f t="shared" si="51"/>
        <v>44377</v>
      </c>
      <c r="H342" s="146">
        <f>VLOOKUP( $A342, Aop!$A$2:$N$415, 4, 0)</f>
        <v>633</v>
      </c>
      <c r="I342" s="79">
        <f t="shared" si="48"/>
        <v>2021</v>
      </c>
      <c r="J342" s="79"/>
      <c r="K342" s="79"/>
      <c r="L342" s="79">
        <f t="shared" ca="1" si="52"/>
        <v>1699832</v>
      </c>
      <c r="M342" s="79">
        <f t="shared" ca="1" si="53"/>
        <v>1783251</v>
      </c>
    </row>
    <row r="343" spans="1:13" x14ac:dyDescent="0.2">
      <c r="A343" s="146">
        <v>355</v>
      </c>
      <c r="B343" s="146" t="str">
        <f>VLOOKUP( $A343, Aop!$A$2:$N$415, 2, 0)</f>
        <v>Aneks</v>
      </c>
      <c r="C343" s="79">
        <f t="shared" si="49"/>
        <v>2</v>
      </c>
      <c r="D343" s="79" t="str">
        <f t="shared" si="46"/>
        <v>01494562</v>
      </c>
      <c r="E343" s="79" t="str">
        <f t="shared" si="47"/>
        <v>4400025960001</v>
      </c>
      <c r="F343" s="79" t="b">
        <f t="shared" si="50"/>
        <v>0</v>
      </c>
      <c r="G343" s="190">
        <f t="shared" si="51"/>
        <v>44377</v>
      </c>
      <c r="H343" s="146">
        <f>VLOOKUP( $A343, Aop!$A$2:$N$415, 4, 0)</f>
        <v>634</v>
      </c>
      <c r="I343" s="79">
        <f t="shared" si="48"/>
        <v>2021</v>
      </c>
      <c r="J343" s="79"/>
      <c r="K343" s="79"/>
      <c r="L343" s="79">
        <f t="shared" ca="1" si="52"/>
        <v>1052036</v>
      </c>
      <c r="M343" s="79">
        <f t="shared" ca="1" si="53"/>
        <v>1162779</v>
      </c>
    </row>
    <row r="344" spans="1:13" x14ac:dyDescent="0.2">
      <c r="A344" s="146">
        <v>356</v>
      </c>
      <c r="B344" s="146" t="str">
        <f>VLOOKUP( $A344, Aop!$A$2:$N$415, 2, 0)</f>
        <v>Aneks</v>
      </c>
      <c r="C344" s="79">
        <f t="shared" si="49"/>
        <v>2</v>
      </c>
      <c r="D344" s="79" t="str">
        <f t="shared" si="46"/>
        <v>01494562</v>
      </c>
      <c r="E344" s="79" t="str">
        <f t="shared" si="47"/>
        <v>4400025960001</v>
      </c>
      <c r="F344" s="79" t="b">
        <f t="shared" si="50"/>
        <v>0</v>
      </c>
      <c r="G344" s="190">
        <f t="shared" si="51"/>
        <v>44377</v>
      </c>
      <c r="H344" s="146">
        <f>VLOOKUP( $A344, Aop!$A$2:$N$415, 4, 0)</f>
        <v>635</v>
      </c>
      <c r="I344" s="79">
        <f t="shared" si="48"/>
        <v>2021</v>
      </c>
      <c r="J344" s="79"/>
      <c r="K344" s="79"/>
      <c r="L344" s="79">
        <f t="shared" ca="1" si="52"/>
        <v>10024358</v>
      </c>
      <c r="M344" s="79">
        <f t="shared" ca="1" si="53"/>
        <v>10747733</v>
      </c>
    </row>
    <row r="345" spans="1:13" x14ac:dyDescent="0.2">
      <c r="A345" s="146">
        <v>357</v>
      </c>
      <c r="B345" s="146" t="str">
        <f>VLOOKUP( $A345, Aop!$A$2:$N$415, 2, 0)</f>
        <v>Aneks</v>
      </c>
      <c r="C345" s="79">
        <f t="shared" si="49"/>
        <v>2</v>
      </c>
      <c r="D345" s="79" t="str">
        <f t="shared" si="46"/>
        <v>01494562</v>
      </c>
      <c r="E345" s="79" t="str">
        <f t="shared" si="47"/>
        <v>4400025960001</v>
      </c>
      <c r="F345" s="79" t="b">
        <f t="shared" si="50"/>
        <v>0</v>
      </c>
      <c r="G345" s="190">
        <f t="shared" si="51"/>
        <v>44377</v>
      </c>
      <c r="H345" s="146">
        <f>VLOOKUP( $A345, Aop!$A$2:$N$415, 4, 0)</f>
        <v>636</v>
      </c>
      <c r="I345" s="79">
        <f t="shared" si="48"/>
        <v>2021</v>
      </c>
      <c r="J345" s="79"/>
      <c r="K345" s="79"/>
      <c r="L345" s="79">
        <f t="shared" ca="1" si="52"/>
        <v>23314</v>
      </c>
      <c r="M345" s="79">
        <f t="shared" ca="1" si="53"/>
        <v>23313</v>
      </c>
    </row>
    <row r="346" spans="1:13" x14ac:dyDescent="0.2">
      <c r="A346" s="146">
        <v>358</v>
      </c>
      <c r="B346" s="146" t="str">
        <f>VLOOKUP( $A346, Aop!$A$2:$N$415, 2, 0)</f>
        <v>Aneks</v>
      </c>
      <c r="C346" s="79">
        <f t="shared" si="49"/>
        <v>2</v>
      </c>
      <c r="D346" s="79" t="str">
        <f t="shared" si="46"/>
        <v>01494562</v>
      </c>
      <c r="E346" s="79" t="str">
        <f t="shared" si="47"/>
        <v>4400025960001</v>
      </c>
      <c r="F346" s="79" t="b">
        <f t="shared" si="50"/>
        <v>0</v>
      </c>
      <c r="G346" s="190">
        <f t="shared" si="51"/>
        <v>44377</v>
      </c>
      <c r="H346" s="146">
        <f>VLOOKUP( $A346, Aop!$A$2:$N$415, 4, 0)</f>
        <v>637</v>
      </c>
      <c r="I346" s="79">
        <f t="shared" si="48"/>
        <v>2021</v>
      </c>
      <c r="J346" s="79"/>
      <c r="K346" s="79"/>
      <c r="L346" s="79">
        <f t="shared" ca="1" si="52"/>
        <v>22601</v>
      </c>
      <c r="M346" s="79">
        <f t="shared" ca="1" si="53"/>
        <v>26839</v>
      </c>
    </row>
    <row r="347" spans="1:13" x14ac:dyDescent="0.2">
      <c r="A347" s="146">
        <v>359</v>
      </c>
      <c r="B347" s="146" t="str">
        <f>VLOOKUP( $A347, Aop!$A$2:$N$415, 2, 0)</f>
        <v>Aneks</v>
      </c>
      <c r="C347" s="79">
        <f t="shared" si="49"/>
        <v>2</v>
      </c>
      <c r="D347" s="79" t="str">
        <f t="shared" si="46"/>
        <v>01494562</v>
      </c>
      <c r="E347" s="79" t="str">
        <f t="shared" si="47"/>
        <v>4400025960001</v>
      </c>
      <c r="F347" s="79" t="b">
        <f t="shared" si="50"/>
        <v>0</v>
      </c>
      <c r="G347" s="190">
        <f t="shared" si="51"/>
        <v>44377</v>
      </c>
      <c r="H347" s="146">
        <f>VLOOKUP( $A347, Aop!$A$2:$N$415, 4, 0)</f>
        <v>638</v>
      </c>
      <c r="I347" s="79">
        <f t="shared" si="48"/>
        <v>2021</v>
      </c>
      <c r="J347" s="79"/>
      <c r="K347" s="79"/>
      <c r="L347" s="79">
        <f t="shared" ca="1" si="52"/>
        <v>16701</v>
      </c>
      <c r="M347" s="79">
        <f t="shared" ca="1" si="53"/>
        <v>21416</v>
      </c>
    </row>
    <row r="348" spans="1:13" x14ac:dyDescent="0.2">
      <c r="A348" s="146">
        <v>360</v>
      </c>
      <c r="B348" s="146" t="str">
        <f>VLOOKUP( $A348, Aop!$A$2:$N$415, 2, 0)</f>
        <v>Aneks</v>
      </c>
      <c r="C348" s="79">
        <f t="shared" si="49"/>
        <v>2</v>
      </c>
      <c r="D348" s="79" t="str">
        <f t="shared" si="46"/>
        <v>01494562</v>
      </c>
      <c r="E348" s="79" t="str">
        <f t="shared" si="47"/>
        <v>4400025960001</v>
      </c>
      <c r="F348" s="79" t="b">
        <f t="shared" si="50"/>
        <v>0</v>
      </c>
      <c r="G348" s="190">
        <f t="shared" si="51"/>
        <v>44377</v>
      </c>
      <c r="H348" s="146">
        <f>VLOOKUP( $A348, Aop!$A$2:$N$415, 4, 0)</f>
        <v>639</v>
      </c>
      <c r="I348" s="79">
        <f t="shared" si="48"/>
        <v>2021</v>
      </c>
      <c r="J348" s="79"/>
      <c r="K348" s="79"/>
      <c r="L348" s="79">
        <f t="shared" ca="1" si="52"/>
        <v>706192</v>
      </c>
      <c r="M348" s="79">
        <f t="shared" ca="1" si="53"/>
        <v>829933</v>
      </c>
    </row>
    <row r="349" spans="1:13" x14ac:dyDescent="0.2">
      <c r="A349" s="146">
        <v>361</v>
      </c>
      <c r="B349" s="146" t="str">
        <f>VLOOKUP( $A349, Aop!$A$2:$N$415, 2, 0)</f>
        <v>Aneks</v>
      </c>
      <c r="C349" s="79">
        <f t="shared" si="49"/>
        <v>2</v>
      </c>
      <c r="D349" s="79" t="str">
        <f t="shared" si="46"/>
        <v>01494562</v>
      </c>
      <c r="E349" s="79" t="str">
        <f t="shared" si="47"/>
        <v>4400025960001</v>
      </c>
      <c r="F349" s="79" t="b">
        <f t="shared" si="50"/>
        <v>0</v>
      </c>
      <c r="G349" s="190">
        <f t="shared" si="51"/>
        <v>44377</v>
      </c>
      <c r="H349" s="146">
        <f>VLOOKUP( $A349, Aop!$A$2:$N$415, 4, 0)</f>
        <v>640</v>
      </c>
      <c r="I349" s="79">
        <f t="shared" si="48"/>
        <v>2021</v>
      </c>
      <c r="J349" s="79"/>
      <c r="K349" s="79"/>
      <c r="L349" s="79" t="str">
        <f t="shared" ca="1" si="52"/>
        <v/>
      </c>
      <c r="M349" s="79" t="str">
        <f t="shared" ca="1" si="53"/>
        <v/>
      </c>
    </row>
    <row r="350" spans="1:13" x14ac:dyDescent="0.2">
      <c r="A350" s="146">
        <v>362</v>
      </c>
      <c r="B350" s="146" t="str">
        <f>VLOOKUP( $A350, Aop!$A$2:$N$415, 2, 0)</f>
        <v>Aneks</v>
      </c>
      <c r="C350" s="79">
        <f t="shared" si="49"/>
        <v>2</v>
      </c>
      <c r="D350" s="79" t="str">
        <f t="shared" si="46"/>
        <v>01494562</v>
      </c>
      <c r="E350" s="79" t="str">
        <f t="shared" si="47"/>
        <v>4400025960001</v>
      </c>
      <c r="F350" s="79" t="b">
        <f t="shared" si="50"/>
        <v>0</v>
      </c>
      <c r="G350" s="190">
        <f t="shared" si="51"/>
        <v>44377</v>
      </c>
      <c r="H350" s="146">
        <f>VLOOKUP( $A350, Aop!$A$2:$N$415, 4, 0)</f>
        <v>641</v>
      </c>
      <c r="I350" s="79">
        <f t="shared" si="48"/>
        <v>2021</v>
      </c>
      <c r="J350" s="79"/>
      <c r="K350" s="79"/>
      <c r="L350" s="79">
        <f t="shared" ca="1" si="52"/>
        <v>422150</v>
      </c>
      <c r="M350" s="79">
        <f t="shared" ca="1" si="53"/>
        <v>421020</v>
      </c>
    </row>
    <row r="351" spans="1:13" x14ac:dyDescent="0.2">
      <c r="A351" s="146">
        <v>363</v>
      </c>
      <c r="B351" s="146" t="str">
        <f>VLOOKUP( $A351, Aop!$A$2:$N$415, 2, 0)</f>
        <v>Aneks</v>
      </c>
      <c r="C351" s="79">
        <f t="shared" si="49"/>
        <v>2</v>
      </c>
      <c r="D351" s="79" t="str">
        <f t="shared" si="46"/>
        <v>01494562</v>
      </c>
      <c r="E351" s="79" t="str">
        <f t="shared" si="47"/>
        <v>4400025960001</v>
      </c>
      <c r="F351" s="79" t="b">
        <f t="shared" si="50"/>
        <v>0</v>
      </c>
      <c r="G351" s="190">
        <f t="shared" si="51"/>
        <v>44377</v>
      </c>
      <c r="H351" s="146">
        <f>VLOOKUP( $A351, Aop!$A$2:$N$415, 4, 0)</f>
        <v>642</v>
      </c>
      <c r="I351" s="79">
        <f t="shared" si="48"/>
        <v>2021</v>
      </c>
      <c r="J351" s="79"/>
      <c r="K351" s="79"/>
      <c r="L351" s="79">
        <f t="shared" ca="1" si="52"/>
        <v>97091</v>
      </c>
      <c r="M351" s="79">
        <f t="shared" ca="1" si="53"/>
        <v>18719</v>
      </c>
    </row>
    <row r="352" spans="1:13" x14ac:dyDescent="0.2">
      <c r="A352" s="146">
        <v>364</v>
      </c>
      <c r="B352" s="146" t="str">
        <f>VLOOKUP( $A352, Aop!$A$2:$N$415, 2, 0)</f>
        <v>Aneks</v>
      </c>
      <c r="C352" s="79">
        <f t="shared" si="49"/>
        <v>2</v>
      </c>
      <c r="D352" s="79" t="str">
        <f t="shared" si="46"/>
        <v>01494562</v>
      </c>
      <c r="E352" s="79" t="str">
        <f t="shared" si="47"/>
        <v>4400025960001</v>
      </c>
      <c r="F352" s="79" t="b">
        <f t="shared" si="50"/>
        <v>0</v>
      </c>
      <c r="G352" s="190">
        <f t="shared" si="51"/>
        <v>44377</v>
      </c>
      <c r="H352" s="146">
        <f>VLOOKUP( $A352, Aop!$A$2:$N$415, 4, 0)</f>
        <v>643</v>
      </c>
      <c r="I352" s="79">
        <f t="shared" si="48"/>
        <v>2021</v>
      </c>
      <c r="J352" s="79"/>
      <c r="K352" s="79"/>
      <c r="L352" s="79">
        <f t="shared" ca="1" si="52"/>
        <v>5889</v>
      </c>
      <c r="M352" s="79">
        <f t="shared" ca="1" si="53"/>
        <v>52721</v>
      </c>
    </row>
    <row r="353" spans="1:13" x14ac:dyDescent="0.2">
      <c r="A353" s="146">
        <v>365</v>
      </c>
      <c r="B353" s="146" t="str">
        <f>VLOOKUP( $A353, Aop!$A$2:$N$415, 2, 0)</f>
        <v>Aneks</v>
      </c>
      <c r="C353" s="79">
        <f t="shared" si="49"/>
        <v>2</v>
      </c>
      <c r="D353" s="79" t="str">
        <f t="shared" si="46"/>
        <v>01494562</v>
      </c>
      <c r="E353" s="79" t="str">
        <f t="shared" si="47"/>
        <v>4400025960001</v>
      </c>
      <c r="F353" s="79" t="b">
        <f t="shared" si="50"/>
        <v>0</v>
      </c>
      <c r="G353" s="190">
        <f t="shared" si="51"/>
        <v>44377</v>
      </c>
      <c r="H353" s="146">
        <f>VLOOKUP( $A353, Aop!$A$2:$N$415, 4, 0)</f>
        <v>644</v>
      </c>
      <c r="I353" s="79">
        <f t="shared" si="48"/>
        <v>2021</v>
      </c>
      <c r="J353" s="79"/>
      <c r="K353" s="79"/>
      <c r="L353" s="79">
        <f t="shared" ca="1" si="52"/>
        <v>164604</v>
      </c>
      <c r="M353" s="79">
        <f t="shared" ca="1" si="53"/>
        <v>323217</v>
      </c>
    </row>
    <row r="354" spans="1:13" x14ac:dyDescent="0.2">
      <c r="A354" s="146">
        <v>366</v>
      </c>
      <c r="B354" s="146" t="str">
        <f>VLOOKUP( $A354, Aop!$A$2:$N$415, 2, 0)</f>
        <v>Aneks</v>
      </c>
      <c r="C354" s="79">
        <f t="shared" si="49"/>
        <v>2</v>
      </c>
      <c r="D354" s="79" t="str">
        <f t="shared" si="46"/>
        <v>01494562</v>
      </c>
      <c r="E354" s="79" t="str">
        <f t="shared" si="47"/>
        <v>4400025960001</v>
      </c>
      <c r="F354" s="79" t="b">
        <f t="shared" si="50"/>
        <v>0</v>
      </c>
      <c r="G354" s="190">
        <f t="shared" si="51"/>
        <v>44377</v>
      </c>
      <c r="H354" s="146">
        <f>VLOOKUP( $A354, Aop!$A$2:$N$415, 4, 0)</f>
        <v>645</v>
      </c>
      <c r="I354" s="79">
        <f t="shared" si="48"/>
        <v>2021</v>
      </c>
      <c r="J354" s="79"/>
      <c r="K354" s="79"/>
      <c r="L354" s="79">
        <f t="shared" ca="1" si="52"/>
        <v>468</v>
      </c>
      <c r="M354" s="79">
        <f t="shared" ca="1" si="53"/>
        <v>3079</v>
      </c>
    </row>
    <row r="355" spans="1:13" x14ac:dyDescent="0.2">
      <c r="A355" s="146">
        <v>367</v>
      </c>
      <c r="B355" s="146" t="str">
        <f>VLOOKUP( $A355, Aop!$A$2:$N$415, 2, 0)</f>
        <v>Aneks</v>
      </c>
      <c r="C355" s="79">
        <f t="shared" ref="C355:C362" si="54">ID_Izvjestaj</f>
        <v>2</v>
      </c>
      <c r="D355" s="79" t="str">
        <f t="shared" ref="D355:D362" si="55">Podatak_MB</f>
        <v>01494562</v>
      </c>
      <c r="E355" s="79" t="str">
        <f t="shared" ref="E355:E362" si="56">Podatak_JIB</f>
        <v>4400025960001</v>
      </c>
      <c r="F355" s="79" t="b">
        <f t="shared" ref="F355:F362" si="57">Konsolidovan_izvjestaj</f>
        <v>0</v>
      </c>
      <c r="G355" s="190">
        <f t="shared" ref="G355:G362" si="58">Datum_Broj</f>
        <v>44377</v>
      </c>
      <c r="H355" s="79">
        <f>VLOOKUP( $A355, Aop!$A$2:$N$415, 4, 0)</f>
        <v>646</v>
      </c>
      <c r="I355" s="79">
        <f t="shared" ref="I355:I362" si="59">Godina</f>
        <v>2021</v>
      </c>
      <c r="J355" s="79"/>
      <c r="K355" s="79"/>
      <c r="L355" s="79" t="str">
        <f t="shared" ca="1" si="52"/>
        <v/>
      </c>
      <c r="M355" s="79" t="str">
        <f t="shared" ca="1" si="53"/>
        <v/>
      </c>
    </row>
    <row r="356" spans="1:13" x14ac:dyDescent="0.2">
      <c r="A356" s="146">
        <v>368</v>
      </c>
      <c r="B356" s="146" t="str">
        <f>VLOOKUP( $A356, Aop!$A$2:$N$415, 2, 0)</f>
        <v>Aneks</v>
      </c>
      <c r="C356" s="79">
        <f t="shared" si="54"/>
        <v>2</v>
      </c>
      <c r="D356" s="79" t="str">
        <f t="shared" si="55"/>
        <v>01494562</v>
      </c>
      <c r="E356" s="79" t="str">
        <f t="shared" si="56"/>
        <v>4400025960001</v>
      </c>
      <c r="F356" s="79" t="b">
        <f t="shared" si="57"/>
        <v>0</v>
      </c>
      <c r="G356" s="190">
        <f t="shared" si="58"/>
        <v>44377</v>
      </c>
      <c r="H356" s="79">
        <f>VLOOKUP( $A356, Aop!$A$2:$N$415, 4, 0)</f>
        <v>647</v>
      </c>
      <c r="I356" s="79">
        <f t="shared" si="59"/>
        <v>2021</v>
      </c>
      <c r="J356" s="79"/>
      <c r="K356" s="79"/>
      <c r="L356" s="79">
        <f t="shared" ca="1" si="52"/>
        <v>15990</v>
      </c>
      <c r="M356" s="79">
        <f t="shared" ca="1" si="53"/>
        <v>11177</v>
      </c>
    </row>
    <row r="357" spans="1:13" x14ac:dyDescent="0.2">
      <c r="A357" s="146">
        <v>369</v>
      </c>
      <c r="B357" s="146" t="str">
        <f>VLOOKUP( $A357, Aop!$A$2:$N$415, 2, 0)</f>
        <v>Aneks</v>
      </c>
      <c r="C357" s="79">
        <f t="shared" si="54"/>
        <v>2</v>
      </c>
      <c r="D357" s="79" t="str">
        <f t="shared" si="55"/>
        <v>01494562</v>
      </c>
      <c r="E357" s="79" t="str">
        <f t="shared" si="56"/>
        <v>4400025960001</v>
      </c>
      <c r="F357" s="79" t="b">
        <f t="shared" si="57"/>
        <v>0</v>
      </c>
      <c r="G357" s="190">
        <f t="shared" si="58"/>
        <v>44377</v>
      </c>
      <c r="H357" s="79">
        <f>VLOOKUP( $A357, Aop!$A$2:$N$415, 4, 0)</f>
        <v>648</v>
      </c>
      <c r="I357" s="79">
        <f t="shared" si="59"/>
        <v>2021</v>
      </c>
      <c r="J357" s="79"/>
      <c r="K357" s="79"/>
      <c r="L357" s="79" t="str">
        <f t="shared" ca="1" si="52"/>
        <v/>
      </c>
      <c r="M357" s="79" t="str">
        <f t="shared" ca="1" si="53"/>
        <v/>
      </c>
    </row>
    <row r="358" spans="1:13" x14ac:dyDescent="0.2">
      <c r="A358" s="146">
        <v>370</v>
      </c>
      <c r="B358" s="146" t="str">
        <f>VLOOKUP( $A358, Aop!$A$2:$N$415, 2, 0)</f>
        <v>Aneks</v>
      </c>
      <c r="C358" s="79">
        <f t="shared" si="54"/>
        <v>2</v>
      </c>
      <c r="D358" s="79" t="str">
        <f t="shared" si="55"/>
        <v>01494562</v>
      </c>
      <c r="E358" s="79" t="str">
        <f t="shared" si="56"/>
        <v>4400025960001</v>
      </c>
      <c r="F358" s="79" t="b">
        <f t="shared" si="57"/>
        <v>0</v>
      </c>
      <c r="G358" s="190">
        <f t="shared" si="58"/>
        <v>44377</v>
      </c>
      <c r="H358" s="79">
        <f>VLOOKUP( $A358, Aop!$A$2:$N$415, 4, 0)</f>
        <v>649</v>
      </c>
      <c r="I358" s="79">
        <f t="shared" si="59"/>
        <v>2021</v>
      </c>
      <c r="J358" s="79"/>
      <c r="K358" s="79"/>
      <c r="L358" s="79">
        <f t="shared" ca="1" si="52"/>
        <v>253930</v>
      </c>
      <c r="M358" s="79">
        <f t="shared" ca="1" si="53"/>
        <v>282081</v>
      </c>
    </row>
    <row r="359" spans="1:13" x14ac:dyDescent="0.2">
      <c r="A359" s="146">
        <v>371</v>
      </c>
      <c r="B359" s="146" t="str">
        <f>VLOOKUP( $A359, Aop!$A$2:$N$415, 2, 0)</f>
        <v>Aneks</v>
      </c>
      <c r="C359" s="79">
        <f t="shared" si="54"/>
        <v>2</v>
      </c>
      <c r="D359" s="79" t="str">
        <f t="shared" si="55"/>
        <v>01494562</v>
      </c>
      <c r="E359" s="79" t="str">
        <f t="shared" si="56"/>
        <v>4400025960001</v>
      </c>
      <c r="F359" s="79" t="b">
        <f t="shared" si="57"/>
        <v>0</v>
      </c>
      <c r="G359" s="190">
        <f t="shared" si="58"/>
        <v>44377</v>
      </c>
      <c r="H359" s="79">
        <f>VLOOKUP( $A359, Aop!$A$2:$N$415, 4, 0)</f>
        <v>650</v>
      </c>
      <c r="I359" s="79">
        <f t="shared" si="59"/>
        <v>2021</v>
      </c>
      <c r="J359" s="79"/>
      <c r="K359" s="79"/>
      <c r="L359" s="79">
        <f t="shared" ca="1" si="52"/>
        <v>35529</v>
      </c>
      <c r="M359" s="79">
        <f t="shared" ca="1" si="53"/>
        <v>61635</v>
      </c>
    </row>
    <row r="360" spans="1:13" x14ac:dyDescent="0.2">
      <c r="A360" s="146">
        <v>372</v>
      </c>
      <c r="B360" s="146" t="str">
        <f>VLOOKUP( $A360, Aop!$A$2:$N$415, 2, 0)</f>
        <v>Aneks</v>
      </c>
      <c r="C360" s="79">
        <f t="shared" si="54"/>
        <v>2</v>
      </c>
      <c r="D360" s="79" t="str">
        <f t="shared" si="55"/>
        <v>01494562</v>
      </c>
      <c r="E360" s="79" t="str">
        <f t="shared" si="56"/>
        <v>4400025960001</v>
      </c>
      <c r="F360" s="79" t="b">
        <f t="shared" si="57"/>
        <v>0</v>
      </c>
      <c r="G360" s="190">
        <f t="shared" si="58"/>
        <v>44377</v>
      </c>
      <c r="H360" s="79">
        <f>VLOOKUP( $A360, Aop!$A$2:$N$415, 4, 0)</f>
        <v>651</v>
      </c>
      <c r="I360" s="79">
        <f t="shared" si="59"/>
        <v>2021</v>
      </c>
      <c r="J360" s="79"/>
      <c r="K360" s="79"/>
      <c r="L360" s="79">
        <f t="shared" ca="1" si="52"/>
        <v>633</v>
      </c>
      <c r="M360" s="79">
        <f t="shared" ca="1" si="53"/>
        <v>2143</v>
      </c>
    </row>
    <row r="361" spans="1:13" x14ac:dyDescent="0.2">
      <c r="A361" s="146">
        <v>373</v>
      </c>
      <c r="B361" s="146" t="str">
        <f>VLOOKUP( $A361, Aop!$A$2:$N$415, 2, 0)</f>
        <v>Aneks</v>
      </c>
      <c r="C361" s="79">
        <f t="shared" si="54"/>
        <v>2</v>
      </c>
      <c r="D361" s="79" t="str">
        <f t="shared" si="55"/>
        <v>01494562</v>
      </c>
      <c r="E361" s="79" t="str">
        <f t="shared" si="56"/>
        <v>4400025960001</v>
      </c>
      <c r="F361" s="79" t="b">
        <f t="shared" si="57"/>
        <v>0</v>
      </c>
      <c r="G361" s="190">
        <f t="shared" si="58"/>
        <v>44377</v>
      </c>
      <c r="H361" s="79">
        <f>VLOOKUP( $A361, Aop!$A$2:$N$415, 4, 0)</f>
        <v>652</v>
      </c>
      <c r="I361" s="79">
        <f t="shared" si="59"/>
        <v>2021</v>
      </c>
      <c r="J361" s="79"/>
      <c r="K361" s="79"/>
      <c r="L361" s="79" t="str">
        <f t="shared" ca="1" si="52"/>
        <v/>
      </c>
      <c r="M361" s="79" t="str">
        <f t="shared" ca="1" si="53"/>
        <v/>
      </c>
    </row>
    <row r="362" spans="1:13" x14ac:dyDescent="0.2">
      <c r="A362" s="146">
        <v>374</v>
      </c>
      <c r="B362" s="146" t="str">
        <f>VLOOKUP( $A362, Aop!$A$2:$N$415, 2, 0)</f>
        <v>Aneks</v>
      </c>
      <c r="C362" s="79">
        <f t="shared" si="54"/>
        <v>2</v>
      </c>
      <c r="D362" s="79" t="str">
        <f t="shared" si="55"/>
        <v>01494562</v>
      </c>
      <c r="E362" s="79" t="str">
        <f t="shared" si="56"/>
        <v>4400025960001</v>
      </c>
      <c r="F362" s="79" t="b">
        <f t="shared" si="57"/>
        <v>0</v>
      </c>
      <c r="G362" s="190">
        <f t="shared" si="58"/>
        <v>44377</v>
      </c>
      <c r="H362" s="79">
        <f>VLOOKUP( $A362, Aop!$A$2:$N$415, 4, 0)</f>
        <v>653</v>
      </c>
      <c r="I362" s="79">
        <f t="shared" si="59"/>
        <v>2021</v>
      </c>
      <c r="J362" s="79"/>
      <c r="K362" s="79"/>
      <c r="L362" s="79">
        <f t="shared" ca="1" si="52"/>
        <v>15983</v>
      </c>
      <c r="M362" s="79">
        <f t="shared" ca="1" si="53"/>
        <v>7021</v>
      </c>
    </row>
    <row r="363" spans="1:13" x14ac:dyDescent="0.2">
      <c r="A363" s="146">
        <v>375</v>
      </c>
      <c r="B363" s="74" t="str">
        <f>VLOOKUP( $A363, Aop!$A$2:$N$415, 2, 0)</f>
        <v>Aneks</v>
      </c>
      <c r="C363" s="74">
        <f t="shared" ref="C363:C379" si="60">ID_Izvjestaj</f>
        <v>2</v>
      </c>
      <c r="D363" s="74" t="str">
        <f t="shared" ref="D363:D379" si="61">Podatak_MB</f>
        <v>01494562</v>
      </c>
      <c r="E363" s="74" t="str">
        <f t="shared" ref="E363:E379" si="62">Podatak_JIB</f>
        <v>4400025960001</v>
      </c>
      <c r="F363" s="74" t="b">
        <f t="shared" ref="F363:F379" si="63">Konsolidovan_izvjestaj</f>
        <v>0</v>
      </c>
      <c r="G363" s="373">
        <f t="shared" ref="G363:G379" si="64">Datum_Broj</f>
        <v>44377</v>
      </c>
      <c r="H363" s="74">
        <f>VLOOKUP( $A363, Aop!$A$2:$N$415, 4, 0)</f>
        <v>654</v>
      </c>
      <c r="I363" s="74">
        <f t="shared" ref="I363:I379" si="65">Godina</f>
        <v>2021</v>
      </c>
      <c r="J363" s="74"/>
      <c r="K363" s="74"/>
      <c r="L363" s="74">
        <f t="shared" ca="1" si="52"/>
        <v>22831</v>
      </c>
      <c r="M363" s="74">
        <f t="shared" ca="1" si="53"/>
        <v>19414</v>
      </c>
    </row>
    <row r="364" spans="1:13" x14ac:dyDescent="0.2">
      <c r="A364" s="146">
        <v>376</v>
      </c>
      <c r="B364" s="74" t="str">
        <f>VLOOKUP( $A364, Aop!$A$2:$N$415, 2, 0)</f>
        <v>Aneks</v>
      </c>
      <c r="C364" s="74">
        <f t="shared" si="60"/>
        <v>2</v>
      </c>
      <c r="D364" s="74" t="str">
        <f t="shared" si="61"/>
        <v>01494562</v>
      </c>
      <c r="E364" s="74" t="str">
        <f t="shared" si="62"/>
        <v>4400025960001</v>
      </c>
      <c r="F364" s="74" t="b">
        <f t="shared" si="63"/>
        <v>0</v>
      </c>
      <c r="G364" s="373">
        <f t="shared" si="64"/>
        <v>44377</v>
      </c>
      <c r="H364" s="74">
        <f>VLOOKUP( $A364, Aop!$A$2:$N$415, 4, 0)</f>
        <v>655</v>
      </c>
      <c r="I364" s="74">
        <f t="shared" si="65"/>
        <v>2021</v>
      </c>
      <c r="J364" s="74"/>
      <c r="K364" s="74"/>
      <c r="L364" s="74">
        <f t="shared" ca="1" si="52"/>
        <v>7685</v>
      </c>
      <c r="M364" s="74">
        <f t="shared" ca="1" si="53"/>
        <v>8601</v>
      </c>
    </row>
    <row r="365" spans="1:13" x14ac:dyDescent="0.2">
      <c r="A365" s="146">
        <v>377</v>
      </c>
      <c r="B365" s="74" t="str">
        <f>VLOOKUP( $A365, Aop!$A$2:$N$415, 2, 0)</f>
        <v>Aneks</v>
      </c>
      <c r="C365" s="74">
        <f t="shared" si="60"/>
        <v>2</v>
      </c>
      <c r="D365" s="74" t="str">
        <f t="shared" si="61"/>
        <v>01494562</v>
      </c>
      <c r="E365" s="74" t="str">
        <f t="shared" si="62"/>
        <v>4400025960001</v>
      </c>
      <c r="F365" s="74" t="b">
        <f t="shared" si="63"/>
        <v>0</v>
      </c>
      <c r="G365" s="373">
        <f t="shared" si="64"/>
        <v>44377</v>
      </c>
      <c r="H365" s="74">
        <f>VLOOKUP( $A365, Aop!$A$2:$N$415, 4, 0)</f>
        <v>656</v>
      </c>
      <c r="I365" s="74">
        <f t="shared" si="65"/>
        <v>2021</v>
      </c>
      <c r="J365" s="74"/>
      <c r="K365" s="74"/>
      <c r="L365" s="74">
        <f t="shared" ca="1" si="52"/>
        <v>126578</v>
      </c>
      <c r="M365" s="74">
        <f t="shared" ca="1" si="53"/>
        <v>113680</v>
      </c>
    </row>
    <row r="366" spans="1:13" x14ac:dyDescent="0.2">
      <c r="A366" s="146">
        <v>378</v>
      </c>
      <c r="B366" s="74" t="str">
        <f>VLOOKUP( $A366, Aop!$A$2:$N$415, 2, 0)</f>
        <v>Aneks</v>
      </c>
      <c r="C366" s="74">
        <f t="shared" si="60"/>
        <v>2</v>
      </c>
      <c r="D366" s="74" t="str">
        <f t="shared" si="61"/>
        <v>01494562</v>
      </c>
      <c r="E366" s="74" t="str">
        <f t="shared" si="62"/>
        <v>4400025960001</v>
      </c>
      <c r="F366" s="74" t="b">
        <f t="shared" si="63"/>
        <v>0</v>
      </c>
      <c r="G366" s="373">
        <f t="shared" si="64"/>
        <v>44377</v>
      </c>
      <c r="H366" s="74">
        <f>VLOOKUP( $A366, Aop!$A$2:$N$415, 4, 0)</f>
        <v>657</v>
      </c>
      <c r="I366" s="74">
        <f t="shared" si="65"/>
        <v>2021</v>
      </c>
      <c r="J366" s="74"/>
      <c r="K366" s="74"/>
      <c r="L366" s="74" t="str">
        <f t="shared" ca="1" si="52"/>
        <v/>
      </c>
      <c r="M366" s="74" t="str">
        <f t="shared" ca="1" si="53"/>
        <v/>
      </c>
    </row>
    <row r="367" spans="1:13" x14ac:dyDescent="0.2">
      <c r="A367" s="146">
        <v>379</v>
      </c>
      <c r="B367" s="74" t="str">
        <f>VLOOKUP( $A367, Aop!$A$2:$N$415, 2, 0)</f>
        <v>Aneks</v>
      </c>
      <c r="C367" s="74">
        <f t="shared" si="60"/>
        <v>2</v>
      </c>
      <c r="D367" s="74" t="str">
        <f t="shared" si="61"/>
        <v>01494562</v>
      </c>
      <c r="E367" s="74" t="str">
        <f t="shared" si="62"/>
        <v>4400025960001</v>
      </c>
      <c r="F367" s="74" t="b">
        <f t="shared" si="63"/>
        <v>0</v>
      </c>
      <c r="G367" s="373">
        <f t="shared" si="64"/>
        <v>44377</v>
      </c>
      <c r="H367" s="74">
        <f>VLOOKUP( $A367, Aop!$A$2:$N$415, 4, 0)</f>
        <v>658</v>
      </c>
      <c r="I367" s="74">
        <f t="shared" si="65"/>
        <v>2021</v>
      </c>
      <c r="J367" s="74"/>
      <c r="K367" s="74"/>
      <c r="L367" s="74">
        <f t="shared" ca="1" si="52"/>
        <v>20948</v>
      </c>
      <c r="M367" s="74">
        <f t="shared" ca="1" si="53"/>
        <v>38407</v>
      </c>
    </row>
    <row r="368" spans="1:13" x14ac:dyDescent="0.2">
      <c r="A368" s="146">
        <v>380</v>
      </c>
      <c r="B368" s="74" t="str">
        <f>VLOOKUP( $A368, Aop!$A$2:$N$415, 2, 0)</f>
        <v>Aneks</v>
      </c>
      <c r="C368" s="74">
        <f t="shared" si="60"/>
        <v>2</v>
      </c>
      <c r="D368" s="74" t="str">
        <f t="shared" si="61"/>
        <v>01494562</v>
      </c>
      <c r="E368" s="74" t="str">
        <f t="shared" si="62"/>
        <v>4400025960001</v>
      </c>
      <c r="F368" s="74" t="b">
        <f t="shared" si="63"/>
        <v>0</v>
      </c>
      <c r="G368" s="373">
        <f t="shared" si="64"/>
        <v>44377</v>
      </c>
      <c r="H368" s="74">
        <f>VLOOKUP( $A368, Aop!$A$2:$N$415, 4, 0)</f>
        <v>659</v>
      </c>
      <c r="I368" s="74">
        <f t="shared" si="65"/>
        <v>2021</v>
      </c>
      <c r="J368" s="74"/>
      <c r="K368" s="74"/>
      <c r="L368" s="74">
        <f t="shared" ca="1" si="52"/>
        <v>24376</v>
      </c>
      <c r="M368" s="74">
        <f t="shared" ca="1" si="53"/>
        <v>33323</v>
      </c>
    </row>
    <row r="369" spans="1:13" x14ac:dyDescent="0.2">
      <c r="A369" s="146">
        <v>381</v>
      </c>
      <c r="B369" s="74" t="str">
        <f>VLOOKUP( $A369, Aop!$A$2:$N$415, 2, 0)</f>
        <v>Aneks</v>
      </c>
      <c r="C369" s="74">
        <f t="shared" si="60"/>
        <v>2</v>
      </c>
      <c r="D369" s="74" t="str">
        <f t="shared" si="61"/>
        <v>01494562</v>
      </c>
      <c r="E369" s="74" t="str">
        <f t="shared" si="62"/>
        <v>4400025960001</v>
      </c>
      <c r="F369" s="74" t="b">
        <f t="shared" si="63"/>
        <v>0</v>
      </c>
      <c r="G369" s="373">
        <f t="shared" si="64"/>
        <v>44377</v>
      </c>
      <c r="H369" s="74">
        <f>VLOOKUP( $A369, Aop!$A$2:$N$415, 4, 0)</f>
        <v>660</v>
      </c>
      <c r="I369" s="74">
        <f t="shared" si="65"/>
        <v>2021</v>
      </c>
      <c r="J369" s="74"/>
      <c r="K369" s="74"/>
      <c r="L369" s="74" t="str">
        <f t="shared" ca="1" si="52"/>
        <v/>
      </c>
      <c r="M369" s="74" t="str">
        <f t="shared" ca="1" si="53"/>
        <v/>
      </c>
    </row>
    <row r="370" spans="1:13" x14ac:dyDescent="0.2">
      <c r="A370" s="146">
        <v>382</v>
      </c>
      <c r="B370" s="74" t="str">
        <f>VLOOKUP( $A370, Aop!$A$2:$N$415, 2, 0)</f>
        <v>Aneks</v>
      </c>
      <c r="C370" s="74">
        <f t="shared" si="60"/>
        <v>2</v>
      </c>
      <c r="D370" s="74" t="str">
        <f t="shared" si="61"/>
        <v>01494562</v>
      </c>
      <c r="E370" s="74" t="str">
        <f t="shared" si="62"/>
        <v>4400025960001</v>
      </c>
      <c r="F370" s="74" t="b">
        <f t="shared" si="63"/>
        <v>0</v>
      </c>
      <c r="G370" s="373">
        <f t="shared" si="64"/>
        <v>44377</v>
      </c>
      <c r="H370" s="74">
        <f>VLOOKUP( $A370, Aop!$A$2:$N$415, 4, 0)</f>
        <v>661</v>
      </c>
      <c r="I370" s="74">
        <f t="shared" si="65"/>
        <v>2021</v>
      </c>
      <c r="J370" s="74"/>
      <c r="K370" s="74"/>
      <c r="L370" s="74">
        <f t="shared" ca="1" si="52"/>
        <v>1245207</v>
      </c>
      <c r="M370" s="74">
        <f t="shared" ca="1" si="53"/>
        <v>1064611</v>
      </c>
    </row>
    <row r="371" spans="1:13" x14ac:dyDescent="0.2">
      <c r="A371" s="146">
        <v>383</v>
      </c>
      <c r="B371" s="74" t="str">
        <f>VLOOKUP( $A371, Aop!$A$2:$N$415, 2, 0)</f>
        <v>Aneks</v>
      </c>
      <c r="C371" s="74">
        <f t="shared" si="60"/>
        <v>2</v>
      </c>
      <c r="D371" s="74" t="str">
        <f t="shared" si="61"/>
        <v>01494562</v>
      </c>
      <c r="E371" s="74" t="str">
        <f t="shared" si="62"/>
        <v>4400025960001</v>
      </c>
      <c r="F371" s="74" t="b">
        <f t="shared" si="63"/>
        <v>0</v>
      </c>
      <c r="G371" s="373">
        <f t="shared" si="64"/>
        <v>44377</v>
      </c>
      <c r="H371" s="74">
        <f>VLOOKUP( $A371, Aop!$A$2:$N$415, 4, 0)</f>
        <v>662</v>
      </c>
      <c r="I371" s="74">
        <f t="shared" si="65"/>
        <v>2021</v>
      </c>
      <c r="J371" s="74"/>
      <c r="K371" s="74"/>
      <c r="L371" s="74">
        <f t="shared" ca="1" si="52"/>
        <v>1134731</v>
      </c>
      <c r="M371" s="74">
        <f t="shared" ca="1" si="53"/>
        <v>780542</v>
      </c>
    </row>
    <row r="372" spans="1:13" x14ac:dyDescent="0.2">
      <c r="A372" s="146">
        <v>384</v>
      </c>
      <c r="B372" s="74" t="str">
        <f>VLOOKUP( $A372, Aop!$A$2:$N$415, 2, 0)</f>
        <v>Aneks</v>
      </c>
      <c r="C372" s="74">
        <f t="shared" si="60"/>
        <v>2</v>
      </c>
      <c r="D372" s="74" t="str">
        <f t="shared" si="61"/>
        <v>01494562</v>
      </c>
      <c r="E372" s="74" t="str">
        <f t="shared" si="62"/>
        <v>4400025960001</v>
      </c>
      <c r="F372" s="74" t="b">
        <f t="shared" si="63"/>
        <v>0</v>
      </c>
      <c r="G372" s="373">
        <f t="shared" si="64"/>
        <v>44377</v>
      </c>
      <c r="H372" s="74">
        <f>VLOOKUP( $A372, Aop!$A$2:$N$415, 4, 0)</f>
        <v>663</v>
      </c>
      <c r="I372" s="74">
        <f t="shared" si="65"/>
        <v>2021</v>
      </c>
      <c r="J372" s="74"/>
      <c r="K372" s="74"/>
      <c r="L372" s="74">
        <f t="shared" ca="1" si="52"/>
        <v>69006</v>
      </c>
      <c r="M372" s="74">
        <f t="shared" ca="1" si="53"/>
        <v>36040</v>
      </c>
    </row>
    <row r="373" spans="1:13" x14ac:dyDescent="0.2">
      <c r="A373" s="146">
        <v>385</v>
      </c>
      <c r="B373" s="74" t="str">
        <f>VLOOKUP( $A373, Aop!$A$2:$N$415, 2, 0)</f>
        <v>Aneks</v>
      </c>
      <c r="C373" s="74">
        <f t="shared" si="60"/>
        <v>2</v>
      </c>
      <c r="D373" s="74" t="str">
        <f t="shared" si="61"/>
        <v>01494562</v>
      </c>
      <c r="E373" s="74" t="str">
        <f t="shared" si="62"/>
        <v>4400025960001</v>
      </c>
      <c r="F373" s="74" t="b">
        <f t="shared" si="63"/>
        <v>0</v>
      </c>
      <c r="G373" s="373">
        <f t="shared" si="64"/>
        <v>44377</v>
      </c>
      <c r="H373" s="74">
        <f>VLOOKUP( $A373, Aop!$A$2:$N$415, 4, 0)</f>
        <v>664</v>
      </c>
      <c r="I373" s="74">
        <f t="shared" si="65"/>
        <v>2021</v>
      </c>
      <c r="J373" s="74"/>
      <c r="K373" s="74"/>
      <c r="L373" s="74" t="str">
        <f t="shared" ca="1" si="52"/>
        <v/>
      </c>
      <c r="M373" s="74">
        <f t="shared" ca="1" si="53"/>
        <v>41760</v>
      </c>
    </row>
    <row r="374" spans="1:13" x14ac:dyDescent="0.2">
      <c r="A374" s="146">
        <v>386</v>
      </c>
      <c r="B374" s="74" t="str">
        <f>VLOOKUP( $A374, Aop!$A$2:$N$415, 2, 0)</f>
        <v>Aneks</v>
      </c>
      <c r="C374" s="74">
        <f t="shared" si="60"/>
        <v>2</v>
      </c>
      <c r="D374" s="74" t="str">
        <f t="shared" si="61"/>
        <v>01494562</v>
      </c>
      <c r="E374" s="74" t="str">
        <f t="shared" si="62"/>
        <v>4400025960001</v>
      </c>
      <c r="F374" s="74" t="b">
        <f t="shared" si="63"/>
        <v>0</v>
      </c>
      <c r="G374" s="373">
        <f t="shared" si="64"/>
        <v>44377</v>
      </c>
      <c r="H374" s="74">
        <f>VLOOKUP( $A374, Aop!$A$2:$N$415, 4, 0)</f>
        <v>665</v>
      </c>
      <c r="I374" s="74">
        <f t="shared" si="65"/>
        <v>2021</v>
      </c>
      <c r="J374" s="74"/>
      <c r="K374" s="74"/>
      <c r="L374" s="74" t="str">
        <f t="shared" ca="1" si="52"/>
        <v/>
      </c>
      <c r="M374" s="74" t="str">
        <f t="shared" ca="1" si="53"/>
        <v/>
      </c>
    </row>
    <row r="375" spans="1:13" x14ac:dyDescent="0.2">
      <c r="A375" s="146">
        <v>387</v>
      </c>
      <c r="B375" s="74" t="str">
        <f>VLOOKUP( $A375, Aop!$A$2:$N$415, 2, 0)</f>
        <v>Aneks</v>
      </c>
      <c r="C375" s="74">
        <f t="shared" si="60"/>
        <v>2</v>
      </c>
      <c r="D375" s="74" t="str">
        <f t="shared" si="61"/>
        <v>01494562</v>
      </c>
      <c r="E375" s="74" t="str">
        <f t="shared" si="62"/>
        <v>4400025960001</v>
      </c>
      <c r="F375" s="74" t="b">
        <f t="shared" si="63"/>
        <v>0</v>
      </c>
      <c r="G375" s="373">
        <f t="shared" si="64"/>
        <v>44377</v>
      </c>
      <c r="H375" s="74">
        <f>VLOOKUP( $A375, Aop!$A$2:$N$415, 4, 0)</f>
        <v>666</v>
      </c>
      <c r="I375" s="74">
        <f t="shared" si="65"/>
        <v>2021</v>
      </c>
      <c r="J375" s="74"/>
      <c r="K375" s="74"/>
      <c r="L375" s="74">
        <f t="shared" ca="1" si="52"/>
        <v>165228</v>
      </c>
      <c r="M375" s="74">
        <f t="shared" ca="1" si="53"/>
        <v>10304</v>
      </c>
    </row>
    <row r="376" spans="1:13" x14ac:dyDescent="0.2">
      <c r="A376" s="146">
        <v>388</v>
      </c>
      <c r="B376" s="74" t="str">
        <f>VLOOKUP( $A376, Aop!$A$2:$N$415, 2, 0)</f>
        <v>Aneks</v>
      </c>
      <c r="C376" s="74">
        <f t="shared" si="60"/>
        <v>2</v>
      </c>
      <c r="D376" s="74" t="str">
        <f t="shared" si="61"/>
        <v>01494562</v>
      </c>
      <c r="E376" s="74" t="str">
        <f t="shared" si="62"/>
        <v>4400025960001</v>
      </c>
      <c r="F376" s="74" t="b">
        <f t="shared" si="63"/>
        <v>0</v>
      </c>
      <c r="G376" s="373">
        <f t="shared" si="64"/>
        <v>44377</v>
      </c>
      <c r="H376" s="74">
        <f>VLOOKUP( $A376, Aop!$A$2:$N$415, 4, 0)</f>
        <v>667</v>
      </c>
      <c r="I376" s="74">
        <f t="shared" si="65"/>
        <v>2021</v>
      </c>
      <c r="J376" s="74"/>
      <c r="K376" s="74"/>
      <c r="L376" s="74" t="str">
        <f t="shared" ca="1" si="52"/>
        <v/>
      </c>
      <c r="M376" s="74" t="str">
        <f t="shared" ca="1" si="53"/>
        <v/>
      </c>
    </row>
    <row r="377" spans="1:13" x14ac:dyDescent="0.2">
      <c r="A377" s="146">
        <v>389</v>
      </c>
      <c r="B377" s="74" t="str">
        <f>VLOOKUP( $A377, Aop!$A$2:$N$415, 2, 0)</f>
        <v>Aneks</v>
      </c>
      <c r="C377" s="74">
        <f t="shared" si="60"/>
        <v>2</v>
      </c>
      <c r="D377" s="74" t="str">
        <f t="shared" si="61"/>
        <v>01494562</v>
      </c>
      <c r="E377" s="74" t="str">
        <f t="shared" si="62"/>
        <v>4400025960001</v>
      </c>
      <c r="F377" s="74" t="b">
        <f t="shared" si="63"/>
        <v>0</v>
      </c>
      <c r="G377" s="373">
        <f t="shared" si="64"/>
        <v>44377</v>
      </c>
      <c r="H377" s="74">
        <f>VLOOKUP( $A377, Aop!$A$2:$N$415, 4, 0)</f>
        <v>668</v>
      </c>
      <c r="I377" s="74">
        <f t="shared" si="65"/>
        <v>2021</v>
      </c>
      <c r="J377" s="74"/>
      <c r="K377" s="74"/>
      <c r="L377" s="74" t="str">
        <f t="shared" ca="1" si="52"/>
        <v/>
      </c>
      <c r="M377" s="74" t="str">
        <f t="shared" ca="1" si="53"/>
        <v/>
      </c>
    </row>
    <row r="378" spans="1:13" x14ac:dyDescent="0.2">
      <c r="A378" s="146">
        <v>390</v>
      </c>
      <c r="B378" s="74" t="str">
        <f>VLOOKUP( $A378, Aop!$A$2:$N$415, 2, 0)</f>
        <v>Aneks</v>
      </c>
      <c r="C378" s="74">
        <f t="shared" si="60"/>
        <v>2</v>
      </c>
      <c r="D378" s="74" t="str">
        <f t="shared" si="61"/>
        <v>01494562</v>
      </c>
      <c r="E378" s="74" t="str">
        <f t="shared" si="62"/>
        <v>4400025960001</v>
      </c>
      <c r="F378" s="74" t="b">
        <f t="shared" si="63"/>
        <v>0</v>
      </c>
      <c r="G378" s="373">
        <f t="shared" si="64"/>
        <v>44377</v>
      </c>
      <c r="H378" s="74">
        <f>VLOOKUP( $A378, Aop!$A$2:$N$415, 4, 0)</f>
        <v>669</v>
      </c>
      <c r="I378" s="74">
        <f t="shared" si="65"/>
        <v>2021</v>
      </c>
      <c r="J378" s="74"/>
      <c r="K378" s="74"/>
      <c r="L378" s="74" t="str">
        <f t="shared" ca="1" si="52"/>
        <v/>
      </c>
      <c r="M378" s="74" t="str">
        <f t="shared" ca="1" si="53"/>
        <v/>
      </c>
    </row>
    <row r="379" spans="1:13" x14ac:dyDescent="0.2">
      <c r="A379" s="146">
        <v>391</v>
      </c>
      <c r="B379" s="74" t="str">
        <f>VLOOKUP( $A379, Aop!$A$2:$N$415, 2, 0)</f>
        <v>Aneks</v>
      </c>
      <c r="C379" s="74">
        <f t="shared" si="60"/>
        <v>2</v>
      </c>
      <c r="D379" s="74" t="str">
        <f t="shared" si="61"/>
        <v>01494562</v>
      </c>
      <c r="E379" s="74" t="str">
        <f t="shared" si="62"/>
        <v>4400025960001</v>
      </c>
      <c r="F379" s="74" t="b">
        <f t="shared" si="63"/>
        <v>0</v>
      </c>
      <c r="G379" s="373">
        <f t="shared" si="64"/>
        <v>44377</v>
      </c>
      <c r="H379" s="74">
        <f>VLOOKUP( $A379, Aop!$A$2:$N$415, 4, 0)</f>
        <v>670</v>
      </c>
      <c r="I379" s="74">
        <f t="shared" si="65"/>
        <v>2021</v>
      </c>
      <c r="J379" s="74"/>
      <c r="K379" s="74"/>
      <c r="L379" s="74">
        <f t="shared" ca="1" si="52"/>
        <v>1096889</v>
      </c>
      <c r="M379" s="74">
        <f t="shared" ca="1" si="53"/>
        <v>1099150</v>
      </c>
    </row>
  </sheetData>
  <sheetProtection password="832E" sheet="1" objects="1" scenarios="1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Q24"/>
  <sheetViews>
    <sheetView showGridLines="0" workbookViewId="0">
      <selection activeCell="C12" sqref="C12:O12"/>
    </sheetView>
  </sheetViews>
  <sheetFormatPr defaultRowHeight="12.75" x14ac:dyDescent="0.2"/>
  <cols>
    <col min="1" max="1" width="4.7109375" customWidth="1"/>
    <col min="3" max="4" width="24.140625" customWidth="1"/>
    <col min="5" max="5" width="10.5703125" customWidth="1"/>
    <col min="6" max="6" width="9" customWidth="1"/>
    <col min="7" max="7" width="11" customWidth="1"/>
    <col min="8" max="8" width="10.85546875" customWidth="1"/>
    <col min="9" max="9" width="17.7109375" customWidth="1"/>
    <col min="10" max="17" width="11" customWidth="1"/>
  </cols>
  <sheetData>
    <row r="1" spans="1:17" ht="13.5" thickBot="1" x14ac:dyDescent="0.25">
      <c r="A1" s="149" t="s">
        <v>408</v>
      </c>
      <c r="B1" s="150" t="s">
        <v>535</v>
      </c>
      <c r="C1" s="151" t="s">
        <v>410</v>
      </c>
      <c r="D1" s="151" t="s">
        <v>235</v>
      </c>
      <c r="E1" s="146" t="s">
        <v>728</v>
      </c>
      <c r="F1" s="80" t="s">
        <v>285</v>
      </c>
      <c r="G1" s="152" t="s">
        <v>462</v>
      </c>
      <c r="H1" s="152" t="s">
        <v>644</v>
      </c>
      <c r="I1" s="152" t="s">
        <v>605</v>
      </c>
      <c r="J1" s="152" t="s">
        <v>606</v>
      </c>
      <c r="K1" s="152" t="s">
        <v>645</v>
      </c>
      <c r="L1" s="152" t="s">
        <v>646</v>
      </c>
      <c r="M1" s="152" t="s">
        <v>647</v>
      </c>
      <c r="N1" s="152" t="s">
        <v>648</v>
      </c>
      <c r="O1" s="152" t="s">
        <v>649</v>
      </c>
      <c r="P1" s="152" t="s">
        <v>650</v>
      </c>
      <c r="Q1" s="152" t="s">
        <v>651</v>
      </c>
    </row>
    <row r="2" spans="1:17" ht="13.5" thickTop="1" x14ac:dyDescent="0.2">
      <c r="A2" s="147">
        <v>392</v>
      </c>
      <c r="B2" s="148" t="str">
        <f>VLOOKUP( $A2, Aop!$A$2:$N$415, 2, 0)</f>
        <v>BPK</v>
      </c>
      <c r="C2" s="79" t="str">
        <f t="shared" ref="C2:C20" si="0">Podatak_MB</f>
        <v>01494562</v>
      </c>
      <c r="D2" s="79" t="str">
        <f t="shared" ref="D2:D20" si="1">Podatak_JIB</f>
        <v>4400025960001</v>
      </c>
      <c r="E2" s="79" t="b">
        <f t="shared" ref="E2:E20" si="2">Konsolidovan_izvjestaj</f>
        <v>0</v>
      </c>
      <c r="F2" s="12">
        <f>VLOOKUP( $A2, Aop!$A$2:$N$415, 4, 0)</f>
        <v>901</v>
      </c>
      <c r="G2" s="79">
        <f t="shared" ref="G2:G20" si="3">Godina</f>
        <v>2021</v>
      </c>
      <c r="H2" s="190">
        <f t="shared" ref="H2:H20" si="4">Datum_Broj</f>
        <v>44377</v>
      </c>
      <c r="I2" s="79">
        <f t="shared" ref="I2:I20" si="5">ID_Izvjestaj</f>
        <v>2</v>
      </c>
      <c r="J2" s="74">
        <f t="shared" ref="J2:J20" ca="1" si="6">IF(VLOOKUP($F2,INDIRECT("Lookup_"&amp;$B2),J$1-1,0)="","",VLOOKUP($F2,INDIRECT("Lookup_"&amp;$B2),J$1-1,0))</f>
        <v>50000</v>
      </c>
      <c r="K2" s="74">
        <f t="shared" ref="K2:K20" ca="1" si="7">IF(VLOOKUP($F2,INDIRECT("Lookup_"&amp;$B2),K$1-1,0)="","",VLOOKUP($F2,INDIRECT("Lookup_"&amp;$B2),K$1-1,0))</f>
        <v>225286778</v>
      </c>
      <c r="L2" s="74" t="str">
        <f t="shared" ref="L2:L20" ca="1" si="8">IF(VLOOKUP($F2,INDIRECT("Lookup_"&amp;$B2),L$1-1,0)="","",VLOOKUP($F2,INDIRECT("Lookup_"&amp;$B2),L$1-1,0))</f>
        <v/>
      </c>
      <c r="M2" s="74" t="str">
        <f t="shared" ref="M2:M20" ca="1" si="9">IF(VLOOKUP($F2,INDIRECT("Lookup_"&amp;$B2),M$1-1,0)="","",VLOOKUP($F2,INDIRECT("Lookup_"&amp;$B2),M$1-1,0))</f>
        <v/>
      </c>
      <c r="N2" s="74">
        <f t="shared" ref="N2:N20" ca="1" si="10">IF(VLOOKUP($F2,INDIRECT("Lookup_"&amp;$B2),N$1-1,0)="","",VLOOKUP($F2,INDIRECT("Lookup_"&amp;$B2),N$1-1,0))</f>
        <v>-81872253</v>
      </c>
      <c r="O2" s="74">
        <f t="shared" ref="O2:O20" ca="1" si="11">IF(VLOOKUP($F2,INDIRECT("Lookup_"&amp;$B2),O$1-1,0)="","",VLOOKUP($F2,INDIRECT("Lookup_"&amp;$B2),O$1-1,0))</f>
        <v>143464525</v>
      </c>
      <c r="P2" s="74" t="str">
        <f t="shared" ref="P2:P20" ca="1" si="12">IF(VLOOKUP($F2,INDIRECT("Lookup_"&amp;$B2),P$1-1,0)="","",VLOOKUP($F2,INDIRECT("Lookup_"&amp;$B2),P$1-1,0))</f>
        <v/>
      </c>
      <c r="Q2" s="74">
        <f t="shared" ref="Q2:Q20" ca="1" si="13">IF(VLOOKUP($F2,INDIRECT("Lookup_"&amp;$B2),Q$1-1,0)="","",VLOOKUP($F2,INDIRECT("Lookup_"&amp;$B2),Q$1-1,0))</f>
        <v>143464525</v>
      </c>
    </row>
    <row r="3" spans="1:17" x14ac:dyDescent="0.2">
      <c r="A3" s="147">
        <v>393</v>
      </c>
      <c r="B3" s="148" t="str">
        <f>VLOOKUP( $A3, Aop!$A$2:$N$415, 2, 0)</f>
        <v>BPK</v>
      </c>
      <c r="C3" s="79" t="str">
        <f t="shared" si="0"/>
        <v>01494562</v>
      </c>
      <c r="D3" s="79" t="str">
        <f t="shared" si="1"/>
        <v>4400025960001</v>
      </c>
      <c r="E3" s="79" t="b">
        <f t="shared" si="2"/>
        <v>0</v>
      </c>
      <c r="F3" s="12">
        <f>VLOOKUP( $A3, Aop!$A$2:$N$415, 4, 0)</f>
        <v>902</v>
      </c>
      <c r="G3" s="79">
        <f t="shared" si="3"/>
        <v>2021</v>
      </c>
      <c r="H3" s="190">
        <f t="shared" si="4"/>
        <v>44377</v>
      </c>
      <c r="I3" s="79">
        <f t="shared" si="5"/>
        <v>2</v>
      </c>
      <c r="J3" s="74" t="str">
        <f t="shared" ca="1" si="6"/>
        <v/>
      </c>
      <c r="K3" s="74" t="str">
        <f t="shared" ca="1" si="7"/>
        <v/>
      </c>
      <c r="L3" s="74" t="str">
        <f t="shared" ca="1" si="8"/>
        <v/>
      </c>
      <c r="M3" s="74" t="str">
        <f t="shared" ca="1" si="9"/>
        <v/>
      </c>
      <c r="N3" s="74" t="str">
        <f t="shared" ca="1" si="10"/>
        <v/>
      </c>
      <c r="O3" s="74">
        <f t="shared" ca="1" si="11"/>
        <v>0</v>
      </c>
      <c r="P3" s="74" t="str">
        <f t="shared" ca="1" si="12"/>
        <v/>
      </c>
      <c r="Q3" s="74">
        <f t="shared" ca="1" si="13"/>
        <v>0</v>
      </c>
    </row>
    <row r="4" spans="1:17" x14ac:dyDescent="0.2">
      <c r="A4" s="147">
        <v>394</v>
      </c>
      <c r="B4" s="148" t="str">
        <f>VLOOKUP( $A4, Aop!$A$2:$N$415, 2, 0)</f>
        <v>BPK</v>
      </c>
      <c r="C4" s="79" t="str">
        <f t="shared" si="0"/>
        <v>01494562</v>
      </c>
      <c r="D4" s="79" t="str">
        <f t="shared" si="1"/>
        <v>4400025960001</v>
      </c>
      <c r="E4" s="79" t="b">
        <f t="shared" si="2"/>
        <v>0</v>
      </c>
      <c r="F4" s="12">
        <f>VLOOKUP( $A4, Aop!$A$2:$N$415, 4, 0)</f>
        <v>903</v>
      </c>
      <c r="G4" s="79">
        <f t="shared" si="3"/>
        <v>2021</v>
      </c>
      <c r="H4" s="190">
        <f t="shared" si="4"/>
        <v>44377</v>
      </c>
      <c r="I4" s="79">
        <f t="shared" si="5"/>
        <v>2</v>
      </c>
      <c r="J4" s="74" t="str">
        <f t="shared" ca="1" si="6"/>
        <v/>
      </c>
      <c r="K4" s="74" t="str">
        <f t="shared" ca="1" si="7"/>
        <v/>
      </c>
      <c r="L4" s="74" t="str">
        <f t="shared" ca="1" si="8"/>
        <v/>
      </c>
      <c r="M4" s="74" t="str">
        <f t="shared" ca="1" si="9"/>
        <v/>
      </c>
      <c r="N4" s="74" t="str">
        <f t="shared" ca="1" si="10"/>
        <v/>
      </c>
      <c r="O4" s="74">
        <f t="shared" ca="1" si="11"/>
        <v>0</v>
      </c>
      <c r="P4" s="74" t="str">
        <f t="shared" ca="1" si="12"/>
        <v/>
      </c>
      <c r="Q4" s="74">
        <f t="shared" ca="1" si="13"/>
        <v>0</v>
      </c>
    </row>
    <row r="5" spans="1:17" x14ac:dyDescent="0.2">
      <c r="A5" s="147">
        <v>395</v>
      </c>
      <c r="B5" s="148" t="str">
        <f>VLOOKUP( $A5, Aop!$A$2:$N$415, 2, 0)</f>
        <v>BPK</v>
      </c>
      <c r="C5" s="79" t="str">
        <f t="shared" si="0"/>
        <v>01494562</v>
      </c>
      <c r="D5" s="79" t="str">
        <f t="shared" si="1"/>
        <v>4400025960001</v>
      </c>
      <c r="E5" s="79" t="b">
        <f t="shared" si="2"/>
        <v>0</v>
      </c>
      <c r="F5" s="12">
        <f>VLOOKUP( $A5, Aop!$A$2:$N$415, 4, 0)</f>
        <v>904</v>
      </c>
      <c r="G5" s="79">
        <f t="shared" si="3"/>
        <v>2021</v>
      </c>
      <c r="H5" s="190">
        <f t="shared" si="4"/>
        <v>44377</v>
      </c>
      <c r="I5" s="79">
        <f t="shared" si="5"/>
        <v>2</v>
      </c>
      <c r="J5" s="74">
        <f t="shared" ca="1" si="6"/>
        <v>50000</v>
      </c>
      <c r="K5" s="74">
        <f t="shared" ca="1" si="7"/>
        <v>225286778</v>
      </c>
      <c r="L5" s="74">
        <f t="shared" ca="1" si="8"/>
        <v>0</v>
      </c>
      <c r="M5" s="74">
        <f t="shared" ca="1" si="9"/>
        <v>0</v>
      </c>
      <c r="N5" s="74">
        <f t="shared" ca="1" si="10"/>
        <v>-81872253</v>
      </c>
      <c r="O5" s="74">
        <f t="shared" ca="1" si="11"/>
        <v>143464525</v>
      </c>
      <c r="P5" s="74">
        <f t="shared" ca="1" si="12"/>
        <v>0</v>
      </c>
      <c r="Q5" s="74">
        <f t="shared" ca="1" si="13"/>
        <v>143464525</v>
      </c>
    </row>
    <row r="6" spans="1:17" x14ac:dyDescent="0.2">
      <c r="A6" s="147">
        <v>396</v>
      </c>
      <c r="B6" s="148" t="str">
        <f>VLOOKUP( $A6, Aop!$A$2:$N$415, 2, 0)</f>
        <v>BPK</v>
      </c>
      <c r="C6" s="79" t="str">
        <f t="shared" si="0"/>
        <v>01494562</v>
      </c>
      <c r="D6" s="79" t="str">
        <f t="shared" si="1"/>
        <v>4400025960001</v>
      </c>
      <c r="E6" s="79" t="b">
        <f t="shared" si="2"/>
        <v>0</v>
      </c>
      <c r="F6" s="12">
        <f>VLOOKUP( $A6, Aop!$A$2:$N$415, 4, 0)</f>
        <v>905</v>
      </c>
      <c r="G6" s="79">
        <f t="shared" si="3"/>
        <v>2021</v>
      </c>
      <c r="H6" s="190">
        <f t="shared" si="4"/>
        <v>44377</v>
      </c>
      <c r="I6" s="79">
        <f t="shared" si="5"/>
        <v>2</v>
      </c>
      <c r="J6" s="74" t="str">
        <f t="shared" ca="1" si="6"/>
        <v/>
      </c>
      <c r="K6" s="74" t="str">
        <f t="shared" ca="1" si="7"/>
        <v/>
      </c>
      <c r="L6" s="74" t="str">
        <f t="shared" ca="1" si="8"/>
        <v/>
      </c>
      <c r="M6" s="74" t="str">
        <f t="shared" ca="1" si="9"/>
        <v/>
      </c>
      <c r="N6" s="74" t="str">
        <f t="shared" ca="1" si="10"/>
        <v/>
      </c>
      <c r="O6" s="74">
        <f t="shared" ca="1" si="11"/>
        <v>0</v>
      </c>
      <c r="P6" s="74" t="str">
        <f t="shared" ca="1" si="12"/>
        <v/>
      </c>
      <c r="Q6" s="74">
        <f t="shared" ca="1" si="13"/>
        <v>0</v>
      </c>
    </row>
    <row r="7" spans="1:17" x14ac:dyDescent="0.2">
      <c r="A7" s="147">
        <v>397</v>
      </c>
      <c r="B7" s="148" t="str">
        <f>VLOOKUP( $A7, Aop!$A$2:$N$415, 2, 0)</f>
        <v>BPK</v>
      </c>
      <c r="C7" s="79" t="str">
        <f t="shared" si="0"/>
        <v>01494562</v>
      </c>
      <c r="D7" s="79" t="str">
        <f t="shared" si="1"/>
        <v>4400025960001</v>
      </c>
      <c r="E7" s="79" t="b">
        <f t="shared" si="2"/>
        <v>0</v>
      </c>
      <c r="F7" s="12">
        <f>VLOOKUP( $A7, Aop!$A$2:$N$415, 4, 0)</f>
        <v>906</v>
      </c>
      <c r="G7" s="79">
        <f t="shared" si="3"/>
        <v>2021</v>
      </c>
      <c r="H7" s="190">
        <f t="shared" si="4"/>
        <v>44377</v>
      </c>
      <c r="I7" s="79">
        <f t="shared" si="5"/>
        <v>2</v>
      </c>
      <c r="J7" s="74" t="str">
        <f t="shared" ca="1" si="6"/>
        <v/>
      </c>
      <c r="K7" s="74" t="str">
        <f t="shared" ca="1" si="7"/>
        <v/>
      </c>
      <c r="L7" s="74" t="str">
        <f t="shared" ca="1" si="8"/>
        <v/>
      </c>
      <c r="M7" s="74" t="str">
        <f t="shared" ca="1" si="9"/>
        <v/>
      </c>
      <c r="N7" s="74" t="str">
        <f t="shared" ca="1" si="10"/>
        <v/>
      </c>
      <c r="O7" s="74">
        <f t="shared" ca="1" si="11"/>
        <v>0</v>
      </c>
      <c r="P7" s="74" t="str">
        <f t="shared" ca="1" si="12"/>
        <v/>
      </c>
      <c r="Q7" s="74">
        <f t="shared" ca="1" si="13"/>
        <v>0</v>
      </c>
    </row>
    <row r="8" spans="1:17" x14ac:dyDescent="0.2">
      <c r="A8" s="147">
        <v>398</v>
      </c>
      <c r="B8" s="148" t="str">
        <f>VLOOKUP( $A8, Aop!$A$2:$N$415, 2, 0)</f>
        <v>BPK</v>
      </c>
      <c r="C8" s="79" t="str">
        <f t="shared" si="0"/>
        <v>01494562</v>
      </c>
      <c r="D8" s="79" t="str">
        <f t="shared" si="1"/>
        <v>4400025960001</v>
      </c>
      <c r="E8" s="79" t="b">
        <f t="shared" si="2"/>
        <v>0</v>
      </c>
      <c r="F8" s="74">
        <f>VLOOKUP( $A8, Aop!$A$2:$N$415, 4, 0)</f>
        <v>907</v>
      </c>
      <c r="G8" s="79">
        <f t="shared" si="3"/>
        <v>2021</v>
      </c>
      <c r="H8" s="190">
        <f t="shared" si="4"/>
        <v>44377</v>
      </c>
      <c r="I8" s="79">
        <f t="shared" si="5"/>
        <v>2</v>
      </c>
      <c r="J8" s="74" t="str">
        <f t="shared" ca="1" si="6"/>
        <v/>
      </c>
      <c r="K8" s="74" t="str">
        <f t="shared" ca="1" si="7"/>
        <v/>
      </c>
      <c r="L8" s="74" t="str">
        <f t="shared" ca="1" si="8"/>
        <v/>
      </c>
      <c r="M8" s="74" t="str">
        <f t="shared" ca="1" si="9"/>
        <v/>
      </c>
      <c r="N8" s="74" t="str">
        <f t="shared" ca="1" si="10"/>
        <v/>
      </c>
      <c r="O8" s="74">
        <f t="shared" ca="1" si="11"/>
        <v>0</v>
      </c>
      <c r="P8" s="74" t="str">
        <f t="shared" ca="1" si="12"/>
        <v/>
      </c>
      <c r="Q8" s="74">
        <f t="shared" ca="1" si="13"/>
        <v>0</v>
      </c>
    </row>
    <row r="9" spans="1:17" x14ac:dyDescent="0.2">
      <c r="A9" s="147">
        <v>399</v>
      </c>
      <c r="B9" s="148" t="str">
        <f>VLOOKUP( $A9, Aop!$A$2:$N$415, 2, 0)</f>
        <v>BPK</v>
      </c>
      <c r="C9" s="79" t="str">
        <f t="shared" si="0"/>
        <v>01494562</v>
      </c>
      <c r="D9" s="79" t="str">
        <f t="shared" si="1"/>
        <v>4400025960001</v>
      </c>
      <c r="E9" s="79" t="b">
        <f t="shared" si="2"/>
        <v>0</v>
      </c>
      <c r="F9" s="74">
        <f>VLOOKUP( $A9, Aop!$A$2:$N$415, 4, 0)</f>
        <v>908</v>
      </c>
      <c r="G9" s="79">
        <f t="shared" si="3"/>
        <v>2021</v>
      </c>
      <c r="H9" s="190">
        <f t="shared" si="4"/>
        <v>44377</v>
      </c>
      <c r="I9" s="79">
        <f t="shared" si="5"/>
        <v>2</v>
      </c>
      <c r="J9" s="74" t="str">
        <f t="shared" ca="1" si="6"/>
        <v/>
      </c>
      <c r="K9" s="74" t="str">
        <f t="shared" ca="1" si="7"/>
        <v/>
      </c>
      <c r="L9" s="74" t="str">
        <f t="shared" ca="1" si="8"/>
        <v/>
      </c>
      <c r="M9" s="74" t="str">
        <f t="shared" ca="1" si="9"/>
        <v/>
      </c>
      <c r="N9" s="74">
        <f t="shared" ca="1" si="10"/>
        <v>-18525929</v>
      </c>
      <c r="O9" s="74">
        <f t="shared" ca="1" si="11"/>
        <v>-18525929</v>
      </c>
      <c r="P9" s="74" t="str">
        <f t="shared" ca="1" si="12"/>
        <v/>
      </c>
      <c r="Q9" s="74">
        <f t="shared" ca="1" si="13"/>
        <v>-18525929</v>
      </c>
    </row>
    <row r="10" spans="1:17" x14ac:dyDescent="0.2">
      <c r="A10" s="147">
        <v>400</v>
      </c>
      <c r="B10" s="148" t="str">
        <f>VLOOKUP( $A10, Aop!$A$2:$N$415, 2, 0)</f>
        <v>BPK</v>
      </c>
      <c r="C10" s="79" t="str">
        <f t="shared" si="0"/>
        <v>01494562</v>
      </c>
      <c r="D10" s="79" t="str">
        <f t="shared" si="1"/>
        <v>4400025960001</v>
      </c>
      <c r="E10" s="79" t="b">
        <f t="shared" si="2"/>
        <v>0</v>
      </c>
      <c r="F10" s="74">
        <f>VLOOKUP( $A10, Aop!$A$2:$N$415, 4, 0)</f>
        <v>909</v>
      </c>
      <c r="G10" s="79">
        <f t="shared" si="3"/>
        <v>2021</v>
      </c>
      <c r="H10" s="190">
        <f t="shared" si="4"/>
        <v>44377</v>
      </c>
      <c r="I10" s="79">
        <f t="shared" si="5"/>
        <v>2</v>
      </c>
      <c r="J10" s="74" t="str">
        <f t="shared" ca="1" si="6"/>
        <v/>
      </c>
      <c r="K10" s="74" t="str">
        <f t="shared" ca="1" si="7"/>
        <v/>
      </c>
      <c r="L10" s="74" t="str">
        <f t="shared" ca="1" si="8"/>
        <v/>
      </c>
      <c r="M10" s="74" t="str">
        <f t="shared" ca="1" si="9"/>
        <v/>
      </c>
      <c r="N10" s="74" t="str">
        <f t="shared" ca="1" si="10"/>
        <v/>
      </c>
      <c r="O10" s="74">
        <f t="shared" ca="1" si="11"/>
        <v>0</v>
      </c>
      <c r="P10" s="74" t="str">
        <f t="shared" ca="1" si="12"/>
        <v/>
      </c>
      <c r="Q10" s="74">
        <f t="shared" ca="1" si="13"/>
        <v>0</v>
      </c>
    </row>
    <row r="11" spans="1:17" x14ac:dyDescent="0.2">
      <c r="A11" s="147">
        <v>401</v>
      </c>
      <c r="B11" s="148" t="str">
        <f>VLOOKUP( $A11, Aop!$A$2:$N$415, 2, 0)</f>
        <v>BPK</v>
      </c>
      <c r="C11" s="79" t="str">
        <f t="shared" si="0"/>
        <v>01494562</v>
      </c>
      <c r="D11" s="79" t="str">
        <f t="shared" si="1"/>
        <v>4400025960001</v>
      </c>
      <c r="E11" s="79" t="b">
        <f t="shared" si="2"/>
        <v>0</v>
      </c>
      <c r="F11" s="74">
        <f>VLOOKUP( $A11, Aop!$A$2:$N$415, 4, 0)</f>
        <v>910</v>
      </c>
      <c r="G11" s="79">
        <f t="shared" si="3"/>
        <v>2021</v>
      </c>
      <c r="H11" s="190">
        <f t="shared" si="4"/>
        <v>44377</v>
      </c>
      <c r="I11" s="79">
        <f t="shared" si="5"/>
        <v>2</v>
      </c>
      <c r="J11" s="74" t="str">
        <f t="shared" ca="1" si="6"/>
        <v/>
      </c>
      <c r="K11" s="74" t="str">
        <f t="shared" ca="1" si="7"/>
        <v/>
      </c>
      <c r="L11" s="74" t="str">
        <f t="shared" ca="1" si="8"/>
        <v/>
      </c>
      <c r="M11" s="74" t="str">
        <f t="shared" ca="1" si="9"/>
        <v/>
      </c>
      <c r="N11" s="74" t="str">
        <f t="shared" ca="1" si="10"/>
        <v/>
      </c>
      <c r="O11" s="74">
        <f t="shared" ca="1" si="11"/>
        <v>0</v>
      </c>
      <c r="P11" s="74" t="str">
        <f t="shared" ca="1" si="12"/>
        <v/>
      </c>
      <c r="Q11" s="74">
        <f t="shared" ca="1" si="13"/>
        <v>0</v>
      </c>
    </row>
    <row r="12" spans="1:17" x14ac:dyDescent="0.2">
      <c r="A12" s="147">
        <v>402</v>
      </c>
      <c r="B12" s="148" t="str">
        <f>VLOOKUP( $A12, Aop!$A$2:$N$415, 2, 0)</f>
        <v>BPK</v>
      </c>
      <c r="C12" s="79" t="str">
        <f t="shared" si="0"/>
        <v>01494562</v>
      </c>
      <c r="D12" s="79" t="str">
        <f t="shared" si="1"/>
        <v>4400025960001</v>
      </c>
      <c r="E12" s="79" t="b">
        <f t="shared" si="2"/>
        <v>0</v>
      </c>
      <c r="F12" s="74">
        <f>VLOOKUP( $A12, Aop!$A$2:$N$415, 4, 0)</f>
        <v>911</v>
      </c>
      <c r="G12" s="79">
        <f t="shared" si="3"/>
        <v>2021</v>
      </c>
      <c r="H12" s="190">
        <f t="shared" si="4"/>
        <v>44377</v>
      </c>
      <c r="I12" s="79">
        <f t="shared" si="5"/>
        <v>2</v>
      </c>
      <c r="J12" s="74" t="str">
        <f t="shared" ca="1" si="6"/>
        <v/>
      </c>
      <c r="K12" s="74" t="str">
        <f t="shared" ca="1" si="7"/>
        <v/>
      </c>
      <c r="L12" s="74" t="str">
        <f t="shared" ca="1" si="8"/>
        <v/>
      </c>
      <c r="M12" s="74" t="str">
        <f t="shared" ca="1" si="9"/>
        <v/>
      </c>
      <c r="N12" s="74" t="str">
        <f t="shared" ca="1" si="10"/>
        <v/>
      </c>
      <c r="O12" s="74">
        <f t="shared" ca="1" si="11"/>
        <v>0</v>
      </c>
      <c r="P12" s="74" t="str">
        <f t="shared" ca="1" si="12"/>
        <v/>
      </c>
      <c r="Q12" s="74">
        <f t="shared" ca="1" si="13"/>
        <v>0</v>
      </c>
    </row>
    <row r="13" spans="1:17" x14ac:dyDescent="0.2">
      <c r="A13" s="147">
        <v>403</v>
      </c>
      <c r="B13" s="148" t="str">
        <f>VLOOKUP( $A13, Aop!$A$2:$N$415, 2, 0)</f>
        <v>BPK</v>
      </c>
      <c r="C13" s="79" t="str">
        <f t="shared" si="0"/>
        <v>01494562</v>
      </c>
      <c r="D13" s="79" t="str">
        <f t="shared" si="1"/>
        <v>4400025960001</v>
      </c>
      <c r="E13" s="79" t="b">
        <f t="shared" si="2"/>
        <v>0</v>
      </c>
      <c r="F13" s="74">
        <f>VLOOKUP( $A13, Aop!$A$2:$N$415, 4, 0)</f>
        <v>912</v>
      </c>
      <c r="G13" s="79">
        <f t="shared" si="3"/>
        <v>2021</v>
      </c>
      <c r="H13" s="190">
        <f t="shared" si="4"/>
        <v>44377</v>
      </c>
      <c r="I13" s="79">
        <f t="shared" si="5"/>
        <v>2</v>
      </c>
      <c r="J13" s="74">
        <f t="shared" ca="1" si="6"/>
        <v>50000</v>
      </c>
      <c r="K13" s="74">
        <f t="shared" ca="1" si="7"/>
        <v>225286778</v>
      </c>
      <c r="L13" s="74">
        <f t="shared" ca="1" si="8"/>
        <v>0</v>
      </c>
      <c r="M13" s="74">
        <f t="shared" ca="1" si="9"/>
        <v>0</v>
      </c>
      <c r="N13" s="74">
        <f t="shared" ca="1" si="10"/>
        <v>-100398182</v>
      </c>
      <c r="O13" s="74">
        <f t="shared" ca="1" si="11"/>
        <v>124938596</v>
      </c>
      <c r="P13" s="74">
        <f t="shared" ca="1" si="12"/>
        <v>0</v>
      </c>
      <c r="Q13" s="74">
        <f t="shared" ca="1" si="13"/>
        <v>124938596</v>
      </c>
    </row>
    <row r="14" spans="1:17" x14ac:dyDescent="0.2">
      <c r="A14" s="147">
        <v>404</v>
      </c>
      <c r="B14" s="148" t="str">
        <f>VLOOKUP( $A14, Aop!$A$2:$N$415, 2, 0)</f>
        <v>BPK</v>
      </c>
      <c r="C14" s="79" t="str">
        <f t="shared" si="0"/>
        <v>01494562</v>
      </c>
      <c r="D14" s="79" t="str">
        <f t="shared" si="1"/>
        <v>4400025960001</v>
      </c>
      <c r="E14" s="79" t="b">
        <f t="shared" si="2"/>
        <v>0</v>
      </c>
      <c r="F14" s="74">
        <f>VLOOKUP( $A14, Aop!$A$2:$N$415, 4, 0)</f>
        <v>913</v>
      </c>
      <c r="G14" s="79">
        <f t="shared" si="3"/>
        <v>2021</v>
      </c>
      <c r="H14" s="190">
        <f t="shared" si="4"/>
        <v>44377</v>
      </c>
      <c r="I14" s="79">
        <f t="shared" si="5"/>
        <v>2</v>
      </c>
      <c r="J14" s="74" t="str">
        <f t="shared" ca="1" si="6"/>
        <v/>
      </c>
      <c r="K14" s="74" t="str">
        <f t="shared" ca="1" si="7"/>
        <v/>
      </c>
      <c r="L14" s="74" t="str">
        <f t="shared" ca="1" si="8"/>
        <v/>
      </c>
      <c r="M14" s="74" t="str">
        <f t="shared" ca="1" si="9"/>
        <v/>
      </c>
      <c r="N14" s="74" t="str">
        <f t="shared" ca="1" si="10"/>
        <v/>
      </c>
      <c r="O14" s="74">
        <f t="shared" ca="1" si="11"/>
        <v>0</v>
      </c>
      <c r="P14" s="74" t="str">
        <f t="shared" ca="1" si="12"/>
        <v/>
      </c>
      <c r="Q14" s="74">
        <f t="shared" ca="1" si="13"/>
        <v>0</v>
      </c>
    </row>
    <row r="15" spans="1:17" x14ac:dyDescent="0.2">
      <c r="A15" s="147">
        <v>405</v>
      </c>
      <c r="B15" s="148" t="str">
        <f>VLOOKUP( $A15, Aop!$A$2:$N$415, 2, 0)</f>
        <v>BPK</v>
      </c>
      <c r="C15" s="79" t="str">
        <f t="shared" si="0"/>
        <v>01494562</v>
      </c>
      <c r="D15" s="79" t="str">
        <f t="shared" si="1"/>
        <v>4400025960001</v>
      </c>
      <c r="E15" s="79" t="b">
        <f t="shared" si="2"/>
        <v>0</v>
      </c>
      <c r="F15" s="74">
        <f>VLOOKUP( $A15, Aop!$A$2:$N$415, 4, 0)</f>
        <v>914</v>
      </c>
      <c r="G15" s="79">
        <f t="shared" si="3"/>
        <v>2021</v>
      </c>
      <c r="H15" s="190">
        <f t="shared" si="4"/>
        <v>44377</v>
      </c>
      <c r="I15" s="79">
        <f t="shared" si="5"/>
        <v>2</v>
      </c>
      <c r="J15" s="74" t="str">
        <f t="shared" ca="1" si="6"/>
        <v/>
      </c>
      <c r="K15" s="74" t="str">
        <f t="shared" ca="1" si="7"/>
        <v/>
      </c>
      <c r="L15" s="74" t="str">
        <f t="shared" ca="1" si="8"/>
        <v/>
      </c>
      <c r="M15" s="74" t="str">
        <f t="shared" ca="1" si="9"/>
        <v/>
      </c>
      <c r="N15" s="74" t="str">
        <f t="shared" ca="1" si="10"/>
        <v/>
      </c>
      <c r="O15" s="74">
        <f t="shared" ca="1" si="11"/>
        <v>0</v>
      </c>
      <c r="P15" s="74" t="str">
        <f t="shared" ca="1" si="12"/>
        <v/>
      </c>
      <c r="Q15" s="74">
        <f t="shared" ca="1" si="13"/>
        <v>0</v>
      </c>
    </row>
    <row r="16" spans="1:17" x14ac:dyDescent="0.2">
      <c r="A16" s="147">
        <v>406</v>
      </c>
      <c r="B16" s="148" t="str">
        <f>VLOOKUP( $A16, Aop!$A$2:$N$415, 2, 0)</f>
        <v>BPK</v>
      </c>
      <c r="C16" s="79" t="str">
        <f t="shared" si="0"/>
        <v>01494562</v>
      </c>
      <c r="D16" s="79" t="str">
        <f t="shared" si="1"/>
        <v>4400025960001</v>
      </c>
      <c r="E16" s="79" t="b">
        <f t="shared" si="2"/>
        <v>0</v>
      </c>
      <c r="F16" s="74">
        <f>VLOOKUP( $A16, Aop!$A$2:$N$415, 4, 0)</f>
        <v>915</v>
      </c>
      <c r="G16" s="79">
        <f t="shared" si="3"/>
        <v>2021</v>
      </c>
      <c r="H16" s="190">
        <f t="shared" si="4"/>
        <v>44377</v>
      </c>
      <c r="I16" s="79">
        <f t="shared" si="5"/>
        <v>2</v>
      </c>
      <c r="J16" s="74">
        <f t="shared" ca="1" si="6"/>
        <v>50000</v>
      </c>
      <c r="K16" s="74">
        <f t="shared" ca="1" si="7"/>
        <v>225286778</v>
      </c>
      <c r="L16" s="74">
        <f t="shared" ca="1" si="8"/>
        <v>0</v>
      </c>
      <c r="M16" s="74">
        <f t="shared" ca="1" si="9"/>
        <v>0</v>
      </c>
      <c r="N16" s="74">
        <f t="shared" ca="1" si="10"/>
        <v>-100398182</v>
      </c>
      <c r="O16" s="74">
        <f t="shared" ca="1" si="11"/>
        <v>124938596</v>
      </c>
      <c r="P16" s="74">
        <f t="shared" ca="1" si="12"/>
        <v>0</v>
      </c>
      <c r="Q16" s="74">
        <f t="shared" ca="1" si="13"/>
        <v>124938596</v>
      </c>
    </row>
    <row r="17" spans="1:17" x14ac:dyDescent="0.2">
      <c r="A17" s="147">
        <v>407</v>
      </c>
      <c r="B17" s="148" t="str">
        <f>VLOOKUP( $A17, Aop!$A$2:$N$415, 2, 0)</f>
        <v>BPK</v>
      </c>
      <c r="C17" s="79" t="str">
        <f t="shared" si="0"/>
        <v>01494562</v>
      </c>
      <c r="D17" s="79" t="str">
        <f t="shared" si="1"/>
        <v>4400025960001</v>
      </c>
      <c r="E17" s="79" t="b">
        <f t="shared" si="2"/>
        <v>0</v>
      </c>
      <c r="F17" s="74">
        <f>VLOOKUP( $A17, Aop!$A$2:$N$415, 4, 0)</f>
        <v>916</v>
      </c>
      <c r="G17" s="79">
        <f t="shared" si="3"/>
        <v>2021</v>
      </c>
      <c r="H17" s="190">
        <f t="shared" si="4"/>
        <v>44377</v>
      </c>
      <c r="I17" s="79">
        <f t="shared" si="5"/>
        <v>2</v>
      </c>
      <c r="J17" s="74" t="str">
        <f t="shared" ca="1" si="6"/>
        <v/>
      </c>
      <c r="K17" s="74" t="str">
        <f t="shared" ca="1" si="7"/>
        <v/>
      </c>
      <c r="L17" s="74" t="str">
        <f t="shared" ca="1" si="8"/>
        <v/>
      </c>
      <c r="M17" s="74" t="str">
        <f t="shared" ca="1" si="9"/>
        <v/>
      </c>
      <c r="N17" s="74" t="str">
        <f t="shared" ca="1" si="10"/>
        <v/>
      </c>
      <c r="O17" s="74">
        <f t="shared" ca="1" si="11"/>
        <v>0</v>
      </c>
      <c r="P17" s="74" t="str">
        <f t="shared" ca="1" si="12"/>
        <v/>
      </c>
      <c r="Q17" s="74">
        <f t="shared" ca="1" si="13"/>
        <v>0</v>
      </c>
    </row>
    <row r="18" spans="1:17" x14ac:dyDescent="0.2">
      <c r="A18" s="147">
        <v>408</v>
      </c>
      <c r="B18" s="148" t="str">
        <f>VLOOKUP( $A18, Aop!$A$2:$N$415, 2, 0)</f>
        <v>BPK</v>
      </c>
      <c r="C18" s="79" t="str">
        <f t="shared" si="0"/>
        <v>01494562</v>
      </c>
      <c r="D18" s="79" t="str">
        <f t="shared" si="1"/>
        <v>4400025960001</v>
      </c>
      <c r="E18" s="79" t="b">
        <f t="shared" si="2"/>
        <v>0</v>
      </c>
      <c r="F18" s="74">
        <f>VLOOKUP( $A18, Aop!$A$2:$N$415, 4, 0)</f>
        <v>917</v>
      </c>
      <c r="G18" s="79">
        <f t="shared" si="3"/>
        <v>2021</v>
      </c>
      <c r="H18" s="190">
        <f t="shared" si="4"/>
        <v>44377</v>
      </c>
      <c r="I18" s="79">
        <f t="shared" si="5"/>
        <v>2</v>
      </c>
      <c r="J18" s="74" t="str">
        <f t="shared" ca="1" si="6"/>
        <v/>
      </c>
      <c r="K18" s="74" t="str">
        <f t="shared" ca="1" si="7"/>
        <v/>
      </c>
      <c r="L18" s="74" t="str">
        <f t="shared" ca="1" si="8"/>
        <v/>
      </c>
      <c r="M18" s="74" t="str">
        <f t="shared" ca="1" si="9"/>
        <v/>
      </c>
      <c r="N18" s="74" t="str">
        <f t="shared" ca="1" si="10"/>
        <v/>
      </c>
      <c r="O18" s="74">
        <f t="shared" ca="1" si="11"/>
        <v>0</v>
      </c>
      <c r="P18" s="74" t="str">
        <f t="shared" ca="1" si="12"/>
        <v/>
      </c>
      <c r="Q18" s="74">
        <f t="shared" ca="1" si="13"/>
        <v>0</v>
      </c>
    </row>
    <row r="19" spans="1:17" x14ac:dyDescent="0.2">
      <c r="A19" s="147">
        <v>409</v>
      </c>
      <c r="B19" s="148" t="str">
        <f>VLOOKUP( $A19, Aop!$A$2:$N$415, 2, 0)</f>
        <v>BPK</v>
      </c>
      <c r="C19" s="79" t="str">
        <f t="shared" si="0"/>
        <v>01494562</v>
      </c>
      <c r="D19" s="79" t="str">
        <f t="shared" si="1"/>
        <v>4400025960001</v>
      </c>
      <c r="E19" s="79" t="b">
        <f t="shared" si="2"/>
        <v>0</v>
      </c>
      <c r="F19" s="74">
        <f>VLOOKUP( $A19, Aop!$A$2:$N$415, 4, 0)</f>
        <v>918</v>
      </c>
      <c r="G19" s="79">
        <f t="shared" si="3"/>
        <v>2021</v>
      </c>
      <c r="H19" s="190">
        <f t="shared" si="4"/>
        <v>44377</v>
      </c>
      <c r="I19" s="79">
        <f t="shared" si="5"/>
        <v>2</v>
      </c>
      <c r="J19" s="74" t="str">
        <f t="shared" ca="1" si="6"/>
        <v/>
      </c>
      <c r="K19" s="74" t="str">
        <f t="shared" ca="1" si="7"/>
        <v/>
      </c>
      <c r="L19" s="74" t="str">
        <f t="shared" ca="1" si="8"/>
        <v/>
      </c>
      <c r="M19" s="74" t="str">
        <f t="shared" ca="1" si="9"/>
        <v/>
      </c>
      <c r="N19" s="74" t="str">
        <f t="shared" ca="1" si="10"/>
        <v/>
      </c>
      <c r="O19" s="74">
        <f t="shared" ca="1" si="11"/>
        <v>0</v>
      </c>
      <c r="P19" s="74" t="str">
        <f t="shared" ca="1" si="12"/>
        <v/>
      </c>
      <c r="Q19" s="74">
        <f t="shared" ca="1" si="13"/>
        <v>0</v>
      </c>
    </row>
    <row r="20" spans="1:17" x14ac:dyDescent="0.2">
      <c r="A20" s="147">
        <v>410</v>
      </c>
      <c r="B20" s="153" t="str">
        <f>VLOOKUP( $A20, Aop!$A$2:$N$415, 2, 0)</f>
        <v>BPK</v>
      </c>
      <c r="C20" s="79" t="str">
        <f t="shared" si="0"/>
        <v>01494562</v>
      </c>
      <c r="D20" s="79" t="str">
        <f t="shared" si="1"/>
        <v>4400025960001</v>
      </c>
      <c r="E20" s="79" t="b">
        <f t="shared" si="2"/>
        <v>0</v>
      </c>
      <c r="F20" s="74">
        <f>VLOOKUP( $A20, Aop!$A$2:$N$415, 4, 0)</f>
        <v>919</v>
      </c>
      <c r="G20" s="79">
        <f t="shared" si="3"/>
        <v>2021</v>
      </c>
      <c r="H20" s="190">
        <f t="shared" si="4"/>
        <v>44377</v>
      </c>
      <c r="I20" s="79">
        <f t="shared" si="5"/>
        <v>2</v>
      </c>
      <c r="J20" s="74" t="str">
        <f t="shared" ca="1" si="6"/>
        <v/>
      </c>
      <c r="K20" s="74" t="str">
        <f t="shared" ca="1" si="7"/>
        <v/>
      </c>
      <c r="L20" s="74" t="str">
        <f t="shared" ca="1" si="8"/>
        <v/>
      </c>
      <c r="M20" s="74" t="str">
        <f t="shared" ca="1" si="9"/>
        <v/>
      </c>
      <c r="N20" s="74">
        <f t="shared" ca="1" si="10"/>
        <v>-4457963</v>
      </c>
      <c r="O20" s="74">
        <f t="shared" ca="1" si="11"/>
        <v>-4457963</v>
      </c>
      <c r="P20" s="74" t="str">
        <f t="shared" ca="1" si="12"/>
        <v/>
      </c>
      <c r="Q20" s="74">
        <f t="shared" ca="1" si="13"/>
        <v>-4457963</v>
      </c>
    </row>
    <row r="21" spans="1:17" x14ac:dyDescent="0.2">
      <c r="A21" s="147">
        <v>411</v>
      </c>
      <c r="B21" s="374" t="str">
        <f>VLOOKUP( $A21, Aop!$A$2:$N$415, 2, 0)</f>
        <v>BPK</v>
      </c>
      <c r="C21" s="74" t="str">
        <f>Podatak_MB</f>
        <v>01494562</v>
      </c>
      <c r="D21" s="74" t="str">
        <f>Podatak_JIB</f>
        <v>4400025960001</v>
      </c>
      <c r="E21" s="74" t="b">
        <f>Konsolidovan_izvjestaj</f>
        <v>0</v>
      </c>
      <c r="F21" s="74">
        <f>VLOOKUP( $A21, Aop!$A$2:$N$415, 4, 0)</f>
        <v>920</v>
      </c>
      <c r="G21" s="74">
        <f>Godina</f>
        <v>2021</v>
      </c>
      <c r="H21" s="373">
        <f>Datum_Broj</f>
        <v>44377</v>
      </c>
      <c r="I21" s="74">
        <f>ID_Izvjestaj</f>
        <v>2</v>
      </c>
      <c r="J21" s="74" t="str">
        <f t="shared" ref="J21:J24" ca="1" si="14">IF(VLOOKUP($F21,INDIRECT("Lookup_"&amp;$B21),J$1-1,0)="","",VLOOKUP($F21,INDIRECT("Lookup_"&amp;$B21),J$1-1,0))</f>
        <v/>
      </c>
      <c r="K21" s="74" t="str">
        <f t="shared" ref="K21:K24" ca="1" si="15">IF(VLOOKUP($F21,INDIRECT("Lookup_"&amp;$B21),K$1-1,0)="","",VLOOKUP($F21,INDIRECT("Lookup_"&amp;$B21),K$1-1,0))</f>
        <v/>
      </c>
      <c r="L21" s="74" t="str">
        <f t="shared" ref="L21:L24" ca="1" si="16">IF(VLOOKUP($F21,INDIRECT("Lookup_"&amp;$B21),L$1-1,0)="","",VLOOKUP($F21,INDIRECT("Lookup_"&amp;$B21),L$1-1,0))</f>
        <v/>
      </c>
      <c r="M21" s="74" t="str">
        <f t="shared" ref="M21:M24" ca="1" si="17">IF(VLOOKUP($F21,INDIRECT("Lookup_"&amp;$B21),M$1-1,0)="","",VLOOKUP($F21,INDIRECT("Lookup_"&amp;$B21),M$1-1,0))</f>
        <v/>
      </c>
      <c r="N21" s="74" t="str">
        <f t="shared" ref="N21:N24" ca="1" si="18">IF(VLOOKUP($F21,INDIRECT("Lookup_"&amp;$B21),N$1-1,0)="","",VLOOKUP($F21,INDIRECT("Lookup_"&amp;$B21),N$1-1,0))</f>
        <v/>
      </c>
      <c r="O21" s="74">
        <f t="shared" ref="O21:O24" ca="1" si="19">IF(VLOOKUP($F21,INDIRECT("Lookup_"&amp;$B21),O$1-1,0)="","",VLOOKUP($F21,INDIRECT("Lookup_"&amp;$B21),O$1-1,0))</f>
        <v>0</v>
      </c>
      <c r="P21" s="74" t="str">
        <f t="shared" ref="P21:P24" ca="1" si="20">IF(VLOOKUP($F21,INDIRECT("Lookup_"&amp;$B21),P$1-1,0)="","",VLOOKUP($F21,INDIRECT("Lookup_"&amp;$B21),P$1-1,0))</f>
        <v/>
      </c>
      <c r="Q21" s="74">
        <f t="shared" ref="Q21:Q24" ca="1" si="21">IF(VLOOKUP($F21,INDIRECT("Lookup_"&amp;$B21),Q$1-1,0)="","",VLOOKUP($F21,INDIRECT("Lookup_"&amp;$B21),Q$1-1,0))</f>
        <v>0</v>
      </c>
    </row>
    <row r="22" spans="1:17" x14ac:dyDescent="0.2">
      <c r="A22" s="147">
        <v>412</v>
      </c>
      <c r="B22" s="374" t="str">
        <f>VLOOKUP( $A22, Aop!$A$2:$N$415, 2, 0)</f>
        <v>BPK</v>
      </c>
      <c r="C22" s="74" t="str">
        <f>Podatak_MB</f>
        <v>01494562</v>
      </c>
      <c r="D22" s="74" t="str">
        <f>Podatak_JIB</f>
        <v>4400025960001</v>
      </c>
      <c r="E22" s="74" t="b">
        <f>Konsolidovan_izvjestaj</f>
        <v>0</v>
      </c>
      <c r="F22" s="74">
        <f>VLOOKUP( $A22, Aop!$A$2:$N$415, 4, 0)</f>
        <v>921</v>
      </c>
      <c r="G22" s="74">
        <f>Godina</f>
        <v>2021</v>
      </c>
      <c r="H22" s="373">
        <f>Datum_Broj</f>
        <v>44377</v>
      </c>
      <c r="I22" s="74">
        <f>ID_Izvjestaj</f>
        <v>2</v>
      </c>
      <c r="J22" s="74" t="str">
        <f t="shared" ca="1" si="14"/>
        <v/>
      </c>
      <c r="K22" s="74" t="str">
        <f t="shared" ca="1" si="15"/>
        <v/>
      </c>
      <c r="L22" s="74" t="str">
        <f t="shared" ca="1" si="16"/>
        <v/>
      </c>
      <c r="M22" s="74" t="str">
        <f t="shared" ca="1" si="17"/>
        <v/>
      </c>
      <c r="N22" s="74" t="str">
        <f t="shared" ca="1" si="18"/>
        <v/>
      </c>
      <c r="O22" s="74">
        <f t="shared" ca="1" si="19"/>
        <v>0</v>
      </c>
      <c r="P22" s="74" t="str">
        <f t="shared" ca="1" si="20"/>
        <v/>
      </c>
      <c r="Q22" s="74">
        <f t="shared" ca="1" si="21"/>
        <v>0</v>
      </c>
    </row>
    <row r="23" spans="1:17" x14ac:dyDescent="0.2">
      <c r="A23" s="147">
        <v>413</v>
      </c>
      <c r="B23" s="374" t="str">
        <f>VLOOKUP( $A23, Aop!$A$2:$N$415, 2, 0)</f>
        <v>BPK</v>
      </c>
      <c r="C23" s="74" t="str">
        <f>Podatak_MB</f>
        <v>01494562</v>
      </c>
      <c r="D23" s="74" t="str">
        <f>Podatak_JIB</f>
        <v>4400025960001</v>
      </c>
      <c r="E23" s="74" t="b">
        <f>Konsolidovan_izvjestaj</f>
        <v>0</v>
      </c>
      <c r="F23" s="74">
        <f>VLOOKUP( $A23, Aop!$A$2:$N$415, 4, 0)</f>
        <v>922</v>
      </c>
      <c r="G23" s="74">
        <f>Godina</f>
        <v>2021</v>
      </c>
      <c r="H23" s="373">
        <f>Datum_Broj</f>
        <v>44377</v>
      </c>
      <c r="I23" s="74">
        <f>ID_Izvjestaj</f>
        <v>2</v>
      </c>
      <c r="J23" s="74" t="str">
        <f t="shared" ca="1" si="14"/>
        <v/>
      </c>
      <c r="K23" s="74" t="str">
        <f t="shared" ca="1" si="15"/>
        <v/>
      </c>
      <c r="L23" s="74" t="str">
        <f t="shared" ca="1" si="16"/>
        <v/>
      </c>
      <c r="M23" s="74" t="str">
        <f t="shared" ca="1" si="17"/>
        <v/>
      </c>
      <c r="N23" s="74" t="str">
        <f t="shared" ca="1" si="18"/>
        <v/>
      </c>
      <c r="O23" s="74">
        <f t="shared" ca="1" si="19"/>
        <v>0</v>
      </c>
      <c r="P23" s="74" t="str">
        <f t="shared" ca="1" si="20"/>
        <v/>
      </c>
      <c r="Q23" s="74">
        <f t="shared" ca="1" si="21"/>
        <v>0</v>
      </c>
    </row>
    <row r="24" spans="1:17" x14ac:dyDescent="0.2">
      <c r="A24" s="147">
        <v>414</v>
      </c>
      <c r="B24" s="374" t="str">
        <f>VLOOKUP( $A24, Aop!$A$2:$N$415, 2, 0)</f>
        <v>BPK</v>
      </c>
      <c r="C24" s="74" t="str">
        <f>Podatak_MB</f>
        <v>01494562</v>
      </c>
      <c r="D24" s="74" t="str">
        <f>Podatak_JIB</f>
        <v>4400025960001</v>
      </c>
      <c r="E24" s="74" t="b">
        <f>Konsolidovan_izvjestaj</f>
        <v>0</v>
      </c>
      <c r="F24" s="74">
        <f>VLOOKUP( $A24, Aop!$A$2:$N$415, 4, 0)</f>
        <v>923</v>
      </c>
      <c r="G24" s="74">
        <f>Godina</f>
        <v>2021</v>
      </c>
      <c r="H24" s="373">
        <f>Datum_Broj</f>
        <v>44377</v>
      </c>
      <c r="I24" s="74">
        <f>ID_Izvjestaj</f>
        <v>2</v>
      </c>
      <c r="J24" s="74">
        <f t="shared" ca="1" si="14"/>
        <v>50000</v>
      </c>
      <c r="K24" s="74">
        <f t="shared" ca="1" si="15"/>
        <v>225286778</v>
      </c>
      <c r="L24" s="74">
        <f t="shared" ca="1" si="16"/>
        <v>0</v>
      </c>
      <c r="M24" s="74">
        <f t="shared" ca="1" si="17"/>
        <v>0</v>
      </c>
      <c r="N24" s="74">
        <f t="shared" ca="1" si="18"/>
        <v>-104856145</v>
      </c>
      <c r="O24" s="74">
        <f t="shared" ca="1" si="19"/>
        <v>120480633</v>
      </c>
      <c r="P24" s="74">
        <f t="shared" ca="1" si="20"/>
        <v>0</v>
      </c>
      <c r="Q24" s="74">
        <f t="shared" ca="1" si="21"/>
        <v>120480633</v>
      </c>
    </row>
  </sheetData>
  <sheetProtection password="832E" sheet="1" objects="1" scenarios="1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9"/>
  </sheetPr>
  <dimension ref="B1:P402"/>
  <sheetViews>
    <sheetView showGridLines="0" showRowColHeaders="0" zoomScale="115" zoomScaleNormal="115" workbookViewId="0">
      <pane ySplit="1" topLeftCell="A101" activePane="bottomLeft" state="frozen"/>
      <selection pane="bottomLeft" activeCell="B38" sqref="B38"/>
    </sheetView>
  </sheetViews>
  <sheetFormatPr defaultRowHeight="12.75" x14ac:dyDescent="0.2"/>
  <cols>
    <col min="1" max="1" width="9.140625" style="8"/>
    <col min="2" max="2" width="8.42578125" style="8" customWidth="1"/>
    <col min="3" max="3" width="5.7109375" style="8" customWidth="1"/>
    <col min="4" max="11" width="9.5703125" style="8" customWidth="1"/>
    <col min="12" max="13" width="11.140625" style="8" hidden="1" customWidth="1"/>
    <col min="14" max="14" width="9.42578125" style="8" customWidth="1"/>
    <col min="15" max="15" width="4.7109375" style="8" customWidth="1"/>
    <col min="16" max="16" width="12.42578125" style="8" bestFit="1" customWidth="1"/>
    <col min="17" max="17" width="8.5703125" style="8" bestFit="1" customWidth="1"/>
    <col min="18" max="18" width="13.140625" style="8" bestFit="1" customWidth="1"/>
    <col min="19" max="19" width="13.28515625" style="8" bestFit="1" customWidth="1"/>
    <col min="20" max="16384" width="9.140625" style="8"/>
  </cols>
  <sheetData>
    <row r="1" spans="2:16" ht="29.25" customHeight="1" x14ac:dyDescent="0.2">
      <c r="B1" s="259" t="s">
        <v>2030</v>
      </c>
      <c r="C1" s="259" t="s">
        <v>285</v>
      </c>
      <c r="D1" s="259" t="s">
        <v>2031</v>
      </c>
      <c r="E1" s="259" t="s">
        <v>2032</v>
      </c>
      <c r="F1" s="259" t="s">
        <v>2033</v>
      </c>
      <c r="G1" s="259" t="s">
        <v>2034</v>
      </c>
      <c r="H1" s="259" t="s">
        <v>2035</v>
      </c>
      <c r="I1" s="259" t="s">
        <v>2036</v>
      </c>
      <c r="J1" s="259" t="s">
        <v>2037</v>
      </c>
      <c r="K1" s="259" t="s">
        <v>2038</v>
      </c>
      <c r="L1" s="381" t="s">
        <v>408</v>
      </c>
      <c r="M1" s="381" t="s">
        <v>535</v>
      </c>
      <c r="P1" s="382" t="s">
        <v>2045</v>
      </c>
    </row>
    <row r="2" spans="2:16" x14ac:dyDescent="0.2">
      <c r="B2" s="8">
        <f>VLOOKUP( T_ApifImport[[#This Row],[Bilans]], T_Bilansi[], 4, 0)</f>
        <v>1</v>
      </c>
      <c r="C2" s="377">
        <f>VLOOKUP( T_ApifImport[[#This Row],[Id]], T_Aop[], 4, 0)</f>
        <v>1</v>
      </c>
      <c r="D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1972811720</v>
      </c>
      <c r="E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1552617823</v>
      </c>
      <c r="F2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420193897</v>
      </c>
      <c r="G2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423688779</v>
      </c>
      <c r="H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" s="8">
        <v>2</v>
      </c>
      <c r="M2" s="8" t="str">
        <f>VLOOKUP( T_ApifImport[[#This Row],[Id]], T_Aop[], 2, 0)</f>
        <v>BSa</v>
      </c>
      <c r="O2" s="8">
        <v>1</v>
      </c>
      <c r="P2" s="8" t="s">
        <v>2048</v>
      </c>
    </row>
    <row r="3" spans="2:16" x14ac:dyDescent="0.2">
      <c r="B3" s="8">
        <f>VLOOKUP( T_ApifImport[[#This Row],[Bilans]], T_Bilansi[], 4, 0)</f>
        <v>1</v>
      </c>
      <c r="C3" s="377">
        <f>VLOOKUP( T_ApifImport[[#This Row],[Id]], T_Aop[], 4, 0)</f>
        <v>2</v>
      </c>
      <c r="D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224412</v>
      </c>
      <c r="E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222591</v>
      </c>
      <c r="F3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1821</v>
      </c>
      <c r="G3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2428</v>
      </c>
      <c r="H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" s="8">
        <v>3</v>
      </c>
      <c r="M3" s="8" t="s">
        <v>2040</v>
      </c>
    </row>
    <row r="4" spans="2:16" x14ac:dyDescent="0.2">
      <c r="B4" s="8">
        <f>VLOOKUP( T_ApifImport[[#This Row],[Bilans]], T_Bilansi[], 4, 0)</f>
        <v>1</v>
      </c>
      <c r="C4" s="377">
        <f>VLOOKUP( T_ApifImport[[#This Row],[Id]], T_Aop[], 4, 0)</f>
        <v>3</v>
      </c>
      <c r="D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4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4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4" s="8">
        <v>4</v>
      </c>
      <c r="M4" s="8" t="s">
        <v>2040</v>
      </c>
    </row>
    <row r="5" spans="2:16" x14ac:dyDescent="0.2">
      <c r="B5" s="8">
        <f>VLOOKUP( T_ApifImport[[#This Row],[Bilans]], T_Bilansi[], 4, 0)</f>
        <v>1</v>
      </c>
      <c r="C5" s="377">
        <f>VLOOKUP( T_ApifImport[[#This Row],[Id]], T_Aop[], 4, 0)</f>
        <v>4</v>
      </c>
      <c r="D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5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5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5" s="8">
        <v>5</v>
      </c>
      <c r="M5" s="8" t="s">
        <v>2040</v>
      </c>
    </row>
    <row r="6" spans="2:16" x14ac:dyDescent="0.2">
      <c r="B6" s="8">
        <f>VLOOKUP( T_ApifImport[[#This Row],[Bilans]], T_Bilansi[], 4, 0)</f>
        <v>1</v>
      </c>
      <c r="C6" s="377">
        <f>VLOOKUP( T_ApifImport[[#This Row],[Id]], T_Aop[], 4, 0)</f>
        <v>5</v>
      </c>
      <c r="D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6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6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6" s="8">
        <v>6</v>
      </c>
      <c r="M6" s="8" t="s">
        <v>2040</v>
      </c>
    </row>
    <row r="7" spans="2:16" x14ac:dyDescent="0.2">
      <c r="B7" s="8">
        <f>VLOOKUP( T_ApifImport[[#This Row],[Bilans]], T_Bilansi[], 4, 0)</f>
        <v>1</v>
      </c>
      <c r="C7" s="377">
        <f>VLOOKUP( T_ApifImport[[#This Row],[Id]], T_Aop[], 4, 0)</f>
        <v>6</v>
      </c>
      <c r="D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224412</v>
      </c>
      <c r="E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222591</v>
      </c>
      <c r="F7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1821</v>
      </c>
      <c r="G7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2428</v>
      </c>
      <c r="H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7" s="8">
        <v>7</v>
      </c>
      <c r="M7" s="8" t="s">
        <v>2040</v>
      </c>
    </row>
    <row r="8" spans="2:16" x14ac:dyDescent="0.2">
      <c r="B8" s="8">
        <f>VLOOKUP( T_ApifImport[[#This Row],[Bilans]], T_Bilansi[], 4, 0)</f>
        <v>1</v>
      </c>
      <c r="C8" s="377">
        <f>VLOOKUP( T_ApifImport[[#This Row],[Id]], T_Aop[], 4, 0)</f>
        <v>7</v>
      </c>
      <c r="D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8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8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8" s="8">
        <v>8</v>
      </c>
      <c r="M8" s="8" t="s">
        <v>2040</v>
      </c>
    </row>
    <row r="9" spans="2:16" x14ac:dyDescent="0.2">
      <c r="B9" s="8">
        <f>VLOOKUP( T_ApifImport[[#This Row],[Bilans]], T_Bilansi[], 4, 0)</f>
        <v>1</v>
      </c>
      <c r="C9" s="377">
        <f>VLOOKUP( T_ApifImport[[#This Row],[Id]], T_Aop[], 4, 0)</f>
        <v>8</v>
      </c>
      <c r="D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1972540919</v>
      </c>
      <c r="E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1552395232</v>
      </c>
      <c r="F9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420145687</v>
      </c>
      <c r="G9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423639962</v>
      </c>
      <c r="H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9" s="8">
        <v>9</v>
      </c>
      <c r="M9" s="8" t="s">
        <v>2040</v>
      </c>
    </row>
    <row r="10" spans="2:16" x14ac:dyDescent="0.2">
      <c r="B10" s="8">
        <f>VLOOKUP( T_ApifImport[[#This Row],[Bilans]], T_Bilansi[], 4, 0)</f>
        <v>1</v>
      </c>
      <c r="C10" s="377">
        <f>VLOOKUP( T_ApifImport[[#This Row],[Id]], T_Aop[], 4, 0)</f>
        <v>9</v>
      </c>
      <c r="D1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91872475</v>
      </c>
      <c r="E1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0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91872475</v>
      </c>
      <c r="G10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91872475</v>
      </c>
      <c r="H1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0" s="8">
        <v>10</v>
      </c>
      <c r="M10" s="8" t="s">
        <v>2040</v>
      </c>
    </row>
    <row r="11" spans="2:16" x14ac:dyDescent="0.2">
      <c r="B11" s="8">
        <f>VLOOKUP( T_ApifImport[[#This Row],[Bilans]], T_Bilansi[], 4, 0)</f>
        <v>1</v>
      </c>
      <c r="C11" s="377">
        <f>VLOOKUP( T_ApifImport[[#This Row],[Id]], T_Aop[], 4, 0)</f>
        <v>10</v>
      </c>
      <c r="D1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1017873178</v>
      </c>
      <c r="E1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782681422</v>
      </c>
      <c r="F11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235191756</v>
      </c>
      <c r="G11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237915912</v>
      </c>
      <c r="H1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1" s="8">
        <v>11</v>
      </c>
      <c r="M11" s="8" t="s">
        <v>2040</v>
      </c>
    </row>
    <row r="12" spans="2:16" x14ac:dyDescent="0.2">
      <c r="B12" s="8">
        <f>VLOOKUP( T_ApifImport[[#This Row],[Bilans]], T_Bilansi[], 4, 0)</f>
        <v>1</v>
      </c>
      <c r="C12" s="377">
        <f>VLOOKUP( T_ApifImport[[#This Row],[Id]], T_Aop[], 4, 0)</f>
        <v>11</v>
      </c>
      <c r="D1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854384373</v>
      </c>
      <c r="E1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769122239</v>
      </c>
      <c r="F12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85262134</v>
      </c>
      <c r="G12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86685035</v>
      </c>
      <c r="H1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2" s="8">
        <v>12</v>
      </c>
      <c r="M12" s="8" t="s">
        <v>2040</v>
      </c>
      <c r="O12" s="8">
        <v>2</v>
      </c>
      <c r="P12" s="8" t="s">
        <v>2046</v>
      </c>
    </row>
    <row r="13" spans="2:16" x14ac:dyDescent="0.2">
      <c r="B13" s="8">
        <f>VLOOKUP( T_ApifImport[[#This Row],[Bilans]], T_Bilansi[], 4, 0)</f>
        <v>1</v>
      </c>
      <c r="C13" s="377">
        <f>VLOOKUP( T_ApifImport[[#This Row],[Id]], T_Aop[], 4, 0)</f>
        <v>12</v>
      </c>
      <c r="D1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1268839</v>
      </c>
      <c r="E1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65316</v>
      </c>
      <c r="F13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1203523</v>
      </c>
      <c r="G13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1207521</v>
      </c>
      <c r="H1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3" s="8">
        <v>13</v>
      </c>
      <c r="M13" s="8" t="s">
        <v>2040</v>
      </c>
      <c r="O13" s="8">
        <v>3</v>
      </c>
      <c r="P13" s="8" t="s">
        <v>2047</v>
      </c>
    </row>
    <row r="14" spans="2:16" x14ac:dyDescent="0.2">
      <c r="B14" s="8">
        <f>VLOOKUP( T_ApifImport[[#This Row],[Bilans]], T_Bilansi[], 4, 0)</f>
        <v>1</v>
      </c>
      <c r="C14" s="377">
        <f>VLOOKUP( T_ApifImport[[#This Row],[Id]], T_Aop[], 4, 0)</f>
        <v>13</v>
      </c>
      <c r="D1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4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14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1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4" s="8">
        <v>14</v>
      </c>
      <c r="M14" s="8" t="s">
        <v>2040</v>
      </c>
    </row>
    <row r="15" spans="2:16" x14ac:dyDescent="0.2">
      <c r="B15" s="8">
        <f>VLOOKUP( T_ApifImport[[#This Row],[Bilans]], T_Bilansi[], 4, 0)</f>
        <v>1</v>
      </c>
      <c r="C15" s="377">
        <f>VLOOKUP( T_ApifImport[[#This Row],[Id]], T_Aop[], 4, 0)</f>
        <v>14</v>
      </c>
      <c r="D1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7142054</v>
      </c>
      <c r="E1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526255</v>
      </c>
      <c r="F15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6615799</v>
      </c>
      <c r="G15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5959019</v>
      </c>
      <c r="H1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5" s="8">
        <v>15</v>
      </c>
      <c r="M15" s="8" t="s">
        <v>2040</v>
      </c>
    </row>
    <row r="16" spans="2:16" x14ac:dyDescent="0.2">
      <c r="B16" s="8">
        <f>VLOOKUP( T_ApifImport[[#This Row],[Bilans]], T_Bilansi[], 4, 0)</f>
        <v>1</v>
      </c>
      <c r="C16" s="377">
        <f>VLOOKUP( T_ApifImport[[#This Row],[Id]], T_Aop[], 4, 0)</f>
        <v>15</v>
      </c>
      <c r="D1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46389</v>
      </c>
      <c r="E1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6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46389</v>
      </c>
      <c r="G16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46389</v>
      </c>
      <c r="H1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6" s="8">
        <v>16</v>
      </c>
      <c r="M16" s="8" t="s">
        <v>2040</v>
      </c>
    </row>
    <row r="17" spans="2:13" x14ac:dyDescent="0.2">
      <c r="B17" s="8">
        <f>VLOOKUP( T_ApifImport[[#This Row],[Bilans]], T_Bilansi[], 4, 0)</f>
        <v>1</v>
      </c>
      <c r="C17" s="377">
        <f>VLOOKUP( T_ApifImport[[#This Row],[Id]], T_Aop[], 4, 0)</f>
        <v>16</v>
      </c>
      <c r="D1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7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17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1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7" s="8">
        <v>17</v>
      </c>
      <c r="M17" s="8" t="s">
        <v>2040</v>
      </c>
    </row>
    <row r="18" spans="2:13" x14ac:dyDescent="0.2">
      <c r="B18" s="8">
        <f>VLOOKUP( T_ApifImport[[#This Row],[Bilans]], T_Bilansi[], 4, 0)</f>
        <v>1</v>
      </c>
      <c r="C18" s="377">
        <f>VLOOKUP( T_ApifImport[[#This Row],[Id]], T_Aop[], 4, 0)</f>
        <v>17</v>
      </c>
      <c r="D1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8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18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1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8" s="8">
        <v>18</v>
      </c>
      <c r="M18" s="8" t="s">
        <v>2040</v>
      </c>
    </row>
    <row r="19" spans="2:13" x14ac:dyDescent="0.2">
      <c r="B19" s="8">
        <f>VLOOKUP( T_ApifImport[[#This Row],[Bilans]], T_Bilansi[], 4, 0)</f>
        <v>1</v>
      </c>
      <c r="C19" s="377">
        <f>VLOOKUP( T_ApifImport[[#This Row],[Id]], T_Aop[], 4, 0)</f>
        <v>18</v>
      </c>
      <c r="D1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9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19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1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9" s="8">
        <v>19</v>
      </c>
      <c r="M19" s="8" t="s">
        <v>2040</v>
      </c>
    </row>
    <row r="20" spans="2:13" x14ac:dyDescent="0.2">
      <c r="B20" s="8">
        <f>VLOOKUP( T_ApifImport[[#This Row],[Bilans]], T_Bilansi[], 4, 0)</f>
        <v>1</v>
      </c>
      <c r="C20" s="377">
        <f>VLOOKUP( T_ApifImport[[#This Row],[Id]], T_Aop[], 4, 0)</f>
        <v>19</v>
      </c>
      <c r="D2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46389</v>
      </c>
      <c r="E2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0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46389</v>
      </c>
      <c r="G20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46389</v>
      </c>
      <c r="H2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0" s="8">
        <v>20</v>
      </c>
      <c r="M20" s="8" t="s">
        <v>2040</v>
      </c>
    </row>
    <row r="21" spans="2:13" x14ac:dyDescent="0.2">
      <c r="B21" s="8">
        <f>VLOOKUP( T_ApifImport[[#This Row],[Bilans]], T_Bilansi[], 4, 0)</f>
        <v>1</v>
      </c>
      <c r="C21" s="377">
        <f>VLOOKUP( T_ApifImport[[#This Row],[Id]], T_Aop[], 4, 0)</f>
        <v>20</v>
      </c>
      <c r="D2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1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21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2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1" s="8">
        <v>21</v>
      </c>
      <c r="M21" s="8" t="s">
        <v>2040</v>
      </c>
    </row>
    <row r="22" spans="2:13" x14ac:dyDescent="0.2">
      <c r="B22" s="8">
        <f>VLOOKUP( T_ApifImport[[#This Row],[Bilans]], T_Bilansi[], 4, 0)</f>
        <v>1</v>
      </c>
      <c r="C22" s="377">
        <f>VLOOKUP( T_ApifImport[[#This Row],[Id]], T_Aop[], 4, 0)</f>
        <v>21</v>
      </c>
      <c r="D2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2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22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2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2" s="8">
        <v>22</v>
      </c>
      <c r="M22" s="8" t="s">
        <v>2040</v>
      </c>
    </row>
    <row r="23" spans="2:13" x14ac:dyDescent="0.2">
      <c r="B23" s="8">
        <f>VLOOKUP( T_ApifImport[[#This Row],[Bilans]], T_Bilansi[], 4, 0)</f>
        <v>1</v>
      </c>
      <c r="C23" s="377">
        <f>VLOOKUP( T_ApifImport[[#This Row],[Id]], T_Aop[], 4, 0)</f>
        <v>22</v>
      </c>
      <c r="D2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3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23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2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3" s="8">
        <v>23</v>
      </c>
      <c r="M23" s="8" t="s">
        <v>2040</v>
      </c>
    </row>
    <row r="24" spans="2:13" x14ac:dyDescent="0.2">
      <c r="B24" s="8">
        <f>VLOOKUP( T_ApifImport[[#This Row],[Bilans]], T_Bilansi[], 4, 0)</f>
        <v>1</v>
      </c>
      <c r="C24" s="377">
        <f>VLOOKUP( T_ApifImport[[#This Row],[Id]], T_Aop[], 4, 0)</f>
        <v>23</v>
      </c>
      <c r="D2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4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24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2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4" s="8">
        <v>24</v>
      </c>
      <c r="M24" s="8" t="s">
        <v>2040</v>
      </c>
    </row>
    <row r="25" spans="2:13" x14ac:dyDescent="0.2">
      <c r="B25" s="8">
        <f>VLOOKUP( T_ApifImport[[#This Row],[Bilans]], T_Bilansi[], 4, 0)</f>
        <v>1</v>
      </c>
      <c r="C25" s="377">
        <f>VLOOKUP( T_ApifImport[[#This Row],[Id]], T_Aop[], 4, 0)</f>
        <v>24</v>
      </c>
      <c r="D2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5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25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2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5" s="8">
        <v>25</v>
      </c>
      <c r="M25" s="8" t="s">
        <v>2040</v>
      </c>
    </row>
    <row r="26" spans="2:13" x14ac:dyDescent="0.2">
      <c r="B26" s="8">
        <f>VLOOKUP( T_ApifImport[[#This Row],[Bilans]], T_Bilansi[], 4, 0)</f>
        <v>1</v>
      </c>
      <c r="C26" s="377">
        <f>VLOOKUP( T_ApifImport[[#This Row],[Id]], T_Aop[], 4, 0)</f>
        <v>25</v>
      </c>
      <c r="D2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6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26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2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6" s="8">
        <v>26</v>
      </c>
      <c r="M26" s="8" t="s">
        <v>2040</v>
      </c>
    </row>
    <row r="27" spans="2:13" x14ac:dyDescent="0.2">
      <c r="B27" s="8">
        <f>VLOOKUP( T_ApifImport[[#This Row],[Bilans]], T_Bilansi[], 4, 0)</f>
        <v>1</v>
      </c>
      <c r="C27" s="377">
        <f>VLOOKUP( T_ApifImport[[#This Row],[Id]], T_Aop[], 4, 0)</f>
        <v>26</v>
      </c>
      <c r="D2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7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27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2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7" s="8">
        <v>27</v>
      </c>
      <c r="M27" s="8" t="s">
        <v>2040</v>
      </c>
    </row>
    <row r="28" spans="2:13" x14ac:dyDescent="0.2">
      <c r="B28" s="8">
        <f>VLOOKUP( T_ApifImport[[#This Row],[Bilans]], T_Bilansi[], 4, 0)</f>
        <v>1</v>
      </c>
      <c r="C28" s="377">
        <f>VLOOKUP( T_ApifImport[[#This Row],[Id]], T_Aop[], 4, 0)</f>
        <v>27</v>
      </c>
      <c r="D2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8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28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2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8" s="8">
        <v>28</v>
      </c>
      <c r="M28" s="8" t="s">
        <v>2040</v>
      </c>
    </row>
    <row r="29" spans="2:13" x14ac:dyDescent="0.2">
      <c r="B29" s="8">
        <f>VLOOKUP( T_ApifImport[[#This Row],[Bilans]], T_Bilansi[], 4, 0)</f>
        <v>1</v>
      </c>
      <c r="C29" s="377">
        <f>VLOOKUP( T_ApifImport[[#This Row],[Id]], T_Aop[], 4, 0)</f>
        <v>28</v>
      </c>
      <c r="D2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9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29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2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9" s="8">
        <v>29</v>
      </c>
      <c r="M29" s="8" t="s">
        <v>2040</v>
      </c>
    </row>
    <row r="30" spans="2:13" x14ac:dyDescent="0.2">
      <c r="B30" s="8">
        <f>VLOOKUP( T_ApifImport[[#This Row],[Bilans]], T_Bilansi[], 4, 0)</f>
        <v>1</v>
      </c>
      <c r="C30" s="377">
        <f>VLOOKUP( T_ApifImport[[#This Row],[Id]], T_Aop[], 4, 0)</f>
        <v>29</v>
      </c>
      <c r="D3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0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0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0" s="8">
        <v>30</v>
      </c>
      <c r="M30" s="8" t="s">
        <v>2040</v>
      </c>
    </row>
    <row r="31" spans="2:13" x14ac:dyDescent="0.2">
      <c r="B31" s="8">
        <f>VLOOKUP( T_ApifImport[[#This Row],[Bilans]], T_Bilansi[], 4, 0)</f>
        <v>1</v>
      </c>
      <c r="C31" s="377">
        <f>VLOOKUP( T_ApifImport[[#This Row],[Id]], T_Aop[], 4, 0)</f>
        <v>30</v>
      </c>
      <c r="D3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1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1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1" s="8">
        <v>31</v>
      </c>
      <c r="M31" s="8" t="s">
        <v>2040</v>
      </c>
    </row>
    <row r="32" spans="2:13" x14ac:dyDescent="0.2">
      <c r="B32" s="8">
        <f>VLOOKUP( T_ApifImport[[#This Row],[Bilans]], T_Bilansi[], 4, 0)</f>
        <v>1</v>
      </c>
      <c r="C32" s="377">
        <f>VLOOKUP( T_ApifImport[[#This Row],[Id]], T_Aop[], 4, 0)</f>
        <v>31</v>
      </c>
      <c r="D3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81695765</v>
      </c>
      <c r="E3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23796205</v>
      </c>
      <c r="F32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57899560</v>
      </c>
      <c r="G32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58599170</v>
      </c>
      <c r="H3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2" s="8">
        <v>32</v>
      </c>
      <c r="M32" s="8" t="s">
        <v>2040</v>
      </c>
    </row>
    <row r="33" spans="2:13" x14ac:dyDescent="0.2">
      <c r="B33" s="8">
        <f>VLOOKUP( T_ApifImport[[#This Row],[Bilans]], T_Bilansi[], 4, 0)</f>
        <v>1</v>
      </c>
      <c r="C33" s="377">
        <f>VLOOKUP( T_ApifImport[[#This Row],[Id]], T_Aop[], 4, 0)</f>
        <v>32</v>
      </c>
      <c r="D3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38126255</v>
      </c>
      <c r="E3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16846321</v>
      </c>
      <c r="F33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21279934</v>
      </c>
      <c r="G33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20236738</v>
      </c>
      <c r="H3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3" s="8">
        <v>33</v>
      </c>
      <c r="M33" s="8" t="s">
        <v>2040</v>
      </c>
    </row>
    <row r="34" spans="2:13" x14ac:dyDescent="0.2">
      <c r="B34" s="8">
        <f>VLOOKUP( T_ApifImport[[#This Row],[Bilans]], T_Bilansi[], 4, 0)</f>
        <v>1</v>
      </c>
      <c r="C34" s="377">
        <f>VLOOKUP( T_ApifImport[[#This Row],[Id]], T_Aop[], 4, 0)</f>
        <v>33</v>
      </c>
      <c r="D3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35321217</v>
      </c>
      <c r="E3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14041674</v>
      </c>
      <c r="F34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21279543</v>
      </c>
      <c r="G34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20229361</v>
      </c>
      <c r="H3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4" s="8">
        <v>34</v>
      </c>
      <c r="M34" s="8" t="s">
        <v>2040</v>
      </c>
    </row>
    <row r="35" spans="2:13" x14ac:dyDescent="0.2">
      <c r="B35" s="8">
        <f>VLOOKUP( T_ApifImport[[#This Row],[Bilans]], T_Bilansi[], 4, 0)</f>
        <v>1</v>
      </c>
      <c r="C35" s="377">
        <f>VLOOKUP( T_ApifImport[[#This Row],[Id]], T_Aop[], 4, 0)</f>
        <v>34</v>
      </c>
      <c r="D3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5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5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5" s="8">
        <v>35</v>
      </c>
      <c r="M35" s="8" t="s">
        <v>2040</v>
      </c>
    </row>
    <row r="36" spans="2:13" x14ac:dyDescent="0.2">
      <c r="B36" s="8">
        <f>VLOOKUP( T_ApifImport[[#This Row],[Bilans]], T_Bilansi[], 4, 0)</f>
        <v>1</v>
      </c>
      <c r="C36" s="377">
        <f>VLOOKUP( T_ApifImport[[#This Row],[Id]], T_Aop[], 4, 0)</f>
        <v>35</v>
      </c>
      <c r="D3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6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6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6" s="8">
        <v>36</v>
      </c>
      <c r="M36" s="8" t="s">
        <v>2040</v>
      </c>
    </row>
    <row r="37" spans="2:13" x14ac:dyDescent="0.2">
      <c r="B37" s="8">
        <f>VLOOKUP( T_ApifImport[[#This Row],[Bilans]], T_Bilansi[], 4, 0)</f>
        <v>1</v>
      </c>
      <c r="C37" s="377">
        <f>VLOOKUP( T_ApifImport[[#This Row],[Id]], T_Aop[], 4, 0)</f>
        <v>36</v>
      </c>
      <c r="D3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7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7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7" s="8">
        <v>37</v>
      </c>
      <c r="M37" s="8" t="s">
        <v>2040</v>
      </c>
    </row>
    <row r="38" spans="2:13" x14ac:dyDescent="0.2">
      <c r="B38" s="8">
        <f>VLOOKUP( T_ApifImport[[#This Row],[Bilans]], T_Bilansi[], 4, 0)</f>
        <v>1</v>
      </c>
      <c r="C38" s="377">
        <f>VLOOKUP( T_ApifImport[[#This Row],[Id]], T_Aop[], 4, 0)</f>
        <v>37</v>
      </c>
      <c r="D3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8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8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8" s="8">
        <v>38</v>
      </c>
      <c r="M38" s="8" t="s">
        <v>2040</v>
      </c>
    </row>
    <row r="39" spans="2:13" x14ac:dyDescent="0.2">
      <c r="B39" s="8">
        <f>VLOOKUP( T_ApifImport[[#This Row],[Bilans]], T_Bilansi[], 4, 0)</f>
        <v>1</v>
      </c>
      <c r="C39" s="377">
        <f>VLOOKUP( T_ApifImport[[#This Row],[Id]], T_Aop[], 4, 0)</f>
        <v>38</v>
      </c>
      <c r="D3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2805038</v>
      </c>
      <c r="E3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2804647</v>
      </c>
      <c r="F39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391</v>
      </c>
      <c r="G39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7377</v>
      </c>
      <c r="H3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9" s="8">
        <v>39</v>
      </c>
      <c r="M39" s="8" t="s">
        <v>2040</v>
      </c>
    </row>
    <row r="40" spans="2:13" x14ac:dyDescent="0.2">
      <c r="B40" s="8">
        <f>VLOOKUP( T_ApifImport[[#This Row],[Bilans]], T_Bilansi[], 4, 0)</f>
        <v>1</v>
      </c>
      <c r="C40" s="377">
        <f>VLOOKUP( T_ApifImport[[#This Row],[Id]], T_Aop[], 4, 0)</f>
        <v>39</v>
      </c>
      <c r="D4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43569510</v>
      </c>
      <c r="E4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6949884</v>
      </c>
      <c r="F40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36619626</v>
      </c>
      <c r="G40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38362432</v>
      </c>
      <c r="H4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4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4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4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40" s="8">
        <v>40</v>
      </c>
      <c r="M40" s="8" t="s">
        <v>2040</v>
      </c>
    </row>
    <row r="41" spans="2:13" x14ac:dyDescent="0.2">
      <c r="B41" s="8">
        <f>VLOOKUP( T_ApifImport[[#This Row],[Bilans]], T_Bilansi[], 4, 0)</f>
        <v>1</v>
      </c>
      <c r="C41" s="377">
        <f>VLOOKUP( T_ApifImport[[#This Row],[Id]], T_Aop[], 4, 0)</f>
        <v>40</v>
      </c>
      <c r="D4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23407560</v>
      </c>
      <c r="E4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6949884</v>
      </c>
      <c r="F41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16457676</v>
      </c>
      <c r="G41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16882268</v>
      </c>
      <c r="H4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4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4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4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41" s="8">
        <v>41</v>
      </c>
      <c r="M41" s="8" t="s">
        <v>2040</v>
      </c>
    </row>
    <row r="42" spans="2:13" x14ac:dyDescent="0.2">
      <c r="B42" s="8">
        <f>VLOOKUP( T_ApifImport[[#This Row],[Bilans]], T_Bilansi[], 4, 0)</f>
        <v>1</v>
      </c>
      <c r="C42" s="377">
        <f>VLOOKUP( T_ApifImport[[#This Row],[Id]], T_Aop[], 4, 0)</f>
        <v>41</v>
      </c>
      <c r="D4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4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42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42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4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4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4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4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42" s="8">
        <v>42</v>
      </c>
      <c r="M42" s="8" t="s">
        <v>2040</v>
      </c>
    </row>
    <row r="43" spans="2:13" x14ac:dyDescent="0.2">
      <c r="B43" s="8">
        <f>VLOOKUP( T_ApifImport[[#This Row],[Bilans]], T_Bilansi[], 4, 0)</f>
        <v>1</v>
      </c>
      <c r="C43" s="377">
        <f>VLOOKUP( T_ApifImport[[#This Row],[Id]], T_Aop[], 4, 0)</f>
        <v>42</v>
      </c>
      <c r="D4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10805335</v>
      </c>
      <c r="E4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2835536</v>
      </c>
      <c r="F43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7969799</v>
      </c>
      <c r="G43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9274163</v>
      </c>
      <c r="H4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4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4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4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43" s="8">
        <v>43</v>
      </c>
      <c r="M43" s="8" t="s">
        <v>2040</v>
      </c>
    </row>
    <row r="44" spans="2:13" x14ac:dyDescent="0.2">
      <c r="B44" s="8">
        <f>VLOOKUP( T_ApifImport[[#This Row],[Bilans]], T_Bilansi[], 4, 0)</f>
        <v>1</v>
      </c>
      <c r="C44" s="377">
        <f>VLOOKUP( T_ApifImport[[#This Row],[Id]], T_Aop[], 4, 0)</f>
        <v>43</v>
      </c>
      <c r="D4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1784763</v>
      </c>
      <c r="E4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1625497</v>
      </c>
      <c r="F44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159266</v>
      </c>
      <c r="G44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155901</v>
      </c>
      <c r="H4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4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4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4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44" s="8">
        <v>44</v>
      </c>
      <c r="M44" s="8" t="s">
        <v>2040</v>
      </c>
    </row>
    <row r="45" spans="2:13" x14ac:dyDescent="0.2">
      <c r="B45" s="8">
        <f>VLOOKUP( T_ApifImport[[#This Row],[Bilans]], T_Bilansi[], 4, 0)</f>
        <v>1</v>
      </c>
      <c r="C45" s="377">
        <f>VLOOKUP( T_ApifImport[[#This Row],[Id]], T_Aop[], 4, 0)</f>
        <v>44</v>
      </c>
      <c r="D4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2635306</v>
      </c>
      <c r="E4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45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2635306</v>
      </c>
      <c r="G45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2635337</v>
      </c>
      <c r="H4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4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4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4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45" s="8">
        <v>45</v>
      </c>
      <c r="M45" s="8" t="s">
        <v>2040</v>
      </c>
    </row>
    <row r="46" spans="2:13" x14ac:dyDescent="0.2">
      <c r="B46" s="8">
        <f>VLOOKUP( T_ApifImport[[#This Row],[Bilans]], T_Bilansi[], 4, 0)</f>
        <v>1</v>
      </c>
      <c r="C46" s="377">
        <f>VLOOKUP( T_ApifImport[[#This Row],[Id]], T_Aop[], 4, 0)</f>
        <v>45</v>
      </c>
      <c r="D4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4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46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46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4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4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4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4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46" s="8">
        <v>46</v>
      </c>
      <c r="M46" s="8" t="s">
        <v>2040</v>
      </c>
    </row>
    <row r="47" spans="2:13" x14ac:dyDescent="0.2">
      <c r="B47" s="8">
        <f>VLOOKUP( T_ApifImport[[#This Row],[Bilans]], T_Bilansi[], 4, 0)</f>
        <v>1</v>
      </c>
      <c r="C47" s="377">
        <f>VLOOKUP( T_ApifImport[[#This Row],[Id]], T_Aop[], 4, 0)</f>
        <v>46</v>
      </c>
      <c r="D4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8182156</v>
      </c>
      <c r="E4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2488851</v>
      </c>
      <c r="F47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5693305</v>
      </c>
      <c r="G47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4816867</v>
      </c>
      <c r="H4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4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4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4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47" s="8">
        <v>47</v>
      </c>
      <c r="M47" s="8" t="s">
        <v>2040</v>
      </c>
    </row>
    <row r="48" spans="2:13" x14ac:dyDescent="0.2">
      <c r="B48" s="8">
        <f>VLOOKUP( T_ApifImport[[#This Row],[Bilans]], T_Bilansi[], 4, 0)</f>
        <v>1</v>
      </c>
      <c r="C48" s="377">
        <f>VLOOKUP( T_ApifImport[[#This Row],[Id]], T_Aop[], 4, 0)</f>
        <v>47</v>
      </c>
      <c r="D4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4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48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48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4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4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4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4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48" s="8">
        <v>48</v>
      </c>
      <c r="M48" s="8" t="s">
        <v>2040</v>
      </c>
    </row>
    <row r="49" spans="2:13" x14ac:dyDescent="0.2">
      <c r="B49" s="8">
        <f>VLOOKUP( T_ApifImport[[#This Row],[Bilans]], T_Bilansi[], 4, 0)</f>
        <v>1</v>
      </c>
      <c r="C49" s="377">
        <f>VLOOKUP( T_ApifImport[[#This Row],[Id]], T_Aop[], 4, 0)</f>
        <v>48</v>
      </c>
      <c r="D4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4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49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49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4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4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4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4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49" s="8">
        <v>49</v>
      </c>
      <c r="M49" s="8" t="s">
        <v>2040</v>
      </c>
    </row>
    <row r="50" spans="2:13" x14ac:dyDescent="0.2">
      <c r="B50" s="8">
        <f>VLOOKUP( T_ApifImport[[#This Row],[Bilans]], T_Bilansi[], 4, 0)</f>
        <v>1</v>
      </c>
      <c r="C50" s="377">
        <f>VLOOKUP( T_ApifImport[[#This Row],[Id]], T_Aop[], 4, 0)</f>
        <v>49</v>
      </c>
      <c r="D5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5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50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50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5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5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5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5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50" s="8">
        <v>50</v>
      </c>
      <c r="M50" s="8" t="s">
        <v>2040</v>
      </c>
    </row>
    <row r="51" spans="2:13" x14ac:dyDescent="0.2">
      <c r="B51" s="8">
        <f>VLOOKUP( T_ApifImport[[#This Row],[Bilans]], T_Bilansi[], 4, 0)</f>
        <v>1</v>
      </c>
      <c r="C51" s="377">
        <f>VLOOKUP( T_ApifImport[[#This Row],[Id]], T_Aop[], 4, 0)</f>
        <v>50</v>
      </c>
      <c r="D5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5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51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51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5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5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5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5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51" s="8">
        <v>51</v>
      </c>
      <c r="M51" s="8" t="s">
        <v>2040</v>
      </c>
    </row>
    <row r="52" spans="2:13" x14ac:dyDescent="0.2">
      <c r="B52" s="8">
        <f>VLOOKUP( T_ApifImport[[#This Row],[Bilans]], T_Bilansi[], 4, 0)</f>
        <v>1</v>
      </c>
      <c r="C52" s="377">
        <f>VLOOKUP( T_ApifImport[[#This Row],[Id]], T_Aop[], 4, 0)</f>
        <v>51</v>
      </c>
      <c r="D5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5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52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52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5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5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5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5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52" s="8">
        <v>52</v>
      </c>
      <c r="M52" s="8" t="s">
        <v>2040</v>
      </c>
    </row>
    <row r="53" spans="2:13" x14ac:dyDescent="0.2">
      <c r="B53" s="8">
        <f>VLOOKUP( T_ApifImport[[#This Row],[Bilans]], T_Bilansi[], 4, 0)</f>
        <v>1</v>
      </c>
      <c r="C53" s="377">
        <f>VLOOKUP( T_ApifImport[[#This Row],[Id]], T_Aop[], 4, 0)</f>
        <v>52</v>
      </c>
      <c r="D5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5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53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53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5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5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5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5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53" s="8">
        <v>53</v>
      </c>
      <c r="M53" s="8" t="s">
        <v>2040</v>
      </c>
    </row>
    <row r="54" spans="2:13" x14ac:dyDescent="0.2">
      <c r="B54" s="8">
        <f>VLOOKUP( T_ApifImport[[#This Row],[Bilans]], T_Bilansi[], 4, 0)</f>
        <v>1</v>
      </c>
      <c r="C54" s="377">
        <f>VLOOKUP( T_ApifImport[[#This Row],[Id]], T_Aop[], 4, 0)</f>
        <v>53</v>
      </c>
      <c r="D5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5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54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54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5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5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5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5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54" s="8">
        <v>54</v>
      </c>
      <c r="M54" s="8" t="s">
        <v>2040</v>
      </c>
    </row>
    <row r="55" spans="2:13" x14ac:dyDescent="0.2">
      <c r="B55" s="8">
        <f>VLOOKUP( T_ApifImport[[#This Row],[Bilans]], T_Bilansi[], 4, 0)</f>
        <v>1</v>
      </c>
      <c r="C55" s="377">
        <f>VLOOKUP( T_ApifImport[[#This Row],[Id]], T_Aop[], 4, 0)</f>
        <v>54</v>
      </c>
      <c r="D5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5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55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55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5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5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5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5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55" s="8">
        <v>55</v>
      </c>
      <c r="M55" s="8" t="s">
        <v>2040</v>
      </c>
    </row>
    <row r="56" spans="2:13" x14ac:dyDescent="0.2">
      <c r="B56" s="8">
        <f>VLOOKUP( T_ApifImport[[#This Row],[Bilans]], T_Bilansi[], 4, 0)</f>
        <v>1</v>
      </c>
      <c r="C56" s="377">
        <f>VLOOKUP( T_ApifImport[[#This Row],[Id]], T_Aop[], 4, 0)</f>
        <v>55</v>
      </c>
      <c r="D5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5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56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56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5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5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5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5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56" s="8">
        <v>56</v>
      </c>
      <c r="M56" s="8" t="s">
        <v>2040</v>
      </c>
    </row>
    <row r="57" spans="2:13" x14ac:dyDescent="0.2">
      <c r="B57" s="8">
        <f>VLOOKUP( T_ApifImport[[#This Row],[Bilans]], T_Bilansi[], 4, 0)</f>
        <v>1</v>
      </c>
      <c r="C57" s="377">
        <f>VLOOKUP( T_ApifImport[[#This Row],[Id]], T_Aop[], 4, 0)</f>
        <v>56</v>
      </c>
      <c r="D5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19496831</v>
      </c>
      <c r="E5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57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19496831</v>
      </c>
      <c r="G57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20733130</v>
      </c>
      <c r="H5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5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5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5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57" s="8">
        <v>57</v>
      </c>
      <c r="M57" s="8" t="s">
        <v>2040</v>
      </c>
    </row>
    <row r="58" spans="2:13" x14ac:dyDescent="0.2">
      <c r="B58" s="8">
        <f>VLOOKUP( T_ApifImport[[#This Row],[Bilans]], T_Bilansi[], 4, 0)</f>
        <v>1</v>
      </c>
      <c r="C58" s="377">
        <f>VLOOKUP( T_ApifImport[[#This Row],[Id]], T_Aop[], 4, 0)</f>
        <v>57</v>
      </c>
      <c r="D5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5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58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58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5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5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5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5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58" s="8">
        <v>58</v>
      </c>
      <c r="M58" s="8" t="s">
        <v>2040</v>
      </c>
    </row>
    <row r="59" spans="2:13" x14ac:dyDescent="0.2">
      <c r="B59" s="8">
        <f>VLOOKUP( T_ApifImport[[#This Row],[Bilans]], T_Bilansi[], 4, 0)</f>
        <v>1</v>
      </c>
      <c r="C59" s="377">
        <f>VLOOKUP( T_ApifImport[[#This Row],[Id]], T_Aop[], 4, 0)</f>
        <v>58</v>
      </c>
      <c r="D5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19496831</v>
      </c>
      <c r="E5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59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19496831</v>
      </c>
      <c r="G59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20733130</v>
      </c>
      <c r="H5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5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5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5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59" s="8">
        <v>59</v>
      </c>
      <c r="M59" s="8" t="s">
        <v>2040</v>
      </c>
    </row>
    <row r="60" spans="2:13" x14ac:dyDescent="0.2">
      <c r="B60" s="8">
        <f>VLOOKUP( T_ApifImport[[#This Row],[Bilans]], T_Bilansi[], 4, 0)</f>
        <v>1</v>
      </c>
      <c r="C60" s="377">
        <f>VLOOKUP( T_ApifImport[[#This Row],[Id]], T_Aop[], 4, 0)</f>
        <v>59</v>
      </c>
      <c r="D6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258524</v>
      </c>
      <c r="E6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60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258524</v>
      </c>
      <c r="G60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269037</v>
      </c>
      <c r="H6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6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6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6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60" s="8">
        <v>60</v>
      </c>
      <c r="M60" s="8" t="s">
        <v>2040</v>
      </c>
    </row>
    <row r="61" spans="2:13" x14ac:dyDescent="0.2">
      <c r="B61" s="8">
        <f>VLOOKUP( T_ApifImport[[#This Row],[Bilans]], T_Bilansi[], 4, 0)</f>
        <v>1</v>
      </c>
      <c r="C61" s="377">
        <f>VLOOKUP( T_ApifImport[[#This Row],[Id]], T_Aop[], 4, 0)</f>
        <v>60</v>
      </c>
      <c r="D6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406595</v>
      </c>
      <c r="E6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61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406595</v>
      </c>
      <c r="G61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477997</v>
      </c>
      <c r="H6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6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6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6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61" s="8">
        <v>61</v>
      </c>
      <c r="M61" s="8" t="s">
        <v>2040</v>
      </c>
    </row>
    <row r="62" spans="2:13" x14ac:dyDescent="0.2">
      <c r="B62" s="8">
        <f>VLOOKUP( T_ApifImport[[#This Row],[Bilans]], T_Bilansi[], 4, 0)</f>
        <v>1</v>
      </c>
      <c r="C62" s="377">
        <f>VLOOKUP( T_ApifImport[[#This Row],[Id]], T_Aop[], 4, 0)</f>
        <v>61</v>
      </c>
      <c r="D6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6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62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62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6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6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6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6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62" s="8">
        <v>62</v>
      </c>
      <c r="M62" s="8" t="s">
        <v>2040</v>
      </c>
    </row>
    <row r="63" spans="2:13" x14ac:dyDescent="0.2">
      <c r="B63" s="8">
        <f>VLOOKUP( T_ApifImport[[#This Row],[Bilans]], T_Bilansi[], 4, 0)</f>
        <v>1</v>
      </c>
      <c r="C63" s="377">
        <f>VLOOKUP( T_ApifImport[[#This Row],[Id]], T_Aop[], 4, 0)</f>
        <v>62</v>
      </c>
      <c r="D6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2054507485</v>
      </c>
      <c r="E6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1576414028</v>
      </c>
      <c r="F63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478093457</v>
      </c>
      <c r="G63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482287949</v>
      </c>
      <c r="H6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6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6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6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63" s="8">
        <v>63</v>
      </c>
      <c r="M63" s="8" t="s">
        <v>2040</v>
      </c>
    </row>
    <row r="64" spans="2:13" x14ac:dyDescent="0.2">
      <c r="B64" s="8">
        <f>VLOOKUP( T_ApifImport[[#This Row],[Bilans]], T_Bilansi[], 4, 0)</f>
        <v>1</v>
      </c>
      <c r="C64" s="377">
        <f>VLOOKUP( T_ApifImport[[#This Row],[Id]], T_Aop[], 4, 0)</f>
        <v>63</v>
      </c>
      <c r="D6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6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64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64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6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6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6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6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64" s="8">
        <v>64</v>
      </c>
      <c r="M64" s="8" t="s">
        <v>2040</v>
      </c>
    </row>
    <row r="65" spans="2:14" x14ac:dyDescent="0.2">
      <c r="B65" s="8">
        <f>VLOOKUP( T_ApifImport[[#This Row],[Bilans]], T_Bilansi[], 4, 0)</f>
        <v>1</v>
      </c>
      <c r="C65" s="377">
        <f>VLOOKUP( T_ApifImport[[#This Row],[Id]], T_Aop[], 4, 0)</f>
        <v>64</v>
      </c>
      <c r="D6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2054507485</v>
      </c>
      <c r="E6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1576414028</v>
      </c>
      <c r="F65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478093457</v>
      </c>
      <c r="G65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482287949</v>
      </c>
      <c r="H6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6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6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6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65" s="8">
        <v>65</v>
      </c>
      <c r="M65" s="8" t="s">
        <v>2040</v>
      </c>
    </row>
    <row r="66" spans="2:14" x14ac:dyDescent="0.2">
      <c r="B66" s="8">
        <f>VLOOKUP( T_ApifImport[[#This Row],[Bilans]], T_Bilansi[], 4, 0)</f>
        <v>1</v>
      </c>
      <c r="C66" s="377">
        <f>VLOOKUP( T_ApifImport[[#This Row],[Id]], T_Aop[], 4, 0)</f>
        <v>65</v>
      </c>
      <c r="D6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80802875</v>
      </c>
      <c r="E6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66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80802875</v>
      </c>
      <c r="G66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80658561</v>
      </c>
      <c r="H6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6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6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6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66" s="8">
        <v>66</v>
      </c>
      <c r="M66" s="8" t="s">
        <v>2040</v>
      </c>
    </row>
    <row r="67" spans="2:14" x14ac:dyDescent="0.2">
      <c r="B67" s="9">
        <f>VLOOKUP( T_ApifImport[[#This Row],[Bilans]], T_Bilansi[], 4, 0)</f>
        <v>1</v>
      </c>
      <c r="C67" s="379">
        <f>VLOOKUP( T_ApifImport[[#This Row],[Id]], T_Aop[], 4, 0)</f>
        <v>66</v>
      </c>
      <c r="D67" s="380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2135310360</v>
      </c>
      <c r="E67" s="380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1576414028</v>
      </c>
      <c r="F67" s="380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558896332</v>
      </c>
      <c r="G67" s="380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562946510</v>
      </c>
      <c r="H67" s="380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67" s="380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67" s="380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67" s="380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67" s="9">
        <v>67</v>
      </c>
      <c r="M67" s="9" t="s">
        <v>2040</v>
      </c>
      <c r="N67" s="9"/>
    </row>
    <row r="68" spans="2:14" x14ac:dyDescent="0.2">
      <c r="B68" s="9">
        <f>VLOOKUP( T_ApifImport[[#This Row],[Bilans]], T_Bilansi[], 4, 0)</f>
        <v>2</v>
      </c>
      <c r="C68" s="379">
        <f>VLOOKUP( T_ApifImport[[#This Row],[Id]], T_Aop[], 4, 0)</f>
        <v>101</v>
      </c>
      <c r="D68" s="380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120480632</v>
      </c>
      <c r="E68" s="380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124938595</v>
      </c>
      <c r="F68" s="380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68" s="380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68" s="380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68" s="380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68" s="380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68" s="380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68" s="9">
        <v>69</v>
      </c>
      <c r="M68" s="9" t="s">
        <v>2039</v>
      </c>
    </row>
    <row r="69" spans="2:14" x14ac:dyDescent="0.2">
      <c r="B69" s="8">
        <f>VLOOKUP( T_ApifImport[[#This Row],[Bilans]], T_Bilansi[], 4, 0)</f>
        <v>2</v>
      </c>
      <c r="C69" s="377">
        <f>VLOOKUP( T_ApifImport[[#This Row],[Id]], T_Aop[], 4, 0)</f>
        <v>102</v>
      </c>
      <c r="D6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50000</v>
      </c>
      <c r="E6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50000</v>
      </c>
      <c r="F6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6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6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6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6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6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69" s="8">
        <v>70</v>
      </c>
      <c r="M69" s="8" t="s">
        <v>2039</v>
      </c>
    </row>
    <row r="70" spans="2:14" x14ac:dyDescent="0.2">
      <c r="B70" s="8">
        <f>VLOOKUP( T_ApifImport[[#This Row],[Bilans]], T_Bilansi[], 4, 0)</f>
        <v>2</v>
      </c>
      <c r="C70" s="377">
        <f>VLOOKUP( T_ApifImport[[#This Row],[Id]], T_Aop[], 4, 0)</f>
        <v>103</v>
      </c>
      <c r="D7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50000</v>
      </c>
      <c r="E7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50000</v>
      </c>
      <c r="F7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7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7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7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7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7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70" s="8">
        <v>71</v>
      </c>
      <c r="M70" s="8" t="s">
        <v>2039</v>
      </c>
    </row>
    <row r="71" spans="2:14" x14ac:dyDescent="0.2">
      <c r="B71" s="8">
        <f>VLOOKUP( T_ApifImport[[#This Row],[Bilans]], T_Bilansi[], 4, 0)</f>
        <v>2</v>
      </c>
      <c r="C71" s="377">
        <f>VLOOKUP( T_ApifImport[[#This Row],[Id]], T_Aop[], 4, 0)</f>
        <v>104</v>
      </c>
      <c r="D7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7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7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7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7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7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7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7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71" s="8">
        <v>72</v>
      </c>
      <c r="M71" s="8" t="s">
        <v>2039</v>
      </c>
    </row>
    <row r="72" spans="2:14" x14ac:dyDescent="0.2">
      <c r="B72" s="8">
        <f>VLOOKUP( T_ApifImport[[#This Row],[Bilans]], T_Bilansi[], 4, 0)</f>
        <v>2</v>
      </c>
      <c r="C72" s="377">
        <f>VLOOKUP( T_ApifImport[[#This Row],[Id]], T_Aop[], 4, 0)</f>
        <v>105</v>
      </c>
      <c r="D7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7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7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7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7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7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7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7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72" s="8">
        <v>73</v>
      </c>
      <c r="M72" s="8" t="s">
        <v>2039</v>
      </c>
    </row>
    <row r="73" spans="2:14" x14ac:dyDescent="0.2">
      <c r="B73" s="8">
        <f>VLOOKUP( T_ApifImport[[#This Row],[Bilans]], T_Bilansi[], 4, 0)</f>
        <v>2</v>
      </c>
      <c r="C73" s="377">
        <f>VLOOKUP( T_ApifImport[[#This Row],[Id]], T_Aop[], 4, 0)</f>
        <v>106</v>
      </c>
      <c r="D7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7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7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7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7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7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7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7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73" s="8">
        <v>74</v>
      </c>
      <c r="M73" s="8" t="s">
        <v>2039</v>
      </c>
    </row>
    <row r="74" spans="2:14" x14ac:dyDescent="0.2">
      <c r="B74" s="8">
        <f>VLOOKUP( T_ApifImport[[#This Row],[Bilans]], T_Bilansi[], 4, 0)</f>
        <v>2</v>
      </c>
      <c r="C74" s="377">
        <f>VLOOKUP( T_ApifImport[[#This Row],[Id]], T_Aop[], 4, 0)</f>
        <v>107</v>
      </c>
      <c r="D7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7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7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7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7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7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7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7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74" s="8">
        <v>75</v>
      </c>
      <c r="M74" s="8" t="s">
        <v>2039</v>
      </c>
    </row>
    <row r="75" spans="2:14" x14ac:dyDescent="0.2">
      <c r="B75" s="8">
        <f>VLOOKUP( T_ApifImport[[#This Row],[Bilans]], T_Bilansi[], 4, 0)</f>
        <v>2</v>
      </c>
      <c r="C75" s="377">
        <f>VLOOKUP( T_ApifImport[[#This Row],[Id]], T_Aop[], 4, 0)</f>
        <v>108</v>
      </c>
      <c r="D7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7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7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7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7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7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7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7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75" s="8">
        <v>76</v>
      </c>
      <c r="M75" s="8" t="s">
        <v>2039</v>
      </c>
    </row>
    <row r="76" spans="2:14" x14ac:dyDescent="0.2">
      <c r="B76" s="8">
        <f>VLOOKUP( T_ApifImport[[#This Row],[Bilans]], T_Bilansi[], 4, 0)</f>
        <v>2</v>
      </c>
      <c r="C76" s="377">
        <f>VLOOKUP( T_ApifImport[[#This Row],[Id]], T_Aop[], 4, 0)</f>
        <v>109</v>
      </c>
      <c r="D7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7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7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7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7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7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7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7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76" s="8">
        <v>77</v>
      </c>
      <c r="M76" s="8" t="s">
        <v>2039</v>
      </c>
    </row>
    <row r="77" spans="2:14" x14ac:dyDescent="0.2">
      <c r="B77" s="8">
        <f>VLOOKUP( T_ApifImport[[#This Row],[Bilans]], T_Bilansi[], 4, 0)</f>
        <v>2</v>
      </c>
      <c r="C77" s="377">
        <f>VLOOKUP( T_ApifImport[[#This Row],[Id]], T_Aop[], 4, 0)</f>
        <v>110</v>
      </c>
      <c r="D7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7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7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7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7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7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7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7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77" s="8">
        <v>78</v>
      </c>
      <c r="M77" s="8" t="s">
        <v>2039</v>
      </c>
    </row>
    <row r="78" spans="2:14" x14ac:dyDescent="0.2">
      <c r="B78" s="8">
        <f>VLOOKUP( T_ApifImport[[#This Row],[Bilans]], T_Bilansi[], 4, 0)</f>
        <v>2</v>
      </c>
      <c r="C78" s="377">
        <f>VLOOKUP( T_ApifImport[[#This Row],[Id]], T_Aop[], 4, 0)</f>
        <v>111</v>
      </c>
      <c r="D7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7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7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7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7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7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7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7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78" s="8">
        <v>79</v>
      </c>
      <c r="M78" s="8" t="s">
        <v>2039</v>
      </c>
    </row>
    <row r="79" spans="2:14" x14ac:dyDescent="0.2">
      <c r="B79" s="8">
        <f>VLOOKUP( T_ApifImport[[#This Row],[Bilans]], T_Bilansi[], 4, 0)</f>
        <v>2</v>
      </c>
      <c r="C79" s="377">
        <f>VLOOKUP( T_ApifImport[[#This Row],[Id]], T_Aop[], 4, 0)</f>
        <v>112</v>
      </c>
      <c r="D7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7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7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7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7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7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7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7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79" s="8">
        <v>80</v>
      </c>
      <c r="M79" s="8" t="s">
        <v>2039</v>
      </c>
    </row>
    <row r="80" spans="2:14" x14ac:dyDescent="0.2">
      <c r="B80" s="8">
        <f>VLOOKUP( T_ApifImport[[#This Row],[Bilans]], T_Bilansi[], 4, 0)</f>
        <v>2</v>
      </c>
      <c r="C80" s="377">
        <f>VLOOKUP( T_ApifImport[[#This Row],[Id]], T_Aop[], 4, 0)</f>
        <v>113</v>
      </c>
      <c r="D8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8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8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8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8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8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8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8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80" s="8">
        <v>81</v>
      </c>
      <c r="M80" s="8" t="s">
        <v>2039</v>
      </c>
    </row>
    <row r="81" spans="2:13" x14ac:dyDescent="0.2">
      <c r="B81" s="8">
        <f>VLOOKUP( T_ApifImport[[#This Row],[Bilans]], T_Bilansi[], 4, 0)</f>
        <v>2</v>
      </c>
      <c r="C81" s="377">
        <f>VLOOKUP( T_ApifImport[[#This Row],[Id]], T_Aop[], 4, 0)</f>
        <v>114</v>
      </c>
      <c r="D8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8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8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8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8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8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8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8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81" s="8">
        <v>82</v>
      </c>
      <c r="M81" s="8" t="s">
        <v>2039</v>
      </c>
    </row>
    <row r="82" spans="2:13" x14ac:dyDescent="0.2">
      <c r="B82" s="8">
        <f>VLOOKUP( T_ApifImport[[#This Row],[Bilans]], T_Bilansi[], 4, 0)</f>
        <v>2</v>
      </c>
      <c r="C82" s="377">
        <f>VLOOKUP( T_ApifImport[[#This Row],[Id]], T_Aop[], 4, 0)</f>
        <v>115</v>
      </c>
      <c r="D8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8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8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8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8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8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8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8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82" s="8">
        <v>83</v>
      </c>
      <c r="M82" s="8" t="s">
        <v>2039</v>
      </c>
    </row>
    <row r="83" spans="2:13" x14ac:dyDescent="0.2">
      <c r="B83" s="8">
        <f>VLOOKUP( T_ApifImport[[#This Row],[Bilans]], T_Bilansi[], 4, 0)</f>
        <v>2</v>
      </c>
      <c r="C83" s="377">
        <f>VLOOKUP( T_ApifImport[[#This Row],[Id]], T_Aop[], 4, 0)</f>
        <v>116</v>
      </c>
      <c r="D8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225286778</v>
      </c>
      <c r="E8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225286778</v>
      </c>
      <c r="F8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8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8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8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8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8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83" s="8">
        <v>84</v>
      </c>
      <c r="M83" s="8" t="s">
        <v>2039</v>
      </c>
    </row>
    <row r="84" spans="2:13" x14ac:dyDescent="0.2">
      <c r="B84" s="8">
        <f>VLOOKUP( T_ApifImport[[#This Row],[Bilans]], T_Bilansi[], 4, 0)</f>
        <v>2</v>
      </c>
      <c r="C84" s="377">
        <f>VLOOKUP( T_ApifImport[[#This Row],[Id]], T_Aop[], 4, 0)</f>
        <v>117</v>
      </c>
      <c r="D8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8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8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8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8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8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8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8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84" s="8">
        <v>85</v>
      </c>
      <c r="M84" s="8" t="s">
        <v>2039</v>
      </c>
    </row>
    <row r="85" spans="2:13" x14ac:dyDescent="0.2">
      <c r="B85" s="8">
        <f>VLOOKUP( T_ApifImport[[#This Row],[Bilans]], T_Bilansi[], 4, 0)</f>
        <v>2</v>
      </c>
      <c r="C85" s="377">
        <f>VLOOKUP( T_ApifImport[[#This Row],[Id]], T_Aop[], 4, 0)</f>
        <v>118</v>
      </c>
      <c r="D8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8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8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8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8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8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8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8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85" s="8">
        <v>86</v>
      </c>
      <c r="M85" s="8" t="s">
        <v>2039</v>
      </c>
    </row>
    <row r="86" spans="2:13" x14ac:dyDescent="0.2">
      <c r="B86" s="8">
        <f>VLOOKUP( T_ApifImport[[#This Row],[Bilans]], T_Bilansi[], 4, 0)</f>
        <v>2</v>
      </c>
      <c r="C86" s="377">
        <f>VLOOKUP( T_ApifImport[[#This Row],[Id]], T_Aop[], 4, 0)</f>
        <v>119</v>
      </c>
      <c r="D8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8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8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8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8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8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8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8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86" s="8">
        <v>87</v>
      </c>
      <c r="M86" s="8" t="s">
        <v>2039</v>
      </c>
    </row>
    <row r="87" spans="2:13" x14ac:dyDescent="0.2">
      <c r="B87" s="8">
        <f>VLOOKUP( T_ApifImport[[#This Row],[Bilans]], T_Bilansi[], 4, 0)</f>
        <v>2</v>
      </c>
      <c r="C87" s="377">
        <f>VLOOKUP( T_ApifImport[[#This Row],[Id]], T_Aop[], 4, 0)</f>
        <v>120</v>
      </c>
      <c r="D8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8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8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8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8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8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8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8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87" s="8">
        <v>88</v>
      </c>
      <c r="M87" s="8" t="s">
        <v>2039</v>
      </c>
    </row>
    <row r="88" spans="2:13" x14ac:dyDescent="0.2">
      <c r="B88" s="8">
        <f>VLOOKUP( T_ApifImport[[#This Row],[Bilans]], T_Bilansi[], 4, 0)</f>
        <v>2</v>
      </c>
      <c r="C88" s="377">
        <f>VLOOKUP( T_ApifImport[[#This Row],[Id]], T_Aop[], 4, 0)</f>
        <v>121</v>
      </c>
      <c r="D8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8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8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8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8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8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8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8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88" s="8">
        <v>89</v>
      </c>
      <c r="M88" s="8" t="s">
        <v>2039</v>
      </c>
    </row>
    <row r="89" spans="2:13" x14ac:dyDescent="0.2">
      <c r="B89" s="8">
        <f>VLOOKUP( T_ApifImport[[#This Row],[Bilans]], T_Bilansi[], 4, 0)</f>
        <v>2</v>
      </c>
      <c r="C89" s="377">
        <f>VLOOKUP( T_ApifImport[[#This Row],[Id]], T_Aop[], 4, 0)</f>
        <v>122</v>
      </c>
      <c r="D8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8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8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8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8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8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8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8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89" s="8">
        <v>90</v>
      </c>
      <c r="M89" s="8" t="s">
        <v>2039</v>
      </c>
    </row>
    <row r="90" spans="2:13" x14ac:dyDescent="0.2">
      <c r="B90" s="8">
        <f>VLOOKUP( T_ApifImport[[#This Row],[Bilans]], T_Bilansi[], 4, 0)</f>
        <v>2</v>
      </c>
      <c r="C90" s="377">
        <f>VLOOKUP( T_ApifImport[[#This Row],[Id]], T_Aop[], 4, 0)</f>
        <v>123</v>
      </c>
      <c r="D9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104856146</v>
      </c>
      <c r="E9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100398183</v>
      </c>
      <c r="F9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9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9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9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9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9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90" s="8">
        <v>91</v>
      </c>
      <c r="M90" s="8" t="s">
        <v>2039</v>
      </c>
    </row>
    <row r="91" spans="2:13" x14ac:dyDescent="0.2">
      <c r="B91" s="8">
        <f>VLOOKUP( T_ApifImport[[#This Row],[Bilans]], T_Bilansi[], 4, 0)</f>
        <v>2</v>
      </c>
      <c r="C91" s="377">
        <f>VLOOKUP( T_ApifImport[[#This Row],[Id]], T_Aop[], 4, 0)</f>
        <v>124</v>
      </c>
      <c r="D9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100398183</v>
      </c>
      <c r="E9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81872254</v>
      </c>
      <c r="F9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9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9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9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9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9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91" s="8">
        <v>92</v>
      </c>
      <c r="M91" s="8" t="s">
        <v>2039</v>
      </c>
    </row>
    <row r="92" spans="2:13" x14ac:dyDescent="0.2">
      <c r="B92" s="8">
        <f>VLOOKUP( T_ApifImport[[#This Row],[Bilans]], T_Bilansi[], 4, 0)</f>
        <v>2</v>
      </c>
      <c r="C92" s="377">
        <f>VLOOKUP( T_ApifImport[[#This Row],[Id]], T_Aop[], 4, 0)</f>
        <v>125</v>
      </c>
      <c r="D9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4457963</v>
      </c>
      <c r="E9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18525929</v>
      </c>
      <c r="F9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9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9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9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9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9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92" s="8">
        <v>93</v>
      </c>
      <c r="M92" s="8" t="s">
        <v>2039</v>
      </c>
    </row>
    <row r="93" spans="2:13" x14ac:dyDescent="0.2">
      <c r="B93" s="8">
        <f>VLOOKUP( T_ApifImport[[#This Row],[Bilans]], T_Bilansi[], 4, 0)</f>
        <v>2</v>
      </c>
      <c r="C93" s="377">
        <f>VLOOKUP( T_ApifImport[[#This Row],[Id]], T_Aop[], 4, 0)</f>
        <v>126</v>
      </c>
      <c r="D9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13086792</v>
      </c>
      <c r="E9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13537034</v>
      </c>
      <c r="F9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9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9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9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9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9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93" s="8">
        <v>94</v>
      </c>
      <c r="M93" s="8" t="s">
        <v>2039</v>
      </c>
    </row>
    <row r="94" spans="2:13" x14ac:dyDescent="0.2">
      <c r="B94" s="8">
        <f>VLOOKUP( T_ApifImport[[#This Row],[Bilans]], T_Bilansi[], 4, 0)</f>
        <v>2</v>
      </c>
      <c r="C94" s="377">
        <f>VLOOKUP( T_ApifImport[[#This Row],[Id]], T_Aop[], 4, 0)</f>
        <v>127</v>
      </c>
      <c r="D9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9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9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9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9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9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9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9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94" s="8">
        <v>95</v>
      </c>
      <c r="M94" s="8" t="s">
        <v>2039</v>
      </c>
    </row>
    <row r="95" spans="2:13" x14ac:dyDescent="0.2">
      <c r="B95" s="8">
        <f>VLOOKUP( T_ApifImport[[#This Row],[Bilans]], T_Bilansi[], 4, 0)</f>
        <v>2</v>
      </c>
      <c r="C95" s="377">
        <f>VLOOKUP( T_ApifImport[[#This Row],[Id]], T_Aop[], 4, 0)</f>
        <v>128</v>
      </c>
      <c r="D9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9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9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9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9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9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9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9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95" s="8">
        <v>96</v>
      </c>
      <c r="M95" s="8" t="s">
        <v>2039</v>
      </c>
    </row>
    <row r="96" spans="2:13" x14ac:dyDescent="0.2">
      <c r="B96" s="8">
        <f>VLOOKUP( T_ApifImport[[#This Row],[Bilans]], T_Bilansi[], 4, 0)</f>
        <v>2</v>
      </c>
      <c r="C96" s="377">
        <f>VLOOKUP( T_ApifImport[[#This Row],[Id]], T_Aop[], 4, 0)</f>
        <v>129</v>
      </c>
      <c r="D9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9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9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9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9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9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9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9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96" s="8">
        <v>97</v>
      </c>
      <c r="M96" s="8" t="s">
        <v>2039</v>
      </c>
    </row>
    <row r="97" spans="2:13" x14ac:dyDescent="0.2">
      <c r="B97" s="8">
        <f>VLOOKUP( T_ApifImport[[#This Row],[Bilans]], T_Bilansi[], 4, 0)</f>
        <v>2</v>
      </c>
      <c r="C97" s="377">
        <f>VLOOKUP( T_ApifImport[[#This Row],[Id]], T_Aop[], 4, 0)</f>
        <v>130</v>
      </c>
      <c r="D9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9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9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9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9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9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9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9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97" s="8">
        <v>98</v>
      </c>
      <c r="M97" s="8" t="s">
        <v>2039</v>
      </c>
    </row>
    <row r="98" spans="2:13" x14ac:dyDescent="0.2">
      <c r="B98" s="8">
        <f>VLOOKUP( T_ApifImport[[#This Row],[Bilans]], T_Bilansi[], 4, 0)</f>
        <v>2</v>
      </c>
      <c r="C98" s="377">
        <f>VLOOKUP( T_ApifImport[[#This Row],[Id]], T_Aop[], 4, 0)</f>
        <v>131</v>
      </c>
      <c r="D9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1635569</v>
      </c>
      <c r="E9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1635569</v>
      </c>
      <c r="F9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9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9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9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9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9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98" s="8">
        <v>99</v>
      </c>
      <c r="M98" s="8" t="s">
        <v>2039</v>
      </c>
    </row>
    <row r="99" spans="2:13" x14ac:dyDescent="0.2">
      <c r="B99" s="8">
        <f>VLOOKUP( T_ApifImport[[#This Row],[Bilans]], T_Bilansi[], 4, 0)</f>
        <v>2</v>
      </c>
      <c r="C99" s="377">
        <f>VLOOKUP( T_ApifImport[[#This Row],[Id]], T_Aop[], 4, 0)</f>
        <v>132</v>
      </c>
      <c r="D9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9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9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9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9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9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9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9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99" s="8">
        <v>100</v>
      </c>
      <c r="M99" s="8" t="s">
        <v>2039</v>
      </c>
    </row>
    <row r="100" spans="2:13" x14ac:dyDescent="0.2">
      <c r="B100" s="8">
        <f>VLOOKUP( T_ApifImport[[#This Row],[Bilans]], T_Bilansi[], 4, 0)</f>
        <v>2</v>
      </c>
      <c r="C100" s="377">
        <f>VLOOKUP( T_ApifImport[[#This Row],[Id]], T_Aop[], 4, 0)</f>
        <v>133</v>
      </c>
      <c r="D10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5128122</v>
      </c>
      <c r="E10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5266089</v>
      </c>
      <c r="F10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0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0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0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0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0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00" s="8">
        <v>101</v>
      </c>
      <c r="M100" s="8" t="s">
        <v>2039</v>
      </c>
    </row>
    <row r="101" spans="2:13" x14ac:dyDescent="0.2">
      <c r="B101" s="8">
        <f>VLOOKUP( T_ApifImport[[#This Row],[Bilans]], T_Bilansi[], 4, 0)</f>
        <v>2</v>
      </c>
      <c r="C101" s="377">
        <f>VLOOKUP( T_ApifImport[[#This Row],[Id]], T_Aop[], 4, 0)</f>
        <v>134</v>
      </c>
      <c r="D10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6323101</v>
      </c>
      <c r="E10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6635376</v>
      </c>
      <c r="F10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0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0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0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0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0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01" s="8">
        <v>102</v>
      </c>
      <c r="M101" s="8" t="s">
        <v>2039</v>
      </c>
    </row>
    <row r="102" spans="2:13" x14ac:dyDescent="0.2">
      <c r="B102" s="8">
        <f>VLOOKUP( T_ApifImport[[#This Row],[Bilans]], T_Bilansi[], 4, 0)</f>
        <v>2</v>
      </c>
      <c r="C102" s="377">
        <f>VLOOKUP( T_ApifImport[[#This Row],[Id]], T_Aop[], 4, 0)</f>
        <v>135</v>
      </c>
      <c r="D10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344526033</v>
      </c>
      <c r="E10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343812320</v>
      </c>
      <c r="F10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0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0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0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0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0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02" s="8">
        <v>103</v>
      </c>
      <c r="M102" s="8" t="s">
        <v>2039</v>
      </c>
    </row>
    <row r="103" spans="2:13" x14ac:dyDescent="0.2">
      <c r="B103" s="8">
        <f>VLOOKUP( T_ApifImport[[#This Row],[Bilans]], T_Bilansi[], 4, 0)</f>
        <v>2</v>
      </c>
      <c r="C103" s="377">
        <f>VLOOKUP( T_ApifImport[[#This Row],[Id]], T_Aop[], 4, 0)</f>
        <v>136</v>
      </c>
      <c r="D10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81599342</v>
      </c>
      <c r="E10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81266263</v>
      </c>
      <c r="F10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0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0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0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0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0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03" s="8">
        <v>104</v>
      </c>
      <c r="M103" s="8" t="s">
        <v>2039</v>
      </c>
    </row>
    <row r="104" spans="2:13" x14ac:dyDescent="0.2">
      <c r="B104" s="8">
        <f>VLOOKUP( T_ApifImport[[#This Row],[Bilans]], T_Bilansi[], 4, 0)</f>
        <v>2</v>
      </c>
      <c r="C104" s="377">
        <f>VLOOKUP( T_ApifImport[[#This Row],[Id]], T_Aop[], 4, 0)</f>
        <v>137</v>
      </c>
      <c r="D10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0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0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0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0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0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0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0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04" s="8">
        <v>105</v>
      </c>
      <c r="M104" s="8" t="s">
        <v>2039</v>
      </c>
    </row>
    <row r="105" spans="2:13" x14ac:dyDescent="0.2">
      <c r="B105" s="8">
        <f>VLOOKUP( T_ApifImport[[#This Row],[Bilans]], T_Bilansi[], 4, 0)</f>
        <v>2</v>
      </c>
      <c r="C105" s="377">
        <f>VLOOKUP( T_ApifImport[[#This Row],[Id]], T_Aop[], 4, 0)</f>
        <v>138</v>
      </c>
      <c r="D10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0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0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0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0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0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0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0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05" s="8">
        <v>106</v>
      </c>
      <c r="M105" s="8" t="s">
        <v>2039</v>
      </c>
    </row>
    <row r="106" spans="2:13" x14ac:dyDescent="0.2">
      <c r="B106" s="8">
        <f>VLOOKUP( T_ApifImport[[#This Row],[Bilans]], T_Bilansi[], 4, 0)</f>
        <v>2</v>
      </c>
      <c r="C106" s="377">
        <f>VLOOKUP( T_ApifImport[[#This Row],[Id]], T_Aop[], 4, 0)</f>
        <v>139</v>
      </c>
      <c r="D10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0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0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0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0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0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0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0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06" s="8">
        <v>107</v>
      </c>
      <c r="M106" s="8" t="s">
        <v>2039</v>
      </c>
    </row>
    <row r="107" spans="2:13" x14ac:dyDescent="0.2">
      <c r="B107" s="8">
        <f>VLOOKUP( T_ApifImport[[#This Row],[Bilans]], T_Bilansi[], 4, 0)</f>
        <v>2</v>
      </c>
      <c r="C107" s="377">
        <f>VLOOKUP( T_ApifImport[[#This Row],[Id]], T_Aop[], 4, 0)</f>
        <v>140</v>
      </c>
      <c r="D10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81599342</v>
      </c>
      <c r="E10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81266263</v>
      </c>
      <c r="F10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0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0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0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0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0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07" s="8">
        <v>108</v>
      </c>
      <c r="M107" s="8" t="s">
        <v>2039</v>
      </c>
    </row>
    <row r="108" spans="2:13" x14ac:dyDescent="0.2">
      <c r="B108" s="8">
        <f>VLOOKUP( T_ApifImport[[#This Row],[Bilans]], T_Bilansi[], 4, 0)</f>
        <v>2</v>
      </c>
      <c r="C108" s="377">
        <f>VLOOKUP( T_ApifImport[[#This Row],[Id]], T_Aop[], 4, 0)</f>
        <v>141</v>
      </c>
      <c r="D10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0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0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0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0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0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0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0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08" s="8">
        <v>109</v>
      </c>
      <c r="M108" s="8" t="s">
        <v>2039</v>
      </c>
    </row>
    <row r="109" spans="2:13" x14ac:dyDescent="0.2">
      <c r="B109" s="8">
        <f>VLOOKUP( T_ApifImport[[#This Row],[Bilans]], T_Bilansi[], 4, 0)</f>
        <v>2</v>
      </c>
      <c r="C109" s="377">
        <f>VLOOKUP( T_ApifImport[[#This Row],[Id]], T_Aop[], 4, 0)</f>
        <v>142</v>
      </c>
      <c r="D10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0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0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0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0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0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0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0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09" s="8">
        <v>110</v>
      </c>
      <c r="M109" s="8" t="s">
        <v>2039</v>
      </c>
    </row>
    <row r="110" spans="2:13" x14ac:dyDescent="0.2">
      <c r="B110" s="8">
        <f>VLOOKUP( T_ApifImport[[#This Row],[Bilans]], T_Bilansi[], 4, 0)</f>
        <v>2</v>
      </c>
      <c r="C110" s="377">
        <f>VLOOKUP( T_ApifImport[[#This Row],[Id]], T_Aop[], 4, 0)</f>
        <v>143</v>
      </c>
      <c r="D11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1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1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1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1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1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1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1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10" s="8">
        <v>111</v>
      </c>
      <c r="M110" s="8" t="s">
        <v>2039</v>
      </c>
    </row>
    <row r="111" spans="2:13" x14ac:dyDescent="0.2">
      <c r="B111" s="8">
        <f>VLOOKUP( T_ApifImport[[#This Row],[Bilans]], T_Bilansi[], 4, 0)</f>
        <v>2</v>
      </c>
      <c r="C111" s="377">
        <f>VLOOKUP( T_ApifImport[[#This Row],[Id]], T_Aop[], 4, 0)</f>
        <v>144</v>
      </c>
      <c r="D11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262926691</v>
      </c>
      <c r="E11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262546057</v>
      </c>
      <c r="F11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1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1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1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1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1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11" s="8">
        <v>112</v>
      </c>
      <c r="M111" s="8" t="s">
        <v>2039</v>
      </c>
    </row>
    <row r="112" spans="2:13" x14ac:dyDescent="0.2">
      <c r="B112" s="8">
        <f>VLOOKUP( T_ApifImport[[#This Row],[Bilans]], T_Bilansi[], 4, 0)</f>
        <v>2</v>
      </c>
      <c r="C112" s="377">
        <f>VLOOKUP( T_ApifImport[[#This Row],[Id]], T_Aop[], 4, 0)</f>
        <v>145</v>
      </c>
      <c r="D11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252590492</v>
      </c>
      <c r="E11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252555870</v>
      </c>
      <c r="F11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1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1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1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1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1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12" s="8">
        <v>113</v>
      </c>
      <c r="M112" s="8" t="s">
        <v>2039</v>
      </c>
    </row>
    <row r="113" spans="2:13" x14ac:dyDescent="0.2">
      <c r="B113" s="8">
        <f>VLOOKUP( T_ApifImport[[#This Row],[Bilans]], T_Bilansi[], 4, 0)</f>
        <v>2</v>
      </c>
      <c r="C113" s="377">
        <f>VLOOKUP( T_ApifImport[[#This Row],[Id]], T_Aop[], 4, 0)</f>
        <v>146</v>
      </c>
      <c r="D11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1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1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1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1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1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1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1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13" s="8">
        <v>114</v>
      </c>
      <c r="M113" s="8" t="s">
        <v>2039</v>
      </c>
    </row>
    <row r="114" spans="2:13" x14ac:dyDescent="0.2">
      <c r="B114" s="8">
        <f>VLOOKUP( T_ApifImport[[#This Row],[Bilans]], T_Bilansi[], 4, 0)</f>
        <v>2</v>
      </c>
      <c r="C114" s="377">
        <f>VLOOKUP( T_ApifImport[[#This Row],[Id]], T_Aop[], 4, 0)</f>
        <v>147</v>
      </c>
      <c r="D11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8737054</v>
      </c>
      <c r="E11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15525561</v>
      </c>
      <c r="F11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1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1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1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1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1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14" s="8">
        <v>115</v>
      </c>
      <c r="M114" s="8" t="s">
        <v>2039</v>
      </c>
    </row>
    <row r="115" spans="2:13" x14ac:dyDescent="0.2">
      <c r="B115" s="8">
        <f>VLOOKUP( T_ApifImport[[#This Row],[Bilans]], T_Bilansi[], 4, 0)</f>
        <v>2</v>
      </c>
      <c r="C115" s="377">
        <f>VLOOKUP( T_ApifImport[[#This Row],[Id]], T_Aop[], 4, 0)</f>
        <v>148</v>
      </c>
      <c r="D11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1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1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1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1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1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1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1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15" s="8">
        <v>116</v>
      </c>
      <c r="M115" s="8" t="s">
        <v>2039</v>
      </c>
    </row>
    <row r="116" spans="2:13" x14ac:dyDescent="0.2">
      <c r="B116" s="8">
        <f>VLOOKUP( T_ApifImport[[#This Row],[Bilans]], T_Bilansi[], 4, 0)</f>
        <v>2</v>
      </c>
      <c r="C116" s="377">
        <f>VLOOKUP( T_ApifImport[[#This Row],[Id]], T_Aop[], 4, 0)</f>
        <v>149</v>
      </c>
      <c r="D11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243853438</v>
      </c>
      <c r="E11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237030309</v>
      </c>
      <c r="F11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1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1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1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1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1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16" s="8">
        <v>117</v>
      </c>
      <c r="M116" s="8" t="s">
        <v>2039</v>
      </c>
    </row>
    <row r="117" spans="2:13" x14ac:dyDescent="0.2">
      <c r="B117" s="8">
        <f>VLOOKUP( T_ApifImport[[#This Row],[Bilans]], T_Bilansi[], 4, 0)</f>
        <v>2</v>
      </c>
      <c r="C117" s="377">
        <f>VLOOKUP( T_ApifImport[[#This Row],[Id]], T_Aop[], 4, 0)</f>
        <v>150</v>
      </c>
      <c r="D11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6051946</v>
      </c>
      <c r="E11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5458763</v>
      </c>
      <c r="F11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1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1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1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1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1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17" s="8">
        <v>118</v>
      </c>
      <c r="M117" s="8" t="s">
        <v>2039</v>
      </c>
    </row>
    <row r="118" spans="2:13" x14ac:dyDescent="0.2">
      <c r="B118" s="8">
        <f>VLOOKUP( T_ApifImport[[#This Row],[Bilans]], T_Bilansi[], 4, 0)</f>
        <v>2</v>
      </c>
      <c r="C118" s="377">
        <f>VLOOKUP( T_ApifImport[[#This Row],[Id]], T_Aop[], 4, 0)</f>
        <v>151</v>
      </c>
      <c r="D11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133748</v>
      </c>
      <c r="E11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167853</v>
      </c>
      <c r="F11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1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1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1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1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1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18" s="8">
        <v>119</v>
      </c>
      <c r="M118" s="8" t="s">
        <v>2039</v>
      </c>
    </row>
    <row r="119" spans="2:13" x14ac:dyDescent="0.2">
      <c r="B119" s="8">
        <f>VLOOKUP( T_ApifImport[[#This Row],[Bilans]], T_Bilansi[], 4, 0)</f>
        <v>2</v>
      </c>
      <c r="C119" s="377">
        <f>VLOOKUP( T_ApifImport[[#This Row],[Id]], T_Aop[], 4, 0)</f>
        <v>152</v>
      </c>
      <c r="D11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1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1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1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1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1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1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1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19" s="8">
        <v>120</v>
      </c>
      <c r="M119" s="8" t="s">
        <v>2039</v>
      </c>
    </row>
    <row r="120" spans="2:13" x14ac:dyDescent="0.2">
      <c r="B120" s="8">
        <f>VLOOKUP( T_ApifImport[[#This Row],[Bilans]], T_Bilansi[], 4, 0)</f>
        <v>2</v>
      </c>
      <c r="C120" s="377">
        <f>VLOOKUP( T_ApifImport[[#This Row],[Id]], T_Aop[], 4, 0)</f>
        <v>153</v>
      </c>
      <c r="D12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5500649</v>
      </c>
      <c r="E12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4567302</v>
      </c>
      <c r="F12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2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2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2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2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2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20" s="8">
        <v>121</v>
      </c>
      <c r="M120" s="8" t="s">
        <v>2039</v>
      </c>
    </row>
    <row r="121" spans="2:13" x14ac:dyDescent="0.2">
      <c r="B121" s="8">
        <f>VLOOKUP( T_ApifImport[[#This Row],[Bilans]], T_Bilansi[], 4, 0)</f>
        <v>2</v>
      </c>
      <c r="C121" s="377">
        <f>VLOOKUP( T_ApifImport[[#This Row],[Id]], T_Aop[], 4, 0)</f>
        <v>154</v>
      </c>
      <c r="D12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417549</v>
      </c>
      <c r="E12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723608</v>
      </c>
      <c r="F12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2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2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2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2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2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21" s="8">
        <v>122</v>
      </c>
      <c r="M121" s="8" t="s">
        <v>2039</v>
      </c>
    </row>
    <row r="122" spans="2:13" x14ac:dyDescent="0.2">
      <c r="B122" s="8">
        <f>VLOOKUP( T_ApifImport[[#This Row],[Bilans]], T_Bilansi[], 4, 0)</f>
        <v>2</v>
      </c>
      <c r="C122" s="377">
        <f>VLOOKUP( T_ApifImport[[#This Row],[Id]], T_Aop[], 4, 0)</f>
        <v>155</v>
      </c>
      <c r="D12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2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2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2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2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2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2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2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22" s="8">
        <v>123</v>
      </c>
      <c r="M122" s="8" t="s">
        <v>2039</v>
      </c>
    </row>
    <row r="123" spans="2:13" x14ac:dyDescent="0.2">
      <c r="B123" s="8">
        <f>VLOOKUP( T_ApifImport[[#This Row],[Bilans]], T_Bilansi[], 4, 0)</f>
        <v>2</v>
      </c>
      <c r="C123" s="377">
        <f>VLOOKUP( T_ApifImport[[#This Row],[Id]], T_Aop[], 4, 0)</f>
        <v>156</v>
      </c>
      <c r="D12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11940</v>
      </c>
      <c r="E12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11940</v>
      </c>
      <c r="F12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2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2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2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2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2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23" s="8">
        <v>124</v>
      </c>
      <c r="M123" s="8" t="s">
        <v>2039</v>
      </c>
    </row>
    <row r="124" spans="2:13" x14ac:dyDescent="0.2">
      <c r="B124" s="8">
        <f>VLOOKUP( T_ApifImport[[#This Row],[Bilans]], T_Bilansi[], 4, 0)</f>
        <v>2</v>
      </c>
      <c r="C124" s="377">
        <f>VLOOKUP( T_ApifImport[[#This Row],[Id]], T_Aop[], 4, 0)</f>
        <v>157</v>
      </c>
      <c r="D12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3198228</v>
      </c>
      <c r="E12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3197413</v>
      </c>
      <c r="F12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2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2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2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2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2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24" s="8">
        <v>125</v>
      </c>
      <c r="M124" s="8" t="s">
        <v>2039</v>
      </c>
    </row>
    <row r="125" spans="2:13" x14ac:dyDescent="0.2">
      <c r="B125" s="8">
        <f>VLOOKUP( T_ApifImport[[#This Row],[Bilans]], T_Bilansi[], 4, 0)</f>
        <v>2</v>
      </c>
      <c r="C125" s="377">
        <f>VLOOKUP( T_ApifImport[[#This Row],[Id]], T_Aop[], 4, 0)</f>
        <v>158</v>
      </c>
      <c r="D12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174187</v>
      </c>
      <c r="E12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187260</v>
      </c>
      <c r="F12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2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2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2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2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2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25" s="8">
        <v>126</v>
      </c>
      <c r="M125" s="8" t="s">
        <v>2039</v>
      </c>
    </row>
    <row r="126" spans="2:13" x14ac:dyDescent="0.2">
      <c r="B126" s="8">
        <f>VLOOKUP( T_ApifImport[[#This Row],[Bilans]], T_Bilansi[], 4, 0)</f>
        <v>2</v>
      </c>
      <c r="C126" s="377">
        <f>VLOOKUP( T_ApifImport[[#This Row],[Id]], T_Aop[], 4, 0)</f>
        <v>159</v>
      </c>
      <c r="D12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69796</v>
      </c>
      <c r="E12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346506</v>
      </c>
      <c r="F12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2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2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2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2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2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26" s="8">
        <v>127</v>
      </c>
      <c r="M126" s="8" t="s">
        <v>2039</v>
      </c>
    </row>
    <row r="127" spans="2:13" x14ac:dyDescent="0.2">
      <c r="B127" s="8">
        <f>VLOOKUP( T_ApifImport[[#This Row],[Bilans]], T_Bilansi[], 4, 0)</f>
        <v>2</v>
      </c>
      <c r="C127" s="377">
        <f>VLOOKUP( T_ApifImport[[#This Row],[Id]], T_Aop[], 4, 0)</f>
        <v>160</v>
      </c>
      <c r="D12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69222</v>
      </c>
      <c r="E12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77074</v>
      </c>
      <c r="F12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2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2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2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2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2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27" s="8">
        <v>128</v>
      </c>
      <c r="M127" s="8" t="s">
        <v>2039</v>
      </c>
    </row>
    <row r="128" spans="2:13" x14ac:dyDescent="0.2">
      <c r="B128" s="8">
        <f>VLOOKUP( T_ApifImport[[#This Row],[Bilans]], T_Bilansi[], 4, 0)</f>
        <v>2</v>
      </c>
      <c r="C128" s="377">
        <f>VLOOKUP( T_ApifImport[[#This Row],[Id]], T_Aop[], 4, 0)</f>
        <v>161</v>
      </c>
      <c r="D12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2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2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2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2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2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2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2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28" s="8">
        <v>129</v>
      </c>
      <c r="M128" s="8" t="s">
        <v>2039</v>
      </c>
    </row>
    <row r="129" spans="2:13" x14ac:dyDescent="0.2">
      <c r="B129" s="8">
        <f>VLOOKUP( T_ApifImport[[#This Row],[Bilans]], T_Bilansi[], 4, 0)</f>
        <v>2</v>
      </c>
      <c r="C129" s="377">
        <f>VLOOKUP( T_ApifImport[[#This Row],[Id]], T_Aop[], 4, 0)</f>
        <v>162</v>
      </c>
      <c r="D12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760880</v>
      </c>
      <c r="E12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711231</v>
      </c>
      <c r="F12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2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2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2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2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2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29" s="8">
        <v>130</v>
      </c>
      <c r="M129" s="8" t="s">
        <v>2039</v>
      </c>
    </row>
    <row r="130" spans="2:13" x14ac:dyDescent="0.2">
      <c r="B130" s="8">
        <f>VLOOKUP( T_ApifImport[[#This Row],[Bilans]], T_Bilansi[], 4, 0)</f>
        <v>2</v>
      </c>
      <c r="C130" s="377">
        <f>VLOOKUP( T_ApifImport[[#This Row],[Id]], T_Aop[], 4, 0)</f>
        <v>163</v>
      </c>
      <c r="D13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3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3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3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3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3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3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3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30" s="8">
        <v>131</v>
      </c>
      <c r="M130" s="8" t="s">
        <v>2039</v>
      </c>
    </row>
    <row r="131" spans="2:13" x14ac:dyDescent="0.2">
      <c r="B131" s="8">
        <f>VLOOKUP( T_ApifImport[[#This Row],[Bilans]], T_Bilansi[], 4, 0)</f>
        <v>2</v>
      </c>
      <c r="C131" s="377">
        <f>VLOOKUP( T_ApifImport[[#This Row],[Id]], T_Aop[], 4, 0)</f>
        <v>164</v>
      </c>
      <c r="D13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478093457</v>
      </c>
      <c r="E13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482287949</v>
      </c>
      <c r="F13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3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3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3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3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3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31" s="8">
        <v>132</v>
      </c>
      <c r="M131" s="8" t="s">
        <v>2039</v>
      </c>
    </row>
    <row r="132" spans="2:13" x14ac:dyDescent="0.2">
      <c r="B132" s="8">
        <f>VLOOKUP( T_ApifImport[[#This Row],[Bilans]], T_Bilansi[], 4, 0)</f>
        <v>2</v>
      </c>
      <c r="C132" s="377">
        <f>VLOOKUP( T_ApifImport[[#This Row],[Id]], T_Aop[], 4, 0)</f>
        <v>165</v>
      </c>
      <c r="D13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80802875</v>
      </c>
      <c r="E13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80658561</v>
      </c>
      <c r="F13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3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3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3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3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3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32" s="8">
        <v>133</v>
      </c>
      <c r="M132" s="8" t="s">
        <v>2039</v>
      </c>
    </row>
    <row r="133" spans="2:13" x14ac:dyDescent="0.2">
      <c r="B133" s="8">
        <f>VLOOKUP( T_ApifImport[[#This Row],[Bilans]], T_Bilansi[], 4, 0)</f>
        <v>2</v>
      </c>
      <c r="C133" s="377">
        <f>VLOOKUP( T_ApifImport[[#This Row],[Id]], T_Aop[], 4, 0)</f>
        <v>166</v>
      </c>
      <c r="D13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558896332</v>
      </c>
      <c r="E13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562946510</v>
      </c>
      <c r="F13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3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3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3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3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3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33" s="8">
        <v>134</v>
      </c>
      <c r="M133" s="8" t="s">
        <v>2039</v>
      </c>
    </row>
    <row r="134" spans="2:13" x14ac:dyDescent="0.2">
      <c r="B134" s="8">
        <f>VLOOKUP( T_ApifImport[[#This Row],[Bilans]], T_Bilansi[], 4, 0)</f>
        <v>3</v>
      </c>
      <c r="C134" s="377">
        <f>VLOOKUP( T_ApifImport[[#This Row],[Id]], T_Aop[], 4, 0)</f>
        <v>201</v>
      </c>
      <c r="D13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12469693</v>
      </c>
      <c r="E13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15346437</v>
      </c>
      <c r="F13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3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3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3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3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3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34" s="8">
        <v>136</v>
      </c>
      <c r="M134" s="8" t="s">
        <v>541</v>
      </c>
    </row>
    <row r="135" spans="2:13" x14ac:dyDescent="0.2">
      <c r="B135" s="8">
        <f>VLOOKUP( T_ApifImport[[#This Row],[Bilans]], T_Bilansi[], 4, 0)</f>
        <v>3</v>
      </c>
      <c r="C135" s="377">
        <f>VLOOKUP( T_ApifImport[[#This Row],[Id]], T_Aop[], 4, 0)</f>
        <v>202</v>
      </c>
      <c r="D13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3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3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3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3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3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3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3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35" s="8">
        <v>137</v>
      </c>
      <c r="M135" s="8" t="s">
        <v>541</v>
      </c>
    </row>
    <row r="136" spans="2:13" x14ac:dyDescent="0.2">
      <c r="B136" s="8">
        <f>VLOOKUP( T_ApifImport[[#This Row],[Bilans]], T_Bilansi[], 4, 0)</f>
        <v>3</v>
      </c>
      <c r="C136" s="377">
        <f>VLOOKUP( T_ApifImport[[#This Row],[Id]], T_Aop[], 4, 0)</f>
        <v>203</v>
      </c>
      <c r="D13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3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3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3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3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3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3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3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36" s="8">
        <v>138</v>
      </c>
      <c r="M136" s="8" t="s">
        <v>541</v>
      </c>
    </row>
    <row r="137" spans="2:13" x14ac:dyDescent="0.2">
      <c r="B137" s="8">
        <f>VLOOKUP( T_ApifImport[[#This Row],[Bilans]], T_Bilansi[], 4, 0)</f>
        <v>3</v>
      </c>
      <c r="C137" s="377">
        <f>VLOOKUP( T_ApifImport[[#This Row],[Id]], T_Aop[], 4, 0)</f>
        <v>204</v>
      </c>
      <c r="D13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3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3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3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3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3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3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3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37" s="8">
        <v>139</v>
      </c>
      <c r="M137" s="8" t="s">
        <v>541</v>
      </c>
    </row>
    <row r="138" spans="2:13" x14ac:dyDescent="0.2">
      <c r="B138" s="8">
        <f>VLOOKUP( T_ApifImport[[#This Row],[Bilans]], T_Bilansi[], 4, 0)</f>
        <v>3</v>
      </c>
      <c r="C138" s="377">
        <f>VLOOKUP( T_ApifImport[[#This Row],[Id]], T_Aop[], 4, 0)</f>
        <v>205</v>
      </c>
      <c r="D13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3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3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3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3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3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3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3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38" s="8">
        <v>140</v>
      </c>
      <c r="M138" s="8" t="s">
        <v>541</v>
      </c>
    </row>
    <row r="139" spans="2:13" x14ac:dyDescent="0.2">
      <c r="B139" s="8">
        <f>VLOOKUP( T_ApifImport[[#This Row],[Bilans]], T_Bilansi[], 4, 0)</f>
        <v>3</v>
      </c>
      <c r="C139" s="377">
        <f>VLOOKUP( T_ApifImport[[#This Row],[Id]], T_Aop[], 4, 0)</f>
        <v>206</v>
      </c>
      <c r="D13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7285915</v>
      </c>
      <c r="E13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8357356</v>
      </c>
      <c r="F13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3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3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3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3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3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39" s="8">
        <v>141</v>
      </c>
      <c r="M139" s="8" t="s">
        <v>541</v>
      </c>
    </row>
    <row r="140" spans="2:13" x14ac:dyDescent="0.2">
      <c r="B140" s="8">
        <f>VLOOKUP( T_ApifImport[[#This Row],[Bilans]], T_Bilansi[], 4, 0)</f>
        <v>3</v>
      </c>
      <c r="C140" s="377">
        <f>VLOOKUP( T_ApifImport[[#This Row],[Id]], T_Aop[], 4, 0)</f>
        <v>207</v>
      </c>
      <c r="D14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4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4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4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4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4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4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4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40" s="8">
        <v>142</v>
      </c>
      <c r="M140" s="8" t="s">
        <v>541</v>
      </c>
    </row>
    <row r="141" spans="2:13" x14ac:dyDescent="0.2">
      <c r="B141" s="8">
        <f>VLOOKUP( T_ApifImport[[#This Row],[Bilans]], T_Bilansi[], 4, 0)</f>
        <v>3</v>
      </c>
      <c r="C141" s="377">
        <f>VLOOKUP( T_ApifImport[[#This Row],[Id]], T_Aop[], 4, 0)</f>
        <v>208</v>
      </c>
      <c r="D14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7029283</v>
      </c>
      <c r="E14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7867941</v>
      </c>
      <c r="F14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4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4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4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4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4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41" s="8">
        <v>143</v>
      </c>
      <c r="M141" s="8" t="s">
        <v>541</v>
      </c>
    </row>
    <row r="142" spans="2:13" x14ac:dyDescent="0.2">
      <c r="B142" s="8">
        <f>VLOOKUP( T_ApifImport[[#This Row],[Bilans]], T_Bilansi[], 4, 0)</f>
        <v>3</v>
      </c>
      <c r="C142" s="377">
        <f>VLOOKUP( T_ApifImport[[#This Row],[Id]], T_Aop[], 4, 0)</f>
        <v>209</v>
      </c>
      <c r="D14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256632</v>
      </c>
      <c r="E14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489415</v>
      </c>
      <c r="F14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4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4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4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4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4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42" s="8">
        <v>144</v>
      </c>
      <c r="M142" s="8" t="s">
        <v>541</v>
      </c>
    </row>
    <row r="143" spans="2:13" x14ac:dyDescent="0.2">
      <c r="B143" s="8">
        <f>VLOOKUP( T_ApifImport[[#This Row],[Bilans]], T_Bilansi[], 4, 0)</f>
        <v>3</v>
      </c>
      <c r="C143" s="377">
        <f>VLOOKUP( T_ApifImport[[#This Row],[Id]], T_Aop[], 4, 0)</f>
        <v>210</v>
      </c>
      <c r="D14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4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4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4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4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4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4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4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43" s="8">
        <v>145</v>
      </c>
      <c r="M143" s="8" t="s">
        <v>541</v>
      </c>
    </row>
    <row r="144" spans="2:13" x14ac:dyDescent="0.2">
      <c r="B144" s="8">
        <f>VLOOKUP( T_ApifImport[[#This Row],[Bilans]], T_Bilansi[], 4, 0)</f>
        <v>3</v>
      </c>
      <c r="C144" s="377">
        <f>VLOOKUP( T_ApifImport[[#This Row],[Id]], T_Aop[], 4, 0)</f>
        <v>211</v>
      </c>
      <c r="D14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4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4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4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4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4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4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4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44" s="8">
        <v>146</v>
      </c>
      <c r="M144" s="8" t="s">
        <v>541</v>
      </c>
    </row>
    <row r="145" spans="2:13" x14ac:dyDescent="0.2">
      <c r="B145" s="8">
        <f>VLOOKUP( T_ApifImport[[#This Row],[Bilans]], T_Bilansi[], 4, 0)</f>
        <v>3</v>
      </c>
      <c r="C145" s="377">
        <f>VLOOKUP( T_ApifImport[[#This Row],[Id]], T_Aop[], 4, 0)</f>
        <v>212</v>
      </c>
      <c r="D14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4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4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4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4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4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4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4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45" s="8">
        <v>147</v>
      </c>
      <c r="M145" s="8" t="s">
        <v>541</v>
      </c>
    </row>
    <row r="146" spans="2:13" x14ac:dyDescent="0.2">
      <c r="B146" s="8">
        <f>VLOOKUP( T_ApifImport[[#This Row],[Bilans]], T_Bilansi[], 4, 0)</f>
        <v>3</v>
      </c>
      <c r="C146" s="377">
        <f>VLOOKUP( T_ApifImport[[#This Row],[Id]], T_Aop[], 4, 0)</f>
        <v>213</v>
      </c>
      <c r="D14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4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4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4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4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4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4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4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46" s="8">
        <v>148</v>
      </c>
      <c r="M146" s="8" t="s">
        <v>541</v>
      </c>
    </row>
    <row r="147" spans="2:13" x14ac:dyDescent="0.2">
      <c r="B147" s="8">
        <f>VLOOKUP( T_ApifImport[[#This Row],[Bilans]], T_Bilansi[], 4, 0)</f>
        <v>3</v>
      </c>
      <c r="C147" s="377">
        <f>VLOOKUP( T_ApifImport[[#This Row],[Id]], T_Aop[], 4, 0)</f>
        <v>214</v>
      </c>
      <c r="D14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4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4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4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4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4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4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4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47" s="8">
        <v>149</v>
      </c>
      <c r="M147" s="8" t="s">
        <v>541</v>
      </c>
    </row>
    <row r="148" spans="2:13" x14ac:dyDescent="0.2">
      <c r="B148" s="8">
        <f>VLOOKUP( T_ApifImport[[#This Row],[Bilans]], T_Bilansi[], 4, 0)</f>
        <v>3</v>
      </c>
      <c r="C148" s="377">
        <f>VLOOKUP( T_ApifImport[[#This Row],[Id]], T_Aop[], 4, 0)</f>
        <v>215</v>
      </c>
      <c r="D14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5183778</v>
      </c>
      <c r="E14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6989081</v>
      </c>
      <c r="F14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4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4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4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4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4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48" s="8">
        <v>150</v>
      </c>
      <c r="M148" s="8" t="s">
        <v>541</v>
      </c>
    </row>
    <row r="149" spans="2:13" x14ac:dyDescent="0.2">
      <c r="B149" s="8">
        <f>VLOOKUP( T_ApifImport[[#This Row],[Bilans]], T_Bilansi[], 4, 0)</f>
        <v>3</v>
      </c>
      <c r="C149" s="377">
        <f>VLOOKUP( T_ApifImport[[#This Row],[Id]], T_Aop[], 4, 0)</f>
        <v>216</v>
      </c>
      <c r="D14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17257618</v>
      </c>
      <c r="E14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18315863</v>
      </c>
      <c r="F14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4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4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4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4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4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49" s="8">
        <v>151</v>
      </c>
      <c r="M149" s="8" t="s">
        <v>541</v>
      </c>
    </row>
    <row r="150" spans="2:13" x14ac:dyDescent="0.2">
      <c r="B150" s="8">
        <f>VLOOKUP( T_ApifImport[[#This Row],[Bilans]], T_Bilansi[], 4, 0)</f>
        <v>3</v>
      </c>
      <c r="C150" s="377">
        <f>VLOOKUP( T_ApifImport[[#This Row],[Id]], T_Aop[], 4, 0)</f>
        <v>217</v>
      </c>
      <c r="D15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5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5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5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5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5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5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5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50" s="8">
        <v>152</v>
      </c>
      <c r="M150" s="8" t="s">
        <v>541</v>
      </c>
    </row>
    <row r="151" spans="2:13" x14ac:dyDescent="0.2">
      <c r="B151" s="8">
        <f>VLOOKUP( T_ApifImport[[#This Row],[Bilans]], T_Bilansi[], 4, 0)</f>
        <v>3</v>
      </c>
      <c r="C151" s="377">
        <f>VLOOKUP( T_ApifImport[[#This Row],[Id]], T_Aop[], 4, 0)</f>
        <v>218</v>
      </c>
      <c r="D15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1699832</v>
      </c>
      <c r="E15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1783251</v>
      </c>
      <c r="F15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5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5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5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5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5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51" s="8">
        <v>153</v>
      </c>
      <c r="M151" s="8" t="s">
        <v>541</v>
      </c>
    </row>
    <row r="152" spans="2:13" x14ac:dyDescent="0.2">
      <c r="B152" s="8">
        <f>VLOOKUP( T_ApifImport[[#This Row],[Bilans]], T_Bilansi[], 4, 0)</f>
        <v>3</v>
      </c>
      <c r="C152" s="377">
        <f>VLOOKUP( T_ApifImport[[#This Row],[Id]], T_Aop[], 4, 0)</f>
        <v>219</v>
      </c>
      <c r="D15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10024357</v>
      </c>
      <c r="E15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10747733</v>
      </c>
      <c r="F15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5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5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5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5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5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52" s="8">
        <v>154</v>
      </c>
      <c r="M152" s="8" t="s">
        <v>541</v>
      </c>
    </row>
    <row r="153" spans="2:13" x14ac:dyDescent="0.2">
      <c r="B153" s="8">
        <f>VLOOKUP( T_ApifImport[[#This Row],[Bilans]], T_Bilansi[], 4, 0)</f>
        <v>3</v>
      </c>
      <c r="C153" s="377">
        <f>VLOOKUP( T_ApifImport[[#This Row],[Id]], T_Aop[], 4, 0)</f>
        <v>220</v>
      </c>
      <c r="D15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9501891</v>
      </c>
      <c r="E15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10037255</v>
      </c>
      <c r="F15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5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5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5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5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5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53" s="8">
        <v>155</v>
      </c>
      <c r="M153" s="8" t="s">
        <v>541</v>
      </c>
    </row>
    <row r="154" spans="2:13" x14ac:dyDescent="0.2">
      <c r="B154" s="8">
        <f>VLOOKUP( T_ApifImport[[#This Row],[Bilans]], T_Bilansi[], 4, 0)</f>
        <v>3</v>
      </c>
      <c r="C154" s="377">
        <f>VLOOKUP( T_ApifImport[[#This Row],[Id]], T_Aop[], 4, 0)</f>
        <v>221</v>
      </c>
      <c r="D15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522466</v>
      </c>
      <c r="E15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710478</v>
      </c>
      <c r="F15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5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5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5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5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5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54" s="8">
        <v>156</v>
      </c>
      <c r="M154" s="8" t="s">
        <v>541</v>
      </c>
    </row>
    <row r="155" spans="2:13" x14ac:dyDescent="0.2">
      <c r="B155" s="8">
        <f>VLOOKUP( T_ApifImport[[#This Row],[Bilans]], T_Bilansi[], 4, 0)</f>
        <v>3</v>
      </c>
      <c r="C155" s="377">
        <f>VLOOKUP( T_ApifImport[[#This Row],[Id]], T_Aop[], 4, 0)</f>
        <v>222</v>
      </c>
      <c r="D15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706192</v>
      </c>
      <c r="E15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829934</v>
      </c>
      <c r="F15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5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5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5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5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5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55" s="8">
        <v>157</v>
      </c>
      <c r="M155" s="8" t="s">
        <v>541</v>
      </c>
    </row>
    <row r="156" spans="2:13" x14ac:dyDescent="0.2">
      <c r="B156" s="8">
        <f>VLOOKUP( T_ApifImport[[#This Row],[Bilans]], T_Bilansi[], 4, 0)</f>
        <v>3</v>
      </c>
      <c r="C156" s="377">
        <f>VLOOKUP( T_ApifImport[[#This Row],[Id]], T_Aop[], 4, 0)</f>
        <v>223</v>
      </c>
      <c r="D15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4443919</v>
      </c>
      <c r="E15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4537155</v>
      </c>
      <c r="F15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5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5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5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5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5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56" s="8">
        <v>158</v>
      </c>
      <c r="M156" s="8" t="s">
        <v>541</v>
      </c>
    </row>
    <row r="157" spans="2:13" x14ac:dyDescent="0.2">
      <c r="B157" s="8">
        <f>VLOOKUP( T_ApifImport[[#This Row],[Bilans]], T_Bilansi[], 4, 0)</f>
        <v>3</v>
      </c>
      <c r="C157" s="377">
        <f>VLOOKUP( T_ApifImport[[#This Row],[Id]], T_Aop[], 4, 0)</f>
        <v>224</v>
      </c>
      <c r="D15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4315102</v>
      </c>
      <c r="E15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4537155</v>
      </c>
      <c r="F15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5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5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5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5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5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57" s="8">
        <v>159</v>
      </c>
      <c r="M157" s="8" t="s">
        <v>541</v>
      </c>
    </row>
    <row r="158" spans="2:13" x14ac:dyDescent="0.2">
      <c r="B158" s="8">
        <f>VLOOKUP( T_ApifImport[[#This Row],[Bilans]], T_Bilansi[], 4, 0)</f>
        <v>3</v>
      </c>
      <c r="C158" s="377">
        <f>VLOOKUP( T_ApifImport[[#This Row],[Id]], T_Aop[], 4, 0)</f>
        <v>225</v>
      </c>
      <c r="D15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128817</v>
      </c>
      <c r="E15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5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5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5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5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5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5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58" s="8">
        <v>160</v>
      </c>
      <c r="M158" s="8" t="s">
        <v>541</v>
      </c>
    </row>
    <row r="159" spans="2:13" x14ac:dyDescent="0.2">
      <c r="B159" s="8">
        <f>VLOOKUP( T_ApifImport[[#This Row],[Bilans]], T_Bilansi[], 4, 0)</f>
        <v>3</v>
      </c>
      <c r="C159" s="377">
        <f>VLOOKUP( T_ApifImport[[#This Row],[Id]], T_Aop[], 4, 0)</f>
        <v>226</v>
      </c>
      <c r="D15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232982</v>
      </c>
      <c r="E15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243692</v>
      </c>
      <c r="F15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5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5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5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5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5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59" s="8">
        <v>161</v>
      </c>
      <c r="M159" s="8" t="s">
        <v>541</v>
      </c>
    </row>
    <row r="160" spans="2:13" x14ac:dyDescent="0.2">
      <c r="B160" s="8">
        <f>VLOOKUP( T_ApifImport[[#This Row],[Bilans]], T_Bilansi[], 4, 0)</f>
        <v>3</v>
      </c>
      <c r="C160" s="377">
        <f>VLOOKUP( T_ApifImport[[#This Row],[Id]], T_Aop[], 4, 0)</f>
        <v>227</v>
      </c>
      <c r="D16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20948</v>
      </c>
      <c r="E16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38407</v>
      </c>
      <c r="F16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6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6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6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6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6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60" s="8">
        <v>162</v>
      </c>
      <c r="M160" s="8" t="s">
        <v>541</v>
      </c>
    </row>
    <row r="161" spans="2:13" x14ac:dyDescent="0.2">
      <c r="B161" s="8">
        <f>VLOOKUP( T_ApifImport[[#This Row],[Bilans]], T_Bilansi[], 4, 0)</f>
        <v>3</v>
      </c>
      <c r="C161" s="377">
        <f>VLOOKUP( T_ApifImport[[#This Row],[Id]], T_Aop[], 4, 0)</f>
        <v>228</v>
      </c>
      <c r="D16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129388</v>
      </c>
      <c r="E16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135691</v>
      </c>
      <c r="F16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6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6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6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6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6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61" s="8">
        <v>163</v>
      </c>
      <c r="M161" s="8" t="s">
        <v>541</v>
      </c>
    </row>
    <row r="162" spans="2:13" x14ac:dyDescent="0.2">
      <c r="B162" s="8">
        <f>VLOOKUP( T_ApifImport[[#This Row],[Bilans]], T_Bilansi[], 4, 0)</f>
        <v>3</v>
      </c>
      <c r="C162" s="377">
        <f>VLOOKUP( T_ApifImport[[#This Row],[Id]], T_Aop[], 4, 0)</f>
        <v>229</v>
      </c>
      <c r="D16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6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6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6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6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6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6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6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62" s="8">
        <v>164</v>
      </c>
      <c r="M162" s="8" t="s">
        <v>541</v>
      </c>
    </row>
    <row r="163" spans="2:13" x14ac:dyDescent="0.2">
      <c r="B163" s="8">
        <f>VLOOKUP( T_ApifImport[[#This Row],[Bilans]], T_Bilansi[], 4, 0)</f>
        <v>3</v>
      </c>
      <c r="C163" s="377">
        <f>VLOOKUP( T_ApifImport[[#This Row],[Id]], T_Aop[], 4, 0)</f>
        <v>230</v>
      </c>
      <c r="D16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4787925</v>
      </c>
      <c r="E16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2969426</v>
      </c>
      <c r="F16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6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6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6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6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6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63" s="8">
        <v>165</v>
      </c>
      <c r="M163" s="8" t="s">
        <v>541</v>
      </c>
    </row>
    <row r="164" spans="2:13" x14ac:dyDescent="0.2">
      <c r="B164" s="8">
        <f>VLOOKUP( T_ApifImport[[#This Row],[Bilans]], T_Bilansi[], 4, 0)</f>
        <v>3</v>
      </c>
      <c r="C164" s="377">
        <f>VLOOKUP( T_ApifImport[[#This Row],[Id]], T_Aop[], 4, 0)</f>
        <v>231</v>
      </c>
      <c r="D16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90203</v>
      </c>
      <c r="E16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18840</v>
      </c>
      <c r="F16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6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6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6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6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6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64" s="8">
        <v>167</v>
      </c>
      <c r="M164" s="8" t="s">
        <v>541</v>
      </c>
    </row>
    <row r="165" spans="2:13" x14ac:dyDescent="0.2">
      <c r="B165" s="8">
        <f>VLOOKUP( T_ApifImport[[#This Row],[Bilans]], T_Bilansi[], 4, 0)</f>
        <v>3</v>
      </c>
      <c r="C165" s="377">
        <f>VLOOKUP( T_ApifImport[[#This Row],[Id]], T_Aop[], 4, 0)</f>
        <v>232</v>
      </c>
      <c r="D16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6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6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6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6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6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6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6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65" s="8">
        <v>168</v>
      </c>
      <c r="M165" s="8" t="s">
        <v>541</v>
      </c>
    </row>
    <row r="166" spans="2:13" x14ac:dyDescent="0.2">
      <c r="B166" s="8">
        <f>VLOOKUP( T_ApifImport[[#This Row],[Bilans]], T_Bilansi[], 4, 0)</f>
        <v>3</v>
      </c>
      <c r="C166" s="377">
        <f>VLOOKUP( T_ApifImport[[#This Row],[Id]], T_Aop[], 4, 0)</f>
        <v>233</v>
      </c>
      <c r="D16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90203</v>
      </c>
      <c r="E16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18840</v>
      </c>
      <c r="F16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6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6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6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6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6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66" s="8">
        <v>169</v>
      </c>
      <c r="M166" s="8" t="s">
        <v>541</v>
      </c>
    </row>
    <row r="167" spans="2:13" x14ac:dyDescent="0.2">
      <c r="B167" s="8">
        <f>VLOOKUP( T_ApifImport[[#This Row],[Bilans]], T_Bilansi[], 4, 0)</f>
        <v>3</v>
      </c>
      <c r="C167" s="377">
        <f>VLOOKUP( T_ApifImport[[#This Row],[Id]], T_Aop[], 4, 0)</f>
        <v>234</v>
      </c>
      <c r="D16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6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6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6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6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6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6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6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67" s="8">
        <v>170</v>
      </c>
      <c r="M167" s="8" t="s">
        <v>541</v>
      </c>
    </row>
    <row r="168" spans="2:13" x14ac:dyDescent="0.2">
      <c r="B168" s="8">
        <f>VLOOKUP( T_ApifImport[[#This Row],[Bilans]], T_Bilansi[], 4, 0)</f>
        <v>3</v>
      </c>
      <c r="C168" s="377">
        <f>VLOOKUP( T_ApifImport[[#This Row],[Id]], T_Aop[], 4, 0)</f>
        <v>235</v>
      </c>
      <c r="D16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6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6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6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6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6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6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6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68" s="8">
        <v>171</v>
      </c>
      <c r="M168" s="8" t="s">
        <v>541</v>
      </c>
    </row>
    <row r="169" spans="2:13" x14ac:dyDescent="0.2">
      <c r="B169" s="8">
        <f>VLOOKUP( T_ApifImport[[#This Row],[Bilans]], T_Bilansi[], 4, 0)</f>
        <v>3</v>
      </c>
      <c r="C169" s="377">
        <f>VLOOKUP( T_ApifImport[[#This Row],[Id]], T_Aop[], 4, 0)</f>
        <v>236</v>
      </c>
      <c r="D16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6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6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6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6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6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6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6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69" s="8">
        <v>172</v>
      </c>
      <c r="M169" s="8" t="s">
        <v>541</v>
      </c>
    </row>
    <row r="170" spans="2:13" x14ac:dyDescent="0.2">
      <c r="B170" s="8">
        <f>VLOOKUP( T_ApifImport[[#This Row],[Bilans]], T_Bilansi[], 4, 0)</f>
        <v>3</v>
      </c>
      <c r="C170" s="377">
        <f>VLOOKUP( T_ApifImport[[#This Row],[Id]], T_Aop[], 4, 0)</f>
        <v>237</v>
      </c>
      <c r="D17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7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7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7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7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7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7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7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70" s="8">
        <v>173</v>
      </c>
      <c r="M170" s="8" t="s">
        <v>541</v>
      </c>
    </row>
    <row r="171" spans="2:13" x14ac:dyDescent="0.2">
      <c r="B171" s="8">
        <f>VLOOKUP( T_ApifImport[[#This Row],[Bilans]], T_Bilansi[], 4, 0)</f>
        <v>3</v>
      </c>
      <c r="C171" s="377">
        <f>VLOOKUP( T_ApifImport[[#This Row],[Id]], T_Aop[], 4, 0)</f>
        <v>238</v>
      </c>
      <c r="D17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64449</v>
      </c>
      <c r="E17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2289324</v>
      </c>
      <c r="F17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7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7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7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7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7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71" s="8">
        <v>174</v>
      </c>
      <c r="M171" s="8" t="s">
        <v>541</v>
      </c>
    </row>
    <row r="172" spans="2:13" x14ac:dyDescent="0.2">
      <c r="B172" s="8">
        <f>VLOOKUP( T_ApifImport[[#This Row],[Bilans]], T_Bilansi[], 4, 0)</f>
        <v>3</v>
      </c>
      <c r="C172" s="377">
        <f>VLOOKUP( T_ApifImport[[#This Row],[Id]], T_Aop[], 4, 0)</f>
        <v>239</v>
      </c>
      <c r="D17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7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7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7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7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7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7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7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72" s="8">
        <v>175</v>
      </c>
      <c r="M172" s="8" t="s">
        <v>541</v>
      </c>
    </row>
    <row r="173" spans="2:13" x14ac:dyDescent="0.2">
      <c r="B173" s="8">
        <f>VLOOKUP( T_ApifImport[[#This Row],[Bilans]], T_Bilansi[], 4, 0)</f>
        <v>3</v>
      </c>
      <c r="C173" s="377">
        <f>VLOOKUP( T_ApifImport[[#This Row],[Id]], T_Aop[], 4, 0)</f>
        <v>240</v>
      </c>
      <c r="D17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64401</v>
      </c>
      <c r="E17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2288015</v>
      </c>
      <c r="F17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7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7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7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7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7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73" s="8">
        <v>176</v>
      </c>
      <c r="M173" s="8" t="s">
        <v>541</v>
      </c>
    </row>
    <row r="174" spans="2:13" x14ac:dyDescent="0.2">
      <c r="B174" s="8">
        <f>VLOOKUP( T_ApifImport[[#This Row],[Bilans]], T_Bilansi[], 4, 0)</f>
        <v>3</v>
      </c>
      <c r="C174" s="377">
        <f>VLOOKUP( T_ApifImport[[#This Row],[Id]], T_Aop[], 4, 0)</f>
        <v>241</v>
      </c>
      <c r="D17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48</v>
      </c>
      <c r="E17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1309</v>
      </c>
      <c r="F17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7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7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7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7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7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74" s="8">
        <v>177</v>
      </c>
      <c r="M174" s="8" t="s">
        <v>541</v>
      </c>
    </row>
    <row r="175" spans="2:13" x14ac:dyDescent="0.2">
      <c r="B175" s="8">
        <f>VLOOKUP( T_ApifImport[[#This Row],[Bilans]], T_Bilansi[], 4, 0)</f>
        <v>3</v>
      </c>
      <c r="C175" s="377">
        <f>VLOOKUP( T_ApifImport[[#This Row],[Id]], T_Aop[], 4, 0)</f>
        <v>242</v>
      </c>
      <c r="D17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7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7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7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7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7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7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7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75" s="8">
        <v>178</v>
      </c>
      <c r="M175" s="8" t="s">
        <v>541</v>
      </c>
    </row>
    <row r="176" spans="2:13" x14ac:dyDescent="0.2">
      <c r="B176" s="8">
        <f>VLOOKUP( T_ApifImport[[#This Row],[Bilans]], T_Bilansi[], 4, 0)</f>
        <v>3</v>
      </c>
      <c r="C176" s="377">
        <f>VLOOKUP( T_ApifImport[[#This Row],[Id]], T_Aop[], 4, 0)</f>
        <v>243</v>
      </c>
      <c r="D17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7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7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7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7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7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7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7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76" s="8">
        <v>179</v>
      </c>
      <c r="M176" s="8" t="s">
        <v>541</v>
      </c>
    </row>
    <row r="177" spans="2:13" x14ac:dyDescent="0.2">
      <c r="B177" s="8">
        <f>VLOOKUP( T_ApifImport[[#This Row],[Bilans]], T_Bilansi[], 4, 0)</f>
        <v>3</v>
      </c>
      <c r="C177" s="377">
        <f>VLOOKUP( T_ApifImport[[#This Row],[Id]], T_Aop[], 4, 0)</f>
        <v>244</v>
      </c>
      <c r="D17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7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7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7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7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7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7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7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77" s="8">
        <v>180</v>
      </c>
      <c r="M177" s="8" t="s">
        <v>541</v>
      </c>
    </row>
    <row r="178" spans="2:13" x14ac:dyDescent="0.2">
      <c r="B178" s="8">
        <f>VLOOKUP( T_ApifImport[[#This Row],[Bilans]], T_Bilansi[], 4, 0)</f>
        <v>3</v>
      </c>
      <c r="C178" s="377">
        <f>VLOOKUP( T_ApifImport[[#This Row],[Id]], T_Aop[], 4, 0)</f>
        <v>245</v>
      </c>
      <c r="D17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4762171</v>
      </c>
      <c r="E17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5239910</v>
      </c>
      <c r="F17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7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7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7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7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7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78" s="8">
        <v>181</v>
      </c>
      <c r="M178" s="8" t="s">
        <v>541</v>
      </c>
    </row>
    <row r="179" spans="2:13" x14ac:dyDescent="0.2">
      <c r="B179" s="8">
        <f>VLOOKUP( T_ApifImport[[#This Row],[Bilans]], T_Bilansi[], 4, 0)</f>
        <v>3</v>
      </c>
      <c r="C179" s="377">
        <f>VLOOKUP( T_ApifImport[[#This Row],[Id]], T_Aop[], 4, 0)</f>
        <v>246</v>
      </c>
      <c r="D17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396206</v>
      </c>
      <c r="E17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83520</v>
      </c>
      <c r="F17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7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7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7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7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7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79" s="8">
        <v>183</v>
      </c>
      <c r="M179" s="8" t="s">
        <v>541</v>
      </c>
    </row>
    <row r="180" spans="2:13" x14ac:dyDescent="0.2">
      <c r="B180" s="8">
        <f>VLOOKUP( T_ApifImport[[#This Row],[Bilans]], T_Bilansi[], 4, 0)</f>
        <v>3</v>
      </c>
      <c r="C180" s="377">
        <f>VLOOKUP( T_ApifImport[[#This Row],[Id]], T_Aop[], 4, 0)</f>
        <v>247</v>
      </c>
      <c r="D18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8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8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8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8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8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8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8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80" s="8">
        <v>184</v>
      </c>
      <c r="M180" s="8" t="s">
        <v>541</v>
      </c>
    </row>
    <row r="181" spans="2:13" x14ac:dyDescent="0.2">
      <c r="B181" s="8">
        <f>VLOOKUP( T_ApifImport[[#This Row],[Bilans]], T_Bilansi[], 4, 0)</f>
        <v>3</v>
      </c>
      <c r="C181" s="377">
        <f>VLOOKUP( T_ApifImport[[#This Row],[Id]], T_Aop[], 4, 0)</f>
        <v>248</v>
      </c>
      <c r="D18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8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8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8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8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8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8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8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81" s="8">
        <v>185</v>
      </c>
      <c r="M181" s="8" t="s">
        <v>541</v>
      </c>
    </row>
    <row r="182" spans="2:13" x14ac:dyDescent="0.2">
      <c r="B182" s="8">
        <f>VLOOKUP( T_ApifImport[[#This Row],[Bilans]], T_Bilansi[], 4, 0)</f>
        <v>3</v>
      </c>
      <c r="C182" s="377">
        <f>VLOOKUP( T_ApifImport[[#This Row],[Id]], T_Aop[], 4, 0)</f>
        <v>249</v>
      </c>
      <c r="D18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8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8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8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8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8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8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8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82" s="8">
        <v>186</v>
      </c>
      <c r="M182" s="8" t="s">
        <v>541</v>
      </c>
    </row>
    <row r="183" spans="2:13" x14ac:dyDescent="0.2">
      <c r="B183" s="8">
        <f>VLOOKUP( T_ApifImport[[#This Row],[Bilans]], T_Bilansi[], 4, 0)</f>
        <v>3</v>
      </c>
      <c r="C183" s="377">
        <f>VLOOKUP( T_ApifImport[[#This Row],[Id]], T_Aop[], 4, 0)</f>
        <v>250</v>
      </c>
      <c r="D18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8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8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8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8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8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8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8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83" s="8">
        <v>187</v>
      </c>
      <c r="M183" s="8" t="s">
        <v>541</v>
      </c>
    </row>
    <row r="184" spans="2:13" x14ac:dyDescent="0.2">
      <c r="B184" s="8">
        <f>VLOOKUP( T_ApifImport[[#This Row],[Bilans]], T_Bilansi[], 4, 0)</f>
        <v>3</v>
      </c>
      <c r="C184" s="377">
        <f>VLOOKUP( T_ApifImport[[#This Row],[Id]], T_Aop[], 4, 0)</f>
        <v>251</v>
      </c>
      <c r="D18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8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8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8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8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8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8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8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84" s="8">
        <v>188</v>
      </c>
      <c r="M184" s="8" t="s">
        <v>541</v>
      </c>
    </row>
    <row r="185" spans="2:13" x14ac:dyDescent="0.2">
      <c r="B185" s="8">
        <f>VLOOKUP( T_ApifImport[[#This Row],[Bilans]], T_Bilansi[], 4, 0)</f>
        <v>3</v>
      </c>
      <c r="C185" s="377">
        <f>VLOOKUP( T_ApifImport[[#This Row],[Id]], T_Aop[], 4, 0)</f>
        <v>252</v>
      </c>
      <c r="D18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40555</v>
      </c>
      <c r="E18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260</v>
      </c>
      <c r="F18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8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8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8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8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8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85" s="8">
        <v>189</v>
      </c>
      <c r="M185" s="8" t="s">
        <v>541</v>
      </c>
    </row>
    <row r="186" spans="2:13" x14ac:dyDescent="0.2">
      <c r="B186" s="8">
        <f>VLOOKUP( T_ApifImport[[#This Row],[Bilans]], T_Bilansi[], 4, 0)</f>
        <v>3</v>
      </c>
      <c r="C186" s="377">
        <f>VLOOKUP( T_ApifImport[[#This Row],[Id]], T_Aop[], 4, 0)</f>
        <v>253</v>
      </c>
      <c r="D18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8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8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8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8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8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8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8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86" s="8">
        <v>190</v>
      </c>
      <c r="M186" s="8" t="s">
        <v>541</v>
      </c>
    </row>
    <row r="187" spans="2:13" x14ac:dyDescent="0.2">
      <c r="B187" s="8">
        <f>VLOOKUP( T_ApifImport[[#This Row],[Bilans]], T_Bilansi[], 4, 0)</f>
        <v>3</v>
      </c>
      <c r="C187" s="377">
        <f>VLOOKUP( T_ApifImport[[#This Row],[Id]], T_Aop[], 4, 0)</f>
        <v>254</v>
      </c>
      <c r="D18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191680</v>
      </c>
      <c r="E18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8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8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8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8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8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8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87" s="8">
        <v>191</v>
      </c>
      <c r="M187" s="8" t="s">
        <v>541</v>
      </c>
    </row>
    <row r="188" spans="2:13" x14ac:dyDescent="0.2">
      <c r="B188" s="8">
        <f>VLOOKUP( T_ApifImport[[#This Row],[Bilans]], T_Bilansi[], 4, 0)</f>
        <v>3</v>
      </c>
      <c r="C188" s="377">
        <f>VLOOKUP( T_ApifImport[[#This Row],[Id]], T_Aop[], 4, 0)</f>
        <v>255</v>
      </c>
      <c r="D18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8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8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8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8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8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8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8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88" s="8">
        <v>192</v>
      </c>
      <c r="M188" s="8" t="s">
        <v>541</v>
      </c>
    </row>
    <row r="189" spans="2:13" x14ac:dyDescent="0.2">
      <c r="B189" s="8">
        <f>VLOOKUP( T_ApifImport[[#This Row],[Bilans]], T_Bilansi[], 4, 0)</f>
        <v>3</v>
      </c>
      <c r="C189" s="377">
        <f>VLOOKUP( T_ApifImport[[#This Row],[Id]], T_Aop[], 4, 0)</f>
        <v>256</v>
      </c>
      <c r="D18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163971</v>
      </c>
      <c r="E18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83260</v>
      </c>
      <c r="F18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8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8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8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8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8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89" s="8">
        <v>193</v>
      </c>
      <c r="M189" s="8" t="s">
        <v>541</v>
      </c>
    </row>
    <row r="190" spans="2:13" x14ac:dyDescent="0.2">
      <c r="B190" s="8">
        <f>VLOOKUP( T_ApifImport[[#This Row],[Bilans]], T_Bilansi[], 4, 0)</f>
        <v>3</v>
      </c>
      <c r="C190" s="377">
        <f>VLOOKUP( T_ApifImport[[#This Row],[Id]], T_Aop[], 4, 0)</f>
        <v>257</v>
      </c>
      <c r="D19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98945</v>
      </c>
      <c r="E19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145281</v>
      </c>
      <c r="F19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9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9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9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9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9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90" s="8">
        <v>194</v>
      </c>
      <c r="M190" s="8" t="s">
        <v>541</v>
      </c>
    </row>
    <row r="191" spans="2:13" x14ac:dyDescent="0.2">
      <c r="B191" s="8">
        <f>VLOOKUP( T_ApifImport[[#This Row],[Bilans]], T_Bilansi[], 4, 0)</f>
        <v>3</v>
      </c>
      <c r="C191" s="377">
        <f>VLOOKUP( T_ApifImport[[#This Row],[Id]], T_Aop[], 4, 0)</f>
        <v>258</v>
      </c>
      <c r="D19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9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9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9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9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9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9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9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91" s="8">
        <v>195</v>
      </c>
      <c r="M191" s="8" t="s">
        <v>541</v>
      </c>
    </row>
    <row r="192" spans="2:13" x14ac:dyDescent="0.2">
      <c r="B192" s="8">
        <f>VLOOKUP( T_ApifImport[[#This Row],[Bilans]], T_Bilansi[], 4, 0)</f>
        <v>3</v>
      </c>
      <c r="C192" s="377">
        <f>VLOOKUP( T_ApifImport[[#This Row],[Id]], T_Aop[], 4, 0)</f>
        <v>259</v>
      </c>
      <c r="D19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9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9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9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9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9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9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9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92" s="8">
        <v>196</v>
      </c>
      <c r="M192" s="8" t="s">
        <v>541</v>
      </c>
    </row>
    <row r="193" spans="2:13" x14ac:dyDescent="0.2">
      <c r="B193" s="8">
        <f>VLOOKUP( T_ApifImport[[#This Row],[Bilans]], T_Bilansi[], 4, 0)</f>
        <v>3</v>
      </c>
      <c r="C193" s="377">
        <f>VLOOKUP( T_ApifImport[[#This Row],[Id]], T_Aop[], 4, 0)</f>
        <v>260</v>
      </c>
      <c r="D19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9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9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9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9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9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9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9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93" s="8">
        <v>197</v>
      </c>
      <c r="M193" s="8" t="s">
        <v>541</v>
      </c>
    </row>
    <row r="194" spans="2:13" x14ac:dyDescent="0.2">
      <c r="B194" s="8">
        <f>VLOOKUP( T_ApifImport[[#This Row],[Bilans]], T_Bilansi[], 4, 0)</f>
        <v>3</v>
      </c>
      <c r="C194" s="377">
        <f>VLOOKUP( T_ApifImport[[#This Row],[Id]], T_Aop[], 4, 0)</f>
        <v>261</v>
      </c>
      <c r="D19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9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9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9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9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9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9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9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94" s="8">
        <v>198</v>
      </c>
      <c r="M194" s="8" t="s">
        <v>541</v>
      </c>
    </row>
    <row r="195" spans="2:13" x14ac:dyDescent="0.2">
      <c r="B195" s="8">
        <f>VLOOKUP( T_ApifImport[[#This Row],[Bilans]], T_Bilansi[], 4, 0)</f>
        <v>3</v>
      </c>
      <c r="C195" s="377">
        <f>VLOOKUP( T_ApifImport[[#This Row],[Id]], T_Aop[], 4, 0)</f>
        <v>262</v>
      </c>
      <c r="D19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9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9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9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9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9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9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9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95" s="8">
        <v>199</v>
      </c>
      <c r="M195" s="8" t="s">
        <v>541</v>
      </c>
    </row>
    <row r="196" spans="2:13" x14ac:dyDescent="0.2">
      <c r="B196" s="8">
        <f>VLOOKUP( T_ApifImport[[#This Row],[Bilans]], T_Bilansi[], 4, 0)</f>
        <v>3</v>
      </c>
      <c r="C196" s="377">
        <f>VLOOKUP( T_ApifImport[[#This Row],[Id]], T_Aop[], 4, 0)</f>
        <v>263</v>
      </c>
      <c r="D19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9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9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9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9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9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9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9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96" s="8">
        <v>200</v>
      </c>
      <c r="M196" s="8" t="s">
        <v>541</v>
      </c>
    </row>
    <row r="197" spans="2:13" x14ac:dyDescent="0.2">
      <c r="B197" s="8">
        <f>VLOOKUP( T_ApifImport[[#This Row],[Bilans]], T_Bilansi[], 4, 0)</f>
        <v>3</v>
      </c>
      <c r="C197" s="377">
        <f>VLOOKUP( T_ApifImport[[#This Row],[Id]], T_Aop[], 4, 0)</f>
        <v>264</v>
      </c>
      <c r="D19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1596</v>
      </c>
      <c r="E19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19970</v>
      </c>
      <c r="F19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9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9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9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9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9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97" s="8">
        <v>201</v>
      </c>
      <c r="M197" s="8" t="s">
        <v>541</v>
      </c>
    </row>
    <row r="198" spans="2:13" x14ac:dyDescent="0.2">
      <c r="B198" s="8">
        <f>VLOOKUP( T_ApifImport[[#This Row],[Bilans]], T_Bilansi[], 4, 0)</f>
        <v>3</v>
      </c>
      <c r="C198" s="377">
        <f>VLOOKUP( T_ApifImport[[#This Row],[Id]], T_Aop[], 4, 0)</f>
        <v>265</v>
      </c>
      <c r="D19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9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9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9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9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9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9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9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98" s="8">
        <v>202</v>
      </c>
      <c r="M198" s="8" t="s">
        <v>541</v>
      </c>
    </row>
    <row r="199" spans="2:13" x14ac:dyDescent="0.2">
      <c r="B199" s="8">
        <f>VLOOKUP( T_ApifImport[[#This Row],[Bilans]], T_Bilansi[], 4, 0)</f>
        <v>3</v>
      </c>
      <c r="C199" s="377">
        <f>VLOOKUP( T_ApifImport[[#This Row],[Id]], T_Aop[], 4, 0)</f>
        <v>266</v>
      </c>
      <c r="D19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19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19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19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19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19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19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19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199" s="8">
        <v>203</v>
      </c>
      <c r="M199" s="8" t="s">
        <v>541</v>
      </c>
    </row>
    <row r="200" spans="2:13" x14ac:dyDescent="0.2">
      <c r="B200" s="8">
        <f>VLOOKUP( T_ApifImport[[#This Row],[Bilans]], T_Bilansi[], 4, 0)</f>
        <v>3</v>
      </c>
      <c r="C200" s="377">
        <f>VLOOKUP( T_ApifImport[[#This Row],[Id]], T_Aop[], 4, 0)</f>
        <v>267</v>
      </c>
      <c r="D20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97349</v>
      </c>
      <c r="E20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125311</v>
      </c>
      <c r="F20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0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0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0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0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0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00" s="8">
        <v>204</v>
      </c>
      <c r="M200" s="8" t="s">
        <v>541</v>
      </c>
    </row>
    <row r="201" spans="2:13" x14ac:dyDescent="0.2">
      <c r="B201" s="8">
        <f>VLOOKUP( T_ApifImport[[#This Row],[Bilans]], T_Bilansi[], 4, 0)</f>
        <v>3</v>
      </c>
      <c r="C201" s="377">
        <f>VLOOKUP( T_ApifImport[[#This Row],[Id]], T_Aop[], 4, 0)</f>
        <v>268</v>
      </c>
      <c r="D20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297261</v>
      </c>
      <c r="E20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0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0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0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0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0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0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01" s="8">
        <v>205</v>
      </c>
      <c r="M201" s="8" t="s">
        <v>541</v>
      </c>
    </row>
    <row r="202" spans="2:13" x14ac:dyDescent="0.2">
      <c r="B202" s="8">
        <f>VLOOKUP( T_ApifImport[[#This Row],[Bilans]], T_Bilansi[], 4, 0)</f>
        <v>3</v>
      </c>
      <c r="C202" s="377">
        <f>VLOOKUP( T_ApifImport[[#This Row],[Id]], T_Aop[], 4, 0)</f>
        <v>269</v>
      </c>
      <c r="D20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0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61761</v>
      </c>
      <c r="F20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0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0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0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0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0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02" s="8">
        <v>206</v>
      </c>
      <c r="M202" s="8" t="s">
        <v>541</v>
      </c>
    </row>
    <row r="203" spans="2:13" x14ac:dyDescent="0.2">
      <c r="B203" s="8">
        <f>VLOOKUP( T_ApifImport[[#This Row],[Bilans]], T_Bilansi[], 4, 0)</f>
        <v>3</v>
      </c>
      <c r="C203" s="377">
        <f>VLOOKUP( T_ApifImport[[#This Row],[Id]], T_Aop[], 4, 0)</f>
        <v>270</v>
      </c>
      <c r="D20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0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0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0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0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0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0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0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03" s="8">
        <v>208</v>
      </c>
      <c r="M203" s="8" t="s">
        <v>541</v>
      </c>
    </row>
    <row r="204" spans="2:13" x14ac:dyDescent="0.2">
      <c r="B204" s="8">
        <f>VLOOKUP( T_ApifImport[[#This Row],[Bilans]], T_Bilansi[], 4, 0)</f>
        <v>3</v>
      </c>
      <c r="C204" s="377">
        <f>VLOOKUP( T_ApifImport[[#This Row],[Id]], T_Aop[], 4, 0)</f>
        <v>271</v>
      </c>
      <c r="D20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0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0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0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0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0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0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0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04" s="8">
        <v>209</v>
      </c>
      <c r="M204" s="8" t="s">
        <v>541</v>
      </c>
    </row>
    <row r="205" spans="2:13" x14ac:dyDescent="0.2">
      <c r="B205" s="8">
        <f>VLOOKUP( T_ApifImport[[#This Row],[Bilans]], T_Bilansi[], 4, 0)</f>
        <v>3</v>
      </c>
      <c r="C205" s="377">
        <f>VLOOKUP( T_ApifImport[[#This Row],[Id]], T_Aop[], 4, 0)</f>
        <v>272</v>
      </c>
      <c r="D20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0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0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0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0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0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0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0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05" s="8">
        <v>210</v>
      </c>
      <c r="M205" s="8" t="s">
        <v>541</v>
      </c>
    </row>
    <row r="206" spans="2:13" x14ac:dyDescent="0.2">
      <c r="B206" s="8">
        <f>VLOOKUP( T_ApifImport[[#This Row],[Bilans]], T_Bilansi[], 4, 0)</f>
        <v>3</v>
      </c>
      <c r="C206" s="377">
        <f>VLOOKUP( T_ApifImport[[#This Row],[Id]], T_Aop[], 4, 0)</f>
        <v>273</v>
      </c>
      <c r="D20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0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0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0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0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0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0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0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06" s="8">
        <v>211</v>
      </c>
      <c r="M206" s="8" t="s">
        <v>541</v>
      </c>
    </row>
    <row r="207" spans="2:13" x14ac:dyDescent="0.2">
      <c r="B207" s="8">
        <f>VLOOKUP( T_ApifImport[[#This Row],[Bilans]], T_Bilansi[], 4, 0)</f>
        <v>3</v>
      </c>
      <c r="C207" s="377">
        <f>VLOOKUP( T_ApifImport[[#This Row],[Id]], T_Aop[], 4, 0)</f>
        <v>274</v>
      </c>
      <c r="D20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0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0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0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0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0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0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0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07" s="8">
        <v>212</v>
      </c>
      <c r="M207" s="8" t="s">
        <v>541</v>
      </c>
    </row>
    <row r="208" spans="2:13" x14ac:dyDescent="0.2">
      <c r="B208" s="8">
        <f>VLOOKUP( T_ApifImport[[#This Row],[Bilans]], T_Bilansi[], 4, 0)</f>
        <v>3</v>
      </c>
      <c r="C208" s="377">
        <f>VLOOKUP( T_ApifImport[[#This Row],[Id]], T_Aop[], 4, 0)</f>
        <v>275</v>
      </c>
      <c r="D20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0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0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0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0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0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0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0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08" s="8">
        <v>213</v>
      </c>
      <c r="M208" s="8" t="s">
        <v>541</v>
      </c>
    </row>
    <row r="209" spans="2:13" x14ac:dyDescent="0.2">
      <c r="B209" s="8">
        <f>VLOOKUP( T_ApifImport[[#This Row],[Bilans]], T_Bilansi[], 4, 0)</f>
        <v>3</v>
      </c>
      <c r="C209" s="377">
        <f>VLOOKUP( T_ApifImport[[#This Row],[Id]], T_Aop[], 4, 0)</f>
        <v>276</v>
      </c>
      <c r="D20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0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0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0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0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0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0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0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09" s="8">
        <v>214</v>
      </c>
      <c r="M209" s="8" t="s">
        <v>541</v>
      </c>
    </row>
    <row r="210" spans="2:13" x14ac:dyDescent="0.2">
      <c r="B210" s="8">
        <f>VLOOKUP( T_ApifImport[[#This Row],[Bilans]], T_Bilansi[], 4, 0)</f>
        <v>3</v>
      </c>
      <c r="C210" s="377">
        <f>VLOOKUP( T_ApifImport[[#This Row],[Id]], T_Aop[], 4, 0)</f>
        <v>277</v>
      </c>
      <c r="D21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1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1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1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1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1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1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1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10" s="8">
        <v>215</v>
      </c>
      <c r="M210" s="8" t="s">
        <v>541</v>
      </c>
    </row>
    <row r="211" spans="2:13" x14ac:dyDescent="0.2">
      <c r="B211" s="8">
        <f>VLOOKUP( T_ApifImport[[#This Row],[Bilans]], T_Bilansi[], 4, 0)</f>
        <v>3</v>
      </c>
      <c r="C211" s="377">
        <f>VLOOKUP( T_ApifImport[[#This Row],[Id]], T_Aop[], 4, 0)</f>
        <v>278</v>
      </c>
      <c r="D21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1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1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1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1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1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1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1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11" s="8">
        <v>216</v>
      </c>
      <c r="M211" s="8" t="s">
        <v>541</v>
      </c>
    </row>
    <row r="212" spans="2:13" x14ac:dyDescent="0.2">
      <c r="B212" s="8">
        <f>VLOOKUP( T_ApifImport[[#This Row],[Bilans]], T_Bilansi[], 4, 0)</f>
        <v>3</v>
      </c>
      <c r="C212" s="377">
        <f>VLOOKUP( T_ApifImport[[#This Row],[Id]], T_Aop[], 4, 0)</f>
        <v>279</v>
      </c>
      <c r="D21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1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1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1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1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1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1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1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12" s="8">
        <v>217</v>
      </c>
      <c r="M212" s="8" t="s">
        <v>541</v>
      </c>
    </row>
    <row r="213" spans="2:13" x14ac:dyDescent="0.2">
      <c r="B213" s="8">
        <f>VLOOKUP( T_ApifImport[[#This Row],[Bilans]], T_Bilansi[], 4, 0)</f>
        <v>3</v>
      </c>
      <c r="C213" s="377">
        <f>VLOOKUP( T_ApifImport[[#This Row],[Id]], T_Aop[], 4, 0)</f>
        <v>280</v>
      </c>
      <c r="D21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1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1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1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1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1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1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1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13" s="8">
        <v>218</v>
      </c>
      <c r="M213" s="8" t="s">
        <v>541</v>
      </c>
    </row>
    <row r="214" spans="2:13" x14ac:dyDescent="0.2">
      <c r="B214" s="8">
        <f>VLOOKUP( T_ApifImport[[#This Row],[Bilans]], T_Bilansi[], 4, 0)</f>
        <v>3</v>
      </c>
      <c r="C214" s="377">
        <f>VLOOKUP( T_ApifImport[[#This Row],[Id]], T_Aop[], 4, 0)</f>
        <v>281</v>
      </c>
      <c r="D21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1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1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1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1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1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1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1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14" s="8">
        <v>219</v>
      </c>
      <c r="M214" s="8" t="s">
        <v>541</v>
      </c>
    </row>
    <row r="215" spans="2:13" x14ac:dyDescent="0.2">
      <c r="B215" s="8">
        <f>VLOOKUP( T_ApifImport[[#This Row],[Bilans]], T_Bilansi[], 4, 0)</f>
        <v>3</v>
      </c>
      <c r="C215" s="377">
        <f>VLOOKUP( T_ApifImport[[#This Row],[Id]], T_Aop[], 4, 0)</f>
        <v>282</v>
      </c>
      <c r="D21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1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1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1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1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1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1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1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15" s="8">
        <v>220</v>
      </c>
      <c r="M215" s="8" t="s">
        <v>541</v>
      </c>
    </row>
    <row r="216" spans="2:13" x14ac:dyDescent="0.2">
      <c r="B216" s="8">
        <f>VLOOKUP( T_ApifImport[[#This Row],[Bilans]], T_Bilansi[], 4, 0)</f>
        <v>3</v>
      </c>
      <c r="C216" s="377">
        <f>VLOOKUP( T_ApifImport[[#This Row],[Id]], T_Aop[], 4, 0)</f>
        <v>283</v>
      </c>
      <c r="D21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1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1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1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1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1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1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1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16" s="8">
        <v>221</v>
      </c>
      <c r="M216" s="8" t="s">
        <v>541</v>
      </c>
    </row>
    <row r="217" spans="2:13" x14ac:dyDescent="0.2">
      <c r="B217" s="8">
        <f>VLOOKUP( T_ApifImport[[#This Row],[Bilans]], T_Bilansi[], 4, 0)</f>
        <v>3</v>
      </c>
      <c r="C217" s="377">
        <f>VLOOKUP( T_ApifImport[[#This Row],[Id]], T_Aop[], 4, 0)</f>
        <v>284</v>
      </c>
      <c r="D21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1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1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1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1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1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1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1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17" s="8">
        <v>222</v>
      </c>
      <c r="M217" s="8" t="s">
        <v>541</v>
      </c>
    </row>
    <row r="218" spans="2:13" x14ac:dyDescent="0.2">
      <c r="B218" s="8">
        <f>VLOOKUP( T_ApifImport[[#This Row],[Bilans]], T_Bilansi[], 4, 0)</f>
        <v>3</v>
      </c>
      <c r="C218" s="377">
        <f>VLOOKUP( T_ApifImport[[#This Row],[Id]], T_Aop[], 4, 0)</f>
        <v>285</v>
      </c>
      <c r="D21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1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1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1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1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1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1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1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18" s="8">
        <v>223</v>
      </c>
      <c r="M218" s="8" t="s">
        <v>541</v>
      </c>
    </row>
    <row r="219" spans="2:13" x14ac:dyDescent="0.2">
      <c r="B219" s="8">
        <f>VLOOKUP( T_ApifImport[[#This Row],[Bilans]], T_Bilansi[], 4, 0)</f>
        <v>3</v>
      </c>
      <c r="C219" s="377">
        <f>VLOOKUP( T_ApifImport[[#This Row],[Id]], T_Aop[], 4, 0)</f>
        <v>286</v>
      </c>
      <c r="D21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1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1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1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1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1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1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1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19" s="8">
        <v>224</v>
      </c>
      <c r="M219" s="8" t="s">
        <v>541</v>
      </c>
    </row>
    <row r="220" spans="2:13" x14ac:dyDescent="0.2">
      <c r="B220" s="8">
        <f>VLOOKUP( T_ApifImport[[#This Row],[Bilans]], T_Bilansi[], 4, 0)</f>
        <v>3</v>
      </c>
      <c r="C220" s="377">
        <f>VLOOKUP( T_ApifImport[[#This Row],[Id]], T_Aop[], 4, 0)</f>
        <v>287</v>
      </c>
      <c r="D22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2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2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2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2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2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2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2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20" s="8">
        <v>225</v>
      </c>
      <c r="M220" s="8" t="s">
        <v>541</v>
      </c>
    </row>
    <row r="221" spans="2:13" x14ac:dyDescent="0.2">
      <c r="B221" s="8">
        <f>VLOOKUP( T_ApifImport[[#This Row],[Bilans]], T_Bilansi[], 4, 0)</f>
        <v>3</v>
      </c>
      <c r="C221" s="377">
        <f>VLOOKUP( T_ApifImport[[#This Row],[Id]], T_Aop[], 4, 0)</f>
        <v>288</v>
      </c>
      <c r="D22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2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2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2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2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2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2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2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21" s="8">
        <v>226</v>
      </c>
      <c r="M221" s="8" t="s">
        <v>541</v>
      </c>
    </row>
    <row r="222" spans="2:13" x14ac:dyDescent="0.2">
      <c r="B222" s="8">
        <f>VLOOKUP( T_ApifImport[[#This Row],[Bilans]], T_Bilansi[], 4, 0)</f>
        <v>3</v>
      </c>
      <c r="C222" s="377">
        <f>VLOOKUP( T_ApifImport[[#This Row],[Id]], T_Aop[], 4, 0)</f>
        <v>289</v>
      </c>
      <c r="D22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2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2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2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2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2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2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2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22" s="8">
        <v>227</v>
      </c>
      <c r="M222" s="8" t="s">
        <v>541</v>
      </c>
    </row>
    <row r="223" spans="2:13" x14ac:dyDescent="0.2">
      <c r="B223" s="8">
        <f>VLOOKUP( T_ApifImport[[#This Row],[Bilans]], T_Bilansi[], 4, 0)</f>
        <v>3</v>
      </c>
      <c r="C223" s="377">
        <f>VLOOKUP( T_ApifImport[[#This Row],[Id]], T_Aop[], 4, 0)</f>
        <v>290</v>
      </c>
      <c r="D22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2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2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2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2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2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2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2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23" s="8">
        <v>228</v>
      </c>
      <c r="M223" s="8" t="s">
        <v>541</v>
      </c>
    </row>
    <row r="224" spans="2:13" x14ac:dyDescent="0.2">
      <c r="B224" s="8">
        <f>VLOOKUP( T_ApifImport[[#This Row],[Bilans]], T_Bilansi[], 4, 0)</f>
        <v>3</v>
      </c>
      <c r="C224" s="377">
        <f>VLOOKUP( T_ApifImport[[#This Row],[Id]], T_Aop[], 4, 0)</f>
        <v>291</v>
      </c>
      <c r="D22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2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2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2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2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2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2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2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24" s="8">
        <v>229</v>
      </c>
      <c r="M224" s="8" t="s">
        <v>541</v>
      </c>
    </row>
    <row r="225" spans="2:13" x14ac:dyDescent="0.2">
      <c r="B225" s="8">
        <f>VLOOKUP( T_ApifImport[[#This Row],[Bilans]], T_Bilansi[], 4, 0)</f>
        <v>3</v>
      </c>
      <c r="C225" s="377">
        <f>VLOOKUP( T_ApifImport[[#This Row],[Id]], T_Aop[], 4, 0)</f>
        <v>292</v>
      </c>
      <c r="D22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8361</v>
      </c>
      <c r="E22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34383</v>
      </c>
      <c r="F22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2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2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2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2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2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25" s="8">
        <v>230</v>
      </c>
      <c r="M225" s="8" t="s">
        <v>541</v>
      </c>
    </row>
    <row r="226" spans="2:13" x14ac:dyDescent="0.2">
      <c r="B226" s="8">
        <f>VLOOKUP( T_ApifImport[[#This Row],[Bilans]], T_Bilansi[], 4, 0)</f>
        <v>3</v>
      </c>
      <c r="C226" s="377">
        <f>VLOOKUP( T_ApifImport[[#This Row],[Id]], T_Aop[], 4, 0)</f>
        <v>293</v>
      </c>
      <c r="D22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1414</v>
      </c>
      <c r="E22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15893</v>
      </c>
      <c r="F22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2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2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2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2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2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26" s="8">
        <v>231</v>
      </c>
      <c r="M226" s="8" t="s">
        <v>541</v>
      </c>
    </row>
    <row r="227" spans="2:13" x14ac:dyDescent="0.2">
      <c r="B227" s="8">
        <f>VLOOKUP( T_ApifImport[[#This Row],[Bilans]], T_Bilansi[], 4, 0)</f>
        <v>3</v>
      </c>
      <c r="C227" s="377">
        <f>VLOOKUP( T_ApifImport[[#This Row],[Id]], T_Aop[], 4, 0)</f>
        <v>294</v>
      </c>
      <c r="D22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2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2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2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2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2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2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2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27" s="8">
        <v>233</v>
      </c>
      <c r="M227" s="8" t="s">
        <v>541</v>
      </c>
    </row>
    <row r="228" spans="2:13" x14ac:dyDescent="0.2">
      <c r="B228" s="8">
        <f>VLOOKUP( T_ApifImport[[#This Row],[Bilans]], T_Bilansi[], 4, 0)</f>
        <v>3</v>
      </c>
      <c r="C228" s="377">
        <f>VLOOKUP( T_ApifImport[[#This Row],[Id]], T_Aop[], 4, 0)</f>
        <v>295</v>
      </c>
      <c r="D22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4457963</v>
      </c>
      <c r="E22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5283181</v>
      </c>
      <c r="F22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2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2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2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2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2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28" s="8">
        <v>234</v>
      </c>
      <c r="M228" s="8" t="s">
        <v>541</v>
      </c>
    </row>
    <row r="229" spans="2:13" x14ac:dyDescent="0.2">
      <c r="B229" s="8">
        <f>VLOOKUP( T_ApifImport[[#This Row],[Bilans]], T_Bilansi[], 4, 0)</f>
        <v>3</v>
      </c>
      <c r="C229" s="377">
        <f>VLOOKUP( T_ApifImport[[#This Row],[Id]], T_Aop[], 4, 0)</f>
        <v>296</v>
      </c>
      <c r="D22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2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2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2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2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2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2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2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29" s="8">
        <v>236</v>
      </c>
      <c r="M229" s="8" t="s">
        <v>541</v>
      </c>
    </row>
    <row r="230" spans="2:13" x14ac:dyDescent="0.2">
      <c r="B230" s="8">
        <f>VLOOKUP( T_ApifImport[[#This Row],[Bilans]], T_Bilansi[], 4, 0)</f>
        <v>3</v>
      </c>
      <c r="C230" s="377">
        <f>VLOOKUP( T_ApifImport[[#This Row],[Id]], T_Aop[], 4, 0)</f>
        <v>297</v>
      </c>
      <c r="D23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3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3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3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3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3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3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3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30" s="8">
        <v>237</v>
      </c>
      <c r="M230" s="8" t="s">
        <v>541</v>
      </c>
    </row>
    <row r="231" spans="2:13" x14ac:dyDescent="0.2">
      <c r="B231" s="8">
        <f>VLOOKUP( T_ApifImport[[#This Row],[Bilans]], T_Bilansi[], 4, 0)</f>
        <v>3</v>
      </c>
      <c r="C231" s="377">
        <f>VLOOKUP( T_ApifImport[[#This Row],[Id]], T_Aop[], 4, 0)</f>
        <v>298</v>
      </c>
      <c r="D23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3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3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3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3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3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3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3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31" s="8">
        <v>238</v>
      </c>
      <c r="M231" s="8" t="s">
        <v>541</v>
      </c>
    </row>
    <row r="232" spans="2:13" x14ac:dyDescent="0.2">
      <c r="B232" s="8">
        <f>VLOOKUP( T_ApifImport[[#This Row],[Bilans]], T_Bilansi[], 4, 0)</f>
        <v>3</v>
      </c>
      <c r="C232" s="377">
        <f>VLOOKUP( T_ApifImport[[#This Row],[Id]], T_Aop[], 4, 0)</f>
        <v>299</v>
      </c>
      <c r="D23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3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3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3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3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3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3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3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32" s="8">
        <v>240</v>
      </c>
      <c r="M232" s="8" t="s">
        <v>541</v>
      </c>
    </row>
    <row r="233" spans="2:13" x14ac:dyDescent="0.2">
      <c r="B233" s="8">
        <f>VLOOKUP( T_ApifImport[[#This Row],[Bilans]], T_Bilansi[], 4, 0)</f>
        <v>3</v>
      </c>
      <c r="C233" s="377">
        <f>VLOOKUP( T_ApifImport[[#This Row],[Id]], T_Aop[], 4, 0)</f>
        <v>300</v>
      </c>
      <c r="D23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4457963</v>
      </c>
      <c r="E23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5283181</v>
      </c>
      <c r="F23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3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3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3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3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3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33" s="8">
        <v>241</v>
      </c>
      <c r="M233" s="8" t="s">
        <v>541</v>
      </c>
    </row>
    <row r="234" spans="2:13" x14ac:dyDescent="0.2">
      <c r="B234" s="8">
        <f>VLOOKUP( T_ApifImport[[#This Row],[Bilans]], T_Bilansi[], 4, 0)</f>
        <v>3</v>
      </c>
      <c r="C234" s="377">
        <f>VLOOKUP( T_ApifImport[[#This Row],[Id]], T_Aop[], 4, 0)</f>
        <v>301</v>
      </c>
      <c r="D23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12964463</v>
      </c>
      <c r="E23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15483180</v>
      </c>
      <c r="F23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3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3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3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3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3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34" s="8">
        <v>242</v>
      </c>
      <c r="M234" s="8" t="s">
        <v>541</v>
      </c>
    </row>
    <row r="235" spans="2:13" x14ac:dyDescent="0.2">
      <c r="B235" s="8">
        <f>VLOOKUP( T_ApifImport[[#This Row],[Bilans]], T_Bilansi[], 4, 0)</f>
        <v>3</v>
      </c>
      <c r="C235" s="377">
        <f>VLOOKUP( T_ApifImport[[#This Row],[Id]], T_Aop[], 4, 0)</f>
        <v>302</v>
      </c>
      <c r="D23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17422426</v>
      </c>
      <c r="E23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20766361</v>
      </c>
      <c r="F23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3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3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3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3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3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35" s="8">
        <v>243</v>
      </c>
      <c r="M235" s="8" t="s">
        <v>541</v>
      </c>
    </row>
    <row r="236" spans="2:13" x14ac:dyDescent="0.2">
      <c r="B236" s="8">
        <f>VLOOKUP( T_ApifImport[[#This Row],[Bilans]], T_Bilansi[], 4, 0)</f>
        <v>3</v>
      </c>
      <c r="C236" s="377">
        <f>VLOOKUP( T_ApifImport[[#This Row],[Id]], T_Aop[], 4, 0)</f>
        <v>303</v>
      </c>
      <c r="D23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3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3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3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3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3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3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3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36" s="8">
        <v>244</v>
      </c>
      <c r="M236" s="8" t="s">
        <v>541</v>
      </c>
    </row>
    <row r="237" spans="2:13" x14ac:dyDescent="0.2">
      <c r="B237" s="8">
        <f>VLOOKUP( T_ApifImport[[#This Row],[Bilans]], T_Bilansi[], 4, 0)</f>
        <v>3</v>
      </c>
      <c r="C237" s="377">
        <f>VLOOKUP( T_ApifImport[[#This Row],[Id]], T_Aop[], 4, 0)</f>
        <v>304</v>
      </c>
      <c r="D23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3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3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3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3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3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3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3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37" s="8">
        <v>245</v>
      </c>
      <c r="M237" s="8" t="s">
        <v>541</v>
      </c>
    </row>
    <row r="238" spans="2:13" x14ac:dyDescent="0.2">
      <c r="B238" s="8">
        <f>VLOOKUP( T_ApifImport[[#This Row],[Bilans]], T_Bilansi[], 4, 0)</f>
        <v>3</v>
      </c>
      <c r="C238" s="377">
        <f>VLOOKUP( T_ApifImport[[#This Row],[Id]], T_Aop[], 4, 0)</f>
        <v>305</v>
      </c>
      <c r="D23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3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3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3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3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3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3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3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38" s="8">
        <v>246</v>
      </c>
      <c r="M238" s="8" t="s">
        <v>541</v>
      </c>
    </row>
    <row r="239" spans="2:13" x14ac:dyDescent="0.2">
      <c r="B239" s="8">
        <f>VLOOKUP( T_ApifImport[[#This Row],[Bilans]], T_Bilansi[], 4, 0)</f>
        <v>3</v>
      </c>
      <c r="C239" s="377">
        <f>VLOOKUP( T_ApifImport[[#This Row],[Id]], T_Aop[], 4, 0)</f>
        <v>306</v>
      </c>
      <c r="D23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3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3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3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3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3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3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3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39" s="8">
        <v>247</v>
      </c>
      <c r="M239" s="8" t="s">
        <v>541</v>
      </c>
    </row>
    <row r="240" spans="2:13" x14ac:dyDescent="0.2">
      <c r="B240" s="8">
        <f>VLOOKUP( T_ApifImport[[#This Row],[Bilans]], T_Bilansi[], 4, 0)</f>
        <v>3</v>
      </c>
      <c r="C240" s="377">
        <f>VLOOKUP( T_ApifImport[[#This Row],[Id]], T_Aop[], 4, 0)</f>
        <v>307</v>
      </c>
      <c r="D24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4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4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4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4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4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4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4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40" s="8">
        <v>248</v>
      </c>
      <c r="M240" s="8" t="s">
        <v>541</v>
      </c>
    </row>
    <row r="241" spans="2:13" x14ac:dyDescent="0.2">
      <c r="B241" s="8">
        <f>VLOOKUP( T_ApifImport[[#This Row],[Bilans]], T_Bilansi[], 4, 0)</f>
        <v>3</v>
      </c>
      <c r="C241" s="377">
        <f>VLOOKUP( T_ApifImport[[#This Row],[Id]], T_Aop[], 4, 0)</f>
        <v>308</v>
      </c>
      <c r="D24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2137</v>
      </c>
      <c r="E24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2119</v>
      </c>
      <c r="F24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4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4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4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4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4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41" s="8">
        <v>249</v>
      </c>
      <c r="M241" s="8" t="s">
        <v>541</v>
      </c>
    </row>
    <row r="242" spans="2:13" x14ac:dyDescent="0.2">
      <c r="B242" s="8">
        <f>VLOOKUP( T_ApifImport[[#This Row],[Bilans]], T_Bilansi[], 4, 0)</f>
        <v>3</v>
      </c>
      <c r="C242" s="377">
        <f>VLOOKUP( T_ApifImport[[#This Row],[Id]], T_Aop[], 4, 0)</f>
        <v>309</v>
      </c>
      <c r="D24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2169</v>
      </c>
      <c r="E24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2247</v>
      </c>
      <c r="F24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4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4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4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4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4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42" s="8">
        <v>250</v>
      </c>
      <c r="M242" s="8" t="s">
        <v>541</v>
      </c>
    </row>
    <row r="243" spans="2:13" x14ac:dyDescent="0.2">
      <c r="B243" s="8">
        <f>VLOOKUP( T_ApifImport[[#This Row],[Bilans]], T_Bilansi[], 4, 0)</f>
        <v>3</v>
      </c>
      <c r="C243" s="377">
        <f>VLOOKUP( T_ApifImport[[#This Row],[Id]], T_Aop[], 4, 0)</f>
        <v>400</v>
      </c>
      <c r="D24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-4457963</v>
      </c>
      <c r="E24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-5283181</v>
      </c>
      <c r="F24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4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4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4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4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4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43" s="8">
        <v>251</v>
      </c>
      <c r="M243" s="8" t="s">
        <v>552</v>
      </c>
    </row>
    <row r="244" spans="2:13" x14ac:dyDescent="0.2">
      <c r="B244" s="8">
        <f>VLOOKUP( T_ApifImport[[#This Row],[Bilans]], T_Bilansi[], 4, 0)</f>
        <v>3</v>
      </c>
      <c r="C244" s="377">
        <f>VLOOKUP( T_ApifImport[[#This Row],[Id]], T_Aop[], 4, 0)</f>
        <v>401</v>
      </c>
      <c r="D24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4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4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4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4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4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4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4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44" s="8">
        <v>252</v>
      </c>
      <c r="M244" s="8" t="s">
        <v>552</v>
      </c>
    </row>
    <row r="245" spans="2:13" x14ac:dyDescent="0.2">
      <c r="B245" s="8">
        <f>VLOOKUP( T_ApifImport[[#This Row],[Bilans]], T_Bilansi[], 4, 0)</f>
        <v>3</v>
      </c>
      <c r="C245" s="377">
        <f>VLOOKUP( T_ApifImport[[#This Row],[Id]], T_Aop[], 4, 0)</f>
        <v>402</v>
      </c>
      <c r="D24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4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4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4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4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4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4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4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45" s="8">
        <v>253</v>
      </c>
      <c r="M245" s="8" t="s">
        <v>552</v>
      </c>
    </row>
    <row r="246" spans="2:13" x14ac:dyDescent="0.2">
      <c r="B246" s="8">
        <f>VLOOKUP( T_ApifImport[[#This Row],[Bilans]], T_Bilansi[], 4, 0)</f>
        <v>3</v>
      </c>
      <c r="C246" s="377">
        <f>VLOOKUP( T_ApifImport[[#This Row],[Id]], T_Aop[], 4, 0)</f>
        <v>403</v>
      </c>
      <c r="D24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4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4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4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4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4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4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4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46" s="8">
        <v>254</v>
      </c>
      <c r="M246" s="8" t="s">
        <v>552</v>
      </c>
    </row>
    <row r="247" spans="2:13" x14ac:dyDescent="0.2">
      <c r="B247" s="8">
        <f>VLOOKUP( T_ApifImport[[#This Row],[Bilans]], T_Bilansi[], 4, 0)</f>
        <v>3</v>
      </c>
      <c r="C247" s="377">
        <f>VLOOKUP( T_ApifImport[[#This Row],[Id]], T_Aop[], 4, 0)</f>
        <v>404</v>
      </c>
      <c r="D24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4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4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4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4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4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4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4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47" s="8">
        <v>255</v>
      </c>
      <c r="M247" s="8" t="s">
        <v>552</v>
      </c>
    </row>
    <row r="248" spans="2:13" x14ac:dyDescent="0.2">
      <c r="B248" s="8">
        <f>VLOOKUP( T_ApifImport[[#This Row],[Bilans]], T_Bilansi[], 4, 0)</f>
        <v>3</v>
      </c>
      <c r="C248" s="377">
        <f>VLOOKUP( T_ApifImport[[#This Row],[Id]], T_Aop[], 4, 0)</f>
        <v>405</v>
      </c>
      <c r="D24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4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4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4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4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4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4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4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48" s="8">
        <v>256</v>
      </c>
      <c r="M248" s="8" t="s">
        <v>552</v>
      </c>
    </row>
    <row r="249" spans="2:13" x14ac:dyDescent="0.2">
      <c r="B249" s="8">
        <f>VLOOKUP( T_ApifImport[[#This Row],[Bilans]], T_Bilansi[], 4, 0)</f>
        <v>3</v>
      </c>
      <c r="C249" s="377">
        <f>VLOOKUP( T_ApifImport[[#This Row],[Id]], T_Aop[], 4, 0)</f>
        <v>406</v>
      </c>
      <c r="D24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4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4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4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4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4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4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4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49" s="8">
        <v>257</v>
      </c>
      <c r="M249" s="8" t="s">
        <v>552</v>
      </c>
    </row>
    <row r="250" spans="2:13" x14ac:dyDescent="0.2">
      <c r="B250" s="8">
        <f>VLOOKUP( T_ApifImport[[#This Row],[Bilans]], T_Bilansi[], 4, 0)</f>
        <v>3</v>
      </c>
      <c r="C250" s="377">
        <f>VLOOKUP( T_ApifImport[[#This Row],[Id]], T_Aop[], 4, 0)</f>
        <v>407</v>
      </c>
      <c r="D25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5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5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5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5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5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5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5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50" s="8">
        <v>258</v>
      </c>
      <c r="M250" s="8" t="s">
        <v>552</v>
      </c>
    </row>
    <row r="251" spans="2:13" x14ac:dyDescent="0.2">
      <c r="B251" s="8">
        <f>VLOOKUP( T_ApifImport[[#This Row],[Bilans]], T_Bilansi[], 4, 0)</f>
        <v>3</v>
      </c>
      <c r="C251" s="377">
        <f>VLOOKUP( T_ApifImport[[#This Row],[Id]], T_Aop[], 4, 0)</f>
        <v>408</v>
      </c>
      <c r="D25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5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5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5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5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5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5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5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51" s="8">
        <v>259</v>
      </c>
      <c r="M251" s="8" t="s">
        <v>552</v>
      </c>
    </row>
    <row r="252" spans="2:13" x14ac:dyDescent="0.2">
      <c r="B252" s="8">
        <f>VLOOKUP( T_ApifImport[[#This Row],[Bilans]], T_Bilansi[], 4, 0)</f>
        <v>3</v>
      </c>
      <c r="C252" s="377">
        <f>VLOOKUP( T_ApifImport[[#This Row],[Id]], T_Aop[], 4, 0)</f>
        <v>409</v>
      </c>
      <c r="D25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5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5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5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5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5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5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5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52" s="8">
        <v>260</v>
      </c>
      <c r="M252" s="8" t="s">
        <v>552</v>
      </c>
    </row>
    <row r="253" spans="2:13" x14ac:dyDescent="0.2">
      <c r="B253" s="8">
        <f>VLOOKUP( T_ApifImport[[#This Row],[Bilans]], T_Bilansi[], 4, 0)</f>
        <v>3</v>
      </c>
      <c r="C253" s="377">
        <f>VLOOKUP( T_ApifImport[[#This Row],[Id]], T_Aop[], 4, 0)</f>
        <v>410</v>
      </c>
      <c r="D25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5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5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5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5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5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5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5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53" s="8">
        <v>261</v>
      </c>
      <c r="M253" s="8" t="s">
        <v>552</v>
      </c>
    </row>
    <row r="254" spans="2:13" x14ac:dyDescent="0.2">
      <c r="B254" s="8">
        <f>VLOOKUP( T_ApifImport[[#This Row],[Bilans]], T_Bilansi[], 4, 0)</f>
        <v>3</v>
      </c>
      <c r="C254" s="377">
        <f>VLOOKUP( T_ApifImport[[#This Row],[Id]], T_Aop[], 4, 0)</f>
        <v>411</v>
      </c>
      <c r="D25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5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5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5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5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5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5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5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54" s="8">
        <v>262</v>
      </c>
      <c r="M254" s="8" t="s">
        <v>552</v>
      </c>
    </row>
    <row r="255" spans="2:13" x14ac:dyDescent="0.2">
      <c r="B255" s="8">
        <f>VLOOKUP( T_ApifImport[[#This Row],[Bilans]], T_Bilansi[], 4, 0)</f>
        <v>3</v>
      </c>
      <c r="C255" s="377">
        <f>VLOOKUP( T_ApifImport[[#This Row],[Id]], T_Aop[], 4, 0)</f>
        <v>412</v>
      </c>
      <c r="D25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5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5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5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5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5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5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5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55" s="8">
        <v>263</v>
      </c>
      <c r="M255" s="8" t="s">
        <v>552</v>
      </c>
    </row>
    <row r="256" spans="2:13" x14ac:dyDescent="0.2">
      <c r="B256" s="8">
        <f>VLOOKUP( T_ApifImport[[#This Row],[Bilans]], T_Bilansi[], 4, 0)</f>
        <v>3</v>
      </c>
      <c r="C256" s="377">
        <f>VLOOKUP( T_ApifImport[[#This Row],[Id]], T_Aop[], 4, 0)</f>
        <v>413</v>
      </c>
      <c r="D25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5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5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5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5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5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5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5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56" s="8">
        <v>264</v>
      </c>
      <c r="M256" s="8" t="s">
        <v>552</v>
      </c>
    </row>
    <row r="257" spans="2:13" x14ac:dyDescent="0.2">
      <c r="B257" s="8">
        <f>VLOOKUP( T_ApifImport[[#This Row],[Bilans]], T_Bilansi[], 4, 0)</f>
        <v>3</v>
      </c>
      <c r="C257" s="377">
        <f>VLOOKUP( T_ApifImport[[#This Row],[Id]], T_Aop[], 4, 0)</f>
        <v>414</v>
      </c>
      <c r="D25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5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5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5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5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5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5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5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57" s="8">
        <v>265</v>
      </c>
      <c r="M257" s="8" t="s">
        <v>552</v>
      </c>
    </row>
    <row r="258" spans="2:13" x14ac:dyDescent="0.2">
      <c r="B258" s="8">
        <f>VLOOKUP( T_ApifImport[[#This Row],[Bilans]], T_Bilansi[], 4, 0)</f>
        <v>3</v>
      </c>
      <c r="C258" s="377">
        <f>VLOOKUP( T_ApifImport[[#This Row],[Id]], T_Aop[], 4, 0)</f>
        <v>415</v>
      </c>
      <c r="D25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5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5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5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5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5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5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5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58" s="8">
        <v>266</v>
      </c>
      <c r="M258" s="8" t="s">
        <v>552</v>
      </c>
    </row>
    <row r="259" spans="2:13" x14ac:dyDescent="0.2">
      <c r="B259" s="8">
        <f>VLOOKUP( T_ApifImport[[#This Row],[Bilans]], T_Bilansi[], 4, 0)</f>
        <v>3</v>
      </c>
      <c r="C259" s="377">
        <f>VLOOKUP( T_ApifImport[[#This Row],[Id]], T_Aop[], 4, 0)</f>
        <v>416</v>
      </c>
      <c r="D25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5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5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5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5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5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5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5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59" s="8">
        <v>267</v>
      </c>
      <c r="M259" s="8" t="s">
        <v>552</v>
      </c>
    </row>
    <row r="260" spans="2:13" x14ac:dyDescent="0.2">
      <c r="B260" s="8">
        <f>VLOOKUP( T_ApifImport[[#This Row],[Bilans]], T_Bilansi[], 4, 0)</f>
        <v>3</v>
      </c>
      <c r="C260" s="377">
        <f>VLOOKUP( T_ApifImport[[#This Row],[Id]], T_Aop[], 4, 0)</f>
        <v>417</v>
      </c>
      <c r="D26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6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6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6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6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6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6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6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60" s="8">
        <v>269</v>
      </c>
      <c r="M260" s="8" t="s">
        <v>552</v>
      </c>
    </row>
    <row r="261" spans="2:13" x14ac:dyDescent="0.2">
      <c r="B261" s="8">
        <f>VLOOKUP( T_ApifImport[[#This Row],[Bilans]], T_Bilansi[], 4, 0)</f>
        <v>3</v>
      </c>
      <c r="C261" s="377">
        <f>VLOOKUP( T_ApifImport[[#This Row],[Id]], T_Aop[], 4, 0)</f>
        <v>418</v>
      </c>
      <c r="D26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4457963</v>
      </c>
      <c r="E26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5283181</v>
      </c>
      <c r="F26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6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6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6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6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6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61" s="8">
        <v>270</v>
      </c>
      <c r="M261" s="8" t="s">
        <v>552</v>
      </c>
    </row>
    <row r="262" spans="2:13" x14ac:dyDescent="0.2">
      <c r="B262" s="8">
        <f>VLOOKUP( T_ApifImport[[#This Row],[Bilans]], T_Bilansi[], 4, 0)</f>
        <v>5</v>
      </c>
      <c r="C262" s="377">
        <f>VLOOKUP( T_ApifImport[[#This Row],[Id]], T_Aop[], 4, 0)</f>
        <v>501</v>
      </c>
      <c r="D26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14139939</v>
      </c>
      <c r="E26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13372236</v>
      </c>
      <c r="F26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6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6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6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6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6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62" s="8">
        <v>272</v>
      </c>
      <c r="M262" s="8" t="s">
        <v>418</v>
      </c>
    </row>
    <row r="263" spans="2:13" x14ac:dyDescent="0.2">
      <c r="B263" s="8">
        <f>VLOOKUP( T_ApifImport[[#This Row],[Bilans]], T_Bilansi[], 4, 0)</f>
        <v>5</v>
      </c>
      <c r="C263" s="377">
        <f>VLOOKUP( T_ApifImport[[#This Row],[Id]], T_Aop[], 4, 0)</f>
        <v>502</v>
      </c>
      <c r="D26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9454597</v>
      </c>
      <c r="E26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6881189</v>
      </c>
      <c r="F26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6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6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6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6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6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63" s="8">
        <v>273</v>
      </c>
      <c r="M263" s="8" t="s">
        <v>418</v>
      </c>
    </row>
    <row r="264" spans="2:13" x14ac:dyDescent="0.2">
      <c r="B264" s="8">
        <f>VLOOKUP( T_ApifImport[[#This Row],[Bilans]], T_Bilansi[], 4, 0)</f>
        <v>5</v>
      </c>
      <c r="C264" s="377">
        <f>VLOOKUP( T_ApifImport[[#This Row],[Id]], T_Aop[], 4, 0)</f>
        <v>503</v>
      </c>
      <c r="D26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4166667</v>
      </c>
      <c r="E26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6250000</v>
      </c>
      <c r="F26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6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6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6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6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6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64" s="8">
        <v>274</v>
      </c>
      <c r="M264" s="8" t="s">
        <v>418</v>
      </c>
    </row>
    <row r="265" spans="2:13" x14ac:dyDescent="0.2">
      <c r="B265" s="8">
        <f>VLOOKUP( T_ApifImport[[#This Row],[Bilans]], T_Bilansi[], 4, 0)</f>
        <v>5</v>
      </c>
      <c r="C265" s="377">
        <f>VLOOKUP( T_ApifImport[[#This Row],[Id]], T_Aop[], 4, 0)</f>
        <v>504</v>
      </c>
      <c r="D26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518675</v>
      </c>
      <c r="E26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241047</v>
      </c>
      <c r="F26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6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6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6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6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6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65" s="8">
        <v>275</v>
      </c>
      <c r="M265" s="8" t="s">
        <v>418</v>
      </c>
    </row>
    <row r="266" spans="2:13" x14ac:dyDescent="0.2">
      <c r="B266" s="8">
        <f>VLOOKUP( T_ApifImport[[#This Row],[Bilans]], T_Bilansi[], 4, 0)</f>
        <v>5</v>
      </c>
      <c r="C266" s="377">
        <f>VLOOKUP( T_ApifImport[[#This Row],[Id]], T_Aop[], 4, 0)</f>
        <v>505</v>
      </c>
      <c r="D26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15341679</v>
      </c>
      <c r="E26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14910842</v>
      </c>
      <c r="F26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6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6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6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6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6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66" s="8">
        <v>276</v>
      </c>
      <c r="M266" s="8" t="s">
        <v>418</v>
      </c>
    </row>
    <row r="267" spans="2:13" x14ac:dyDescent="0.2">
      <c r="B267" s="8">
        <f>VLOOKUP( T_ApifImport[[#This Row],[Bilans]], T_Bilansi[], 4, 0)</f>
        <v>5</v>
      </c>
      <c r="C267" s="377">
        <f>VLOOKUP( T_ApifImport[[#This Row],[Id]], T_Aop[], 4, 0)</f>
        <v>506</v>
      </c>
      <c r="D26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3911472</v>
      </c>
      <c r="E26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2958056</v>
      </c>
      <c r="F26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6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6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6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6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6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67" s="8">
        <v>277</v>
      </c>
      <c r="M267" s="8" t="s">
        <v>418</v>
      </c>
    </row>
    <row r="268" spans="2:13" x14ac:dyDescent="0.2">
      <c r="B268" s="8">
        <f>VLOOKUP( T_ApifImport[[#This Row],[Bilans]], T_Bilansi[], 4, 0)</f>
        <v>5</v>
      </c>
      <c r="C268" s="377">
        <f>VLOOKUP( T_ApifImport[[#This Row],[Id]], T_Aop[], 4, 0)</f>
        <v>507</v>
      </c>
      <c r="D26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10209931</v>
      </c>
      <c r="E26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10952811</v>
      </c>
      <c r="F26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6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6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6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6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6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68" s="8">
        <v>278</v>
      </c>
      <c r="M268" s="8" t="s">
        <v>418</v>
      </c>
    </row>
    <row r="269" spans="2:13" x14ac:dyDescent="0.2">
      <c r="B269" s="8">
        <f>VLOOKUP( T_ApifImport[[#This Row],[Bilans]], T_Bilansi[], 4, 0)</f>
        <v>5</v>
      </c>
      <c r="C269" s="377">
        <f>VLOOKUP( T_ApifImport[[#This Row],[Id]], T_Aop[], 4, 0)</f>
        <v>508</v>
      </c>
      <c r="D26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22418</v>
      </c>
      <c r="E26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5391</v>
      </c>
      <c r="F26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6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6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6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6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6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69" s="8">
        <v>279</v>
      </c>
      <c r="M269" s="8" t="s">
        <v>418</v>
      </c>
    </row>
    <row r="270" spans="2:13" x14ac:dyDescent="0.2">
      <c r="B270" s="8">
        <f>VLOOKUP( T_ApifImport[[#This Row],[Bilans]], T_Bilansi[], 4, 0)</f>
        <v>5</v>
      </c>
      <c r="C270" s="377">
        <f>VLOOKUP( T_ApifImport[[#This Row],[Id]], T_Aop[], 4, 0)</f>
        <v>509</v>
      </c>
      <c r="D27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7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7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7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7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7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7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7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70" s="8">
        <v>280</v>
      </c>
      <c r="M270" s="8" t="s">
        <v>418</v>
      </c>
    </row>
    <row r="271" spans="2:13" x14ac:dyDescent="0.2">
      <c r="B271" s="8">
        <f>VLOOKUP( T_ApifImport[[#This Row],[Bilans]], T_Bilansi[], 4, 0)</f>
        <v>5</v>
      </c>
      <c r="C271" s="377">
        <f>VLOOKUP( T_ApifImport[[#This Row],[Id]], T_Aop[], 4, 0)</f>
        <v>510</v>
      </c>
      <c r="D27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1197858</v>
      </c>
      <c r="E27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994584</v>
      </c>
      <c r="F27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7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7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7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7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7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71" s="8">
        <v>281</v>
      </c>
      <c r="M271" s="8" t="s">
        <v>418</v>
      </c>
    </row>
    <row r="272" spans="2:13" x14ac:dyDescent="0.2">
      <c r="B272" s="8">
        <f>VLOOKUP( T_ApifImport[[#This Row],[Bilans]], T_Bilansi[], 4, 0)</f>
        <v>5</v>
      </c>
      <c r="C272" s="377">
        <f>VLOOKUP( T_ApifImport[[#This Row],[Id]], T_Aop[], 4, 0)</f>
        <v>511</v>
      </c>
      <c r="D27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7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7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7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7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7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7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7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72" s="8">
        <v>282</v>
      </c>
      <c r="M272" s="8" t="s">
        <v>418</v>
      </c>
    </row>
    <row r="273" spans="2:13" x14ac:dyDescent="0.2">
      <c r="B273" s="8">
        <f>VLOOKUP( T_ApifImport[[#This Row],[Bilans]], T_Bilansi[], 4, 0)</f>
        <v>5</v>
      </c>
      <c r="C273" s="377">
        <f>VLOOKUP( T_ApifImport[[#This Row],[Id]], T_Aop[], 4, 0)</f>
        <v>512</v>
      </c>
      <c r="D27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1201740</v>
      </c>
      <c r="E27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1538606</v>
      </c>
      <c r="F27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7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7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7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7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7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73" s="8">
        <v>283</v>
      </c>
      <c r="M273" s="8" t="s">
        <v>418</v>
      </c>
    </row>
    <row r="274" spans="2:13" x14ac:dyDescent="0.2">
      <c r="B274" s="8">
        <f>VLOOKUP( T_ApifImport[[#This Row],[Bilans]], T_Bilansi[], 4, 0)</f>
        <v>5</v>
      </c>
      <c r="C274" s="377">
        <f>VLOOKUP( T_ApifImport[[#This Row],[Id]], T_Aop[], 4, 0)</f>
        <v>513</v>
      </c>
      <c r="D27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7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7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7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7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7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7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7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74" s="8">
        <v>285</v>
      </c>
      <c r="M274" s="8" t="s">
        <v>418</v>
      </c>
    </row>
    <row r="275" spans="2:13" x14ac:dyDescent="0.2">
      <c r="B275" s="8">
        <f>VLOOKUP( T_ApifImport[[#This Row],[Bilans]], T_Bilansi[], 4, 0)</f>
        <v>5</v>
      </c>
      <c r="C275" s="377">
        <f>VLOOKUP( T_ApifImport[[#This Row],[Id]], T_Aop[], 4, 0)</f>
        <v>514</v>
      </c>
      <c r="D27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7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7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7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7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7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7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7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75" s="8">
        <v>286</v>
      </c>
      <c r="M275" s="8" t="s">
        <v>418</v>
      </c>
    </row>
    <row r="276" spans="2:13" x14ac:dyDescent="0.2">
      <c r="B276" s="8">
        <f>VLOOKUP( T_ApifImport[[#This Row],[Bilans]], T_Bilansi[], 4, 0)</f>
        <v>5</v>
      </c>
      <c r="C276" s="377">
        <f>VLOOKUP( T_ApifImport[[#This Row],[Id]], T_Aop[], 4, 0)</f>
        <v>515</v>
      </c>
      <c r="D27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7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7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7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7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7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7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7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76" s="8">
        <v>287</v>
      </c>
      <c r="M276" s="8" t="s">
        <v>418</v>
      </c>
    </row>
    <row r="277" spans="2:13" x14ac:dyDescent="0.2">
      <c r="B277" s="8">
        <f>VLOOKUP( T_ApifImport[[#This Row],[Bilans]], T_Bilansi[], 4, 0)</f>
        <v>5</v>
      </c>
      <c r="C277" s="377">
        <f>VLOOKUP( T_ApifImport[[#This Row],[Id]], T_Aop[], 4, 0)</f>
        <v>516</v>
      </c>
      <c r="D27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7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7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7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7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7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7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7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77" s="8">
        <v>288</v>
      </c>
      <c r="M277" s="8" t="s">
        <v>418</v>
      </c>
    </row>
    <row r="278" spans="2:13" x14ac:dyDescent="0.2">
      <c r="B278" s="8">
        <f>VLOOKUP( T_ApifImport[[#This Row],[Bilans]], T_Bilansi[], 4, 0)</f>
        <v>5</v>
      </c>
      <c r="C278" s="377">
        <f>VLOOKUP( T_ApifImport[[#This Row],[Id]], T_Aop[], 4, 0)</f>
        <v>517</v>
      </c>
      <c r="D27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7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7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7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7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7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7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7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78" s="8">
        <v>289</v>
      </c>
      <c r="M278" s="8" t="s">
        <v>418</v>
      </c>
    </row>
    <row r="279" spans="2:13" x14ac:dyDescent="0.2">
      <c r="B279" s="8">
        <f>VLOOKUP( T_ApifImport[[#This Row],[Bilans]], T_Bilansi[], 4, 0)</f>
        <v>5</v>
      </c>
      <c r="C279" s="377">
        <f>VLOOKUP( T_ApifImport[[#This Row],[Id]], T_Aop[], 4, 0)</f>
        <v>518</v>
      </c>
      <c r="D27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7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7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7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7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7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7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7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79" s="8">
        <v>290</v>
      </c>
      <c r="M279" s="8" t="s">
        <v>418</v>
      </c>
    </row>
    <row r="280" spans="2:13" x14ac:dyDescent="0.2">
      <c r="B280" s="8">
        <f>VLOOKUP( T_ApifImport[[#This Row],[Bilans]], T_Bilansi[], 4, 0)</f>
        <v>5</v>
      </c>
      <c r="C280" s="377">
        <f>VLOOKUP( T_ApifImport[[#This Row],[Id]], T_Aop[], 4, 0)</f>
        <v>519</v>
      </c>
      <c r="D28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8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8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8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8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8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8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8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80" s="8">
        <v>291</v>
      </c>
      <c r="M280" s="8" t="s">
        <v>418</v>
      </c>
    </row>
    <row r="281" spans="2:13" x14ac:dyDescent="0.2">
      <c r="B281" s="8">
        <f>VLOOKUP( T_ApifImport[[#This Row],[Bilans]], T_Bilansi[], 4, 0)</f>
        <v>5</v>
      </c>
      <c r="C281" s="377">
        <f>VLOOKUP( T_ApifImport[[#This Row],[Id]], T_Aop[], 4, 0)</f>
        <v>520</v>
      </c>
      <c r="D28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8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8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8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8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8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8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8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81" s="8">
        <v>292</v>
      </c>
      <c r="M281" s="8" t="s">
        <v>418</v>
      </c>
    </row>
    <row r="282" spans="2:13" x14ac:dyDescent="0.2">
      <c r="B282" s="8">
        <f>VLOOKUP( T_ApifImport[[#This Row],[Bilans]], T_Bilansi[], 4, 0)</f>
        <v>5</v>
      </c>
      <c r="C282" s="377">
        <f>VLOOKUP( T_ApifImport[[#This Row],[Id]], T_Aop[], 4, 0)</f>
        <v>521</v>
      </c>
      <c r="D28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8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8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8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8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8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8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8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82" s="8">
        <v>293</v>
      </c>
      <c r="M282" s="8" t="s">
        <v>418</v>
      </c>
    </row>
    <row r="283" spans="2:13" x14ac:dyDescent="0.2">
      <c r="B283" s="8">
        <f>VLOOKUP( T_ApifImport[[#This Row],[Bilans]], T_Bilansi[], 4, 0)</f>
        <v>5</v>
      </c>
      <c r="C283" s="377">
        <f>VLOOKUP( T_ApifImport[[#This Row],[Id]], T_Aop[], 4, 0)</f>
        <v>522</v>
      </c>
      <c r="D28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8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8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8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8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8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8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8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83" s="8">
        <v>294</v>
      </c>
      <c r="M283" s="8" t="s">
        <v>418</v>
      </c>
    </row>
    <row r="284" spans="2:13" x14ac:dyDescent="0.2">
      <c r="B284" s="8">
        <f>VLOOKUP( T_ApifImport[[#This Row],[Bilans]], T_Bilansi[], 4, 0)</f>
        <v>5</v>
      </c>
      <c r="C284" s="377">
        <f>VLOOKUP( T_ApifImport[[#This Row],[Id]], T_Aop[], 4, 0)</f>
        <v>523</v>
      </c>
      <c r="D28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8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8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8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8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8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8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8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84" s="8">
        <v>295</v>
      </c>
      <c r="M284" s="8" t="s">
        <v>418</v>
      </c>
    </row>
    <row r="285" spans="2:13" x14ac:dyDescent="0.2">
      <c r="B285" s="8">
        <f>VLOOKUP( T_ApifImport[[#This Row],[Bilans]], T_Bilansi[], 4, 0)</f>
        <v>5</v>
      </c>
      <c r="C285" s="377">
        <f>VLOOKUP( T_ApifImport[[#This Row],[Id]], T_Aop[], 4, 0)</f>
        <v>524</v>
      </c>
      <c r="D28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8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8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8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8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8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8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8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85" s="8">
        <v>296</v>
      </c>
      <c r="M285" s="8" t="s">
        <v>418</v>
      </c>
    </row>
    <row r="286" spans="2:13" x14ac:dyDescent="0.2">
      <c r="B286" s="8">
        <f>VLOOKUP( T_ApifImport[[#This Row],[Bilans]], T_Bilansi[], 4, 0)</f>
        <v>5</v>
      </c>
      <c r="C286" s="377">
        <f>VLOOKUP( T_ApifImport[[#This Row],[Id]], T_Aop[], 4, 0)</f>
        <v>525</v>
      </c>
      <c r="D28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8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8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8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8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8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8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8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86" s="8">
        <v>297</v>
      </c>
      <c r="M286" s="8" t="s">
        <v>418</v>
      </c>
    </row>
    <row r="287" spans="2:13" x14ac:dyDescent="0.2">
      <c r="B287" s="8">
        <f>VLOOKUP( T_ApifImport[[#This Row],[Bilans]], T_Bilansi[], 4, 0)</f>
        <v>5</v>
      </c>
      <c r="C287" s="377">
        <f>VLOOKUP( T_ApifImport[[#This Row],[Id]], T_Aop[], 4, 0)</f>
        <v>526</v>
      </c>
      <c r="D28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8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8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8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8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8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8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8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87" s="8">
        <v>298</v>
      </c>
      <c r="M287" s="8" t="s">
        <v>418</v>
      </c>
    </row>
    <row r="288" spans="2:13" x14ac:dyDescent="0.2">
      <c r="B288" s="8">
        <f>VLOOKUP( T_ApifImport[[#This Row],[Bilans]], T_Bilansi[], 4, 0)</f>
        <v>5</v>
      </c>
      <c r="C288" s="377">
        <f>VLOOKUP( T_ApifImport[[#This Row],[Id]], T_Aop[], 4, 0)</f>
        <v>527</v>
      </c>
      <c r="D28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8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8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8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8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8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8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8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88" s="8">
        <v>300</v>
      </c>
      <c r="M288" s="8" t="s">
        <v>418</v>
      </c>
    </row>
    <row r="289" spans="2:13" x14ac:dyDescent="0.2">
      <c r="B289" s="8">
        <f>VLOOKUP( T_ApifImport[[#This Row],[Bilans]], T_Bilansi[], 4, 0)</f>
        <v>5</v>
      </c>
      <c r="C289" s="377">
        <f>VLOOKUP( T_ApifImport[[#This Row],[Id]], T_Aop[], 4, 0)</f>
        <v>528</v>
      </c>
      <c r="D28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8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8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8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8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8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8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8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89" s="8">
        <v>301</v>
      </c>
      <c r="M289" s="8" t="s">
        <v>418</v>
      </c>
    </row>
    <row r="290" spans="2:13" x14ac:dyDescent="0.2">
      <c r="B290" s="8">
        <f>VLOOKUP( T_ApifImport[[#This Row],[Bilans]], T_Bilansi[], 4, 0)</f>
        <v>5</v>
      </c>
      <c r="C290" s="377">
        <f>VLOOKUP( T_ApifImport[[#This Row],[Id]], T_Aop[], 4, 0)</f>
        <v>529</v>
      </c>
      <c r="D29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9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9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9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9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9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9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9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90" s="8">
        <v>302</v>
      </c>
      <c r="M290" s="8" t="s">
        <v>418</v>
      </c>
    </row>
    <row r="291" spans="2:13" x14ac:dyDescent="0.2">
      <c r="B291" s="8">
        <f>VLOOKUP( T_ApifImport[[#This Row],[Bilans]], T_Bilansi[], 4, 0)</f>
        <v>5</v>
      </c>
      <c r="C291" s="377">
        <f>VLOOKUP( T_ApifImport[[#This Row],[Id]], T_Aop[], 4, 0)</f>
        <v>530</v>
      </c>
      <c r="D29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9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9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9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9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9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9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9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91" s="8">
        <v>303</v>
      </c>
      <c r="M291" s="8" t="s">
        <v>418</v>
      </c>
    </row>
    <row r="292" spans="2:13" x14ac:dyDescent="0.2">
      <c r="B292" s="8">
        <f>VLOOKUP( T_ApifImport[[#This Row],[Bilans]], T_Bilansi[], 4, 0)</f>
        <v>5</v>
      </c>
      <c r="C292" s="377">
        <f>VLOOKUP( T_ApifImport[[#This Row],[Id]], T_Aop[], 4, 0)</f>
        <v>531</v>
      </c>
      <c r="D29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9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9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9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9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9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9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9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92" s="8">
        <v>304</v>
      </c>
      <c r="M292" s="8" t="s">
        <v>418</v>
      </c>
    </row>
    <row r="293" spans="2:13" x14ac:dyDescent="0.2">
      <c r="B293" s="8">
        <f>VLOOKUP( T_ApifImport[[#This Row],[Bilans]], T_Bilansi[], 4, 0)</f>
        <v>5</v>
      </c>
      <c r="C293" s="377">
        <f>VLOOKUP( T_ApifImport[[#This Row],[Id]], T_Aop[], 4, 0)</f>
        <v>532</v>
      </c>
      <c r="D29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34559</v>
      </c>
      <c r="E29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31448</v>
      </c>
      <c r="F29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9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9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9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9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9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93" s="8">
        <v>305</v>
      </c>
      <c r="M293" s="8" t="s">
        <v>418</v>
      </c>
    </row>
    <row r="294" spans="2:13" x14ac:dyDescent="0.2">
      <c r="B294" s="8">
        <f>VLOOKUP( T_ApifImport[[#This Row],[Bilans]], T_Bilansi[], 4, 0)</f>
        <v>5</v>
      </c>
      <c r="C294" s="377">
        <f>VLOOKUP( T_ApifImport[[#This Row],[Id]], T_Aop[], 4, 0)</f>
        <v>533</v>
      </c>
      <c r="D29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9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9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9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9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9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9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9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94" s="8">
        <v>306</v>
      </c>
      <c r="M294" s="8" t="s">
        <v>418</v>
      </c>
    </row>
    <row r="295" spans="2:13" x14ac:dyDescent="0.2">
      <c r="B295" s="8">
        <f>VLOOKUP( T_ApifImport[[#This Row],[Bilans]], T_Bilansi[], 4, 0)</f>
        <v>5</v>
      </c>
      <c r="C295" s="377">
        <f>VLOOKUP( T_ApifImport[[#This Row],[Id]], T_Aop[], 4, 0)</f>
        <v>534</v>
      </c>
      <c r="D29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9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9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9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9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9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9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9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95" s="8">
        <v>307</v>
      </c>
      <c r="M295" s="8" t="s">
        <v>418</v>
      </c>
    </row>
    <row r="296" spans="2:13" x14ac:dyDescent="0.2">
      <c r="B296" s="8">
        <f>VLOOKUP( T_ApifImport[[#This Row],[Bilans]], T_Bilansi[], 4, 0)</f>
        <v>5</v>
      </c>
      <c r="C296" s="377">
        <f>VLOOKUP( T_ApifImport[[#This Row],[Id]], T_Aop[], 4, 0)</f>
        <v>535</v>
      </c>
      <c r="D29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34559</v>
      </c>
      <c r="E29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31448</v>
      </c>
      <c r="F29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9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9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9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9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9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96" s="8">
        <v>308</v>
      </c>
      <c r="M296" s="8" t="s">
        <v>418</v>
      </c>
    </row>
    <row r="297" spans="2:13" x14ac:dyDescent="0.2">
      <c r="B297" s="8">
        <f>VLOOKUP( T_ApifImport[[#This Row],[Bilans]], T_Bilansi[], 4, 0)</f>
        <v>5</v>
      </c>
      <c r="C297" s="377">
        <f>VLOOKUP( T_ApifImport[[#This Row],[Id]], T_Aop[], 4, 0)</f>
        <v>536</v>
      </c>
      <c r="D29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9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9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9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9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9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9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9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97" s="8">
        <v>309</v>
      </c>
      <c r="M297" s="8" t="s">
        <v>418</v>
      </c>
    </row>
    <row r="298" spans="2:13" x14ac:dyDescent="0.2">
      <c r="B298" s="8">
        <f>VLOOKUP( T_ApifImport[[#This Row],[Bilans]], T_Bilansi[], 4, 0)</f>
        <v>5</v>
      </c>
      <c r="C298" s="377">
        <f>VLOOKUP( T_ApifImport[[#This Row],[Id]], T_Aop[], 4, 0)</f>
        <v>537</v>
      </c>
      <c r="D29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9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9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9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9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9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9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9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98" s="8">
        <v>310</v>
      </c>
      <c r="M298" s="8" t="s">
        <v>418</v>
      </c>
    </row>
    <row r="299" spans="2:13" x14ac:dyDescent="0.2">
      <c r="B299" s="8">
        <f>VLOOKUP( T_ApifImport[[#This Row],[Bilans]], T_Bilansi[], 4, 0)</f>
        <v>5</v>
      </c>
      <c r="C299" s="377">
        <f>VLOOKUP( T_ApifImport[[#This Row],[Id]], T_Aop[], 4, 0)</f>
        <v>538</v>
      </c>
      <c r="D29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29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29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29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29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29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29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29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299" s="8">
        <v>311</v>
      </c>
      <c r="M299" s="8" t="s">
        <v>418</v>
      </c>
    </row>
    <row r="300" spans="2:13" x14ac:dyDescent="0.2">
      <c r="B300" s="8">
        <f>VLOOKUP( T_ApifImport[[#This Row],[Bilans]], T_Bilansi[], 4, 0)</f>
        <v>5</v>
      </c>
      <c r="C300" s="377">
        <f>VLOOKUP( T_ApifImport[[#This Row],[Id]], T_Aop[], 4, 0)</f>
        <v>539</v>
      </c>
      <c r="D30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0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0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0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0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0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0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0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00" s="8">
        <v>312</v>
      </c>
      <c r="M300" s="8" t="s">
        <v>418</v>
      </c>
    </row>
    <row r="301" spans="2:13" x14ac:dyDescent="0.2">
      <c r="B301" s="8">
        <f>VLOOKUP( T_ApifImport[[#This Row],[Bilans]], T_Bilansi[], 4, 0)</f>
        <v>5</v>
      </c>
      <c r="C301" s="377">
        <f>VLOOKUP( T_ApifImport[[#This Row],[Id]], T_Aop[], 4, 0)</f>
        <v>540</v>
      </c>
      <c r="D30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34559</v>
      </c>
      <c r="E30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31448</v>
      </c>
      <c r="F30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0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0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0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0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0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01" s="8">
        <v>313</v>
      </c>
      <c r="M301" s="8" t="s">
        <v>418</v>
      </c>
    </row>
    <row r="302" spans="2:13" x14ac:dyDescent="0.2">
      <c r="B302" s="8">
        <f>VLOOKUP( T_ApifImport[[#This Row],[Bilans]], T_Bilansi[], 4, 0)</f>
        <v>5</v>
      </c>
      <c r="C302" s="377">
        <f>VLOOKUP( T_ApifImport[[#This Row],[Id]], T_Aop[], 4, 0)</f>
        <v>541</v>
      </c>
      <c r="D30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14139939</v>
      </c>
      <c r="E30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13372236</v>
      </c>
      <c r="F30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0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0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0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0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0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02" s="8">
        <v>314</v>
      </c>
      <c r="M302" s="8" t="s">
        <v>418</v>
      </c>
    </row>
    <row r="303" spans="2:13" x14ac:dyDescent="0.2">
      <c r="B303" s="8">
        <f>VLOOKUP( T_ApifImport[[#This Row],[Bilans]], T_Bilansi[], 4, 0)</f>
        <v>5</v>
      </c>
      <c r="C303" s="377">
        <f>VLOOKUP( T_ApifImport[[#This Row],[Id]], T_Aop[], 4, 0)</f>
        <v>542</v>
      </c>
      <c r="D30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15376238</v>
      </c>
      <c r="E30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14942290</v>
      </c>
      <c r="F30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0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0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0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0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0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03" s="8">
        <v>315</v>
      </c>
      <c r="M303" s="8" t="s">
        <v>418</v>
      </c>
    </row>
    <row r="304" spans="2:13" x14ac:dyDescent="0.2">
      <c r="B304" s="8">
        <f>VLOOKUP( T_ApifImport[[#This Row],[Bilans]], T_Bilansi[], 4, 0)</f>
        <v>5</v>
      </c>
      <c r="C304" s="377">
        <f>VLOOKUP( T_ApifImport[[#This Row],[Id]], T_Aop[], 4, 0)</f>
        <v>543</v>
      </c>
      <c r="D30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0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0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0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0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0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0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0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04" s="8">
        <v>316</v>
      </c>
      <c r="M304" s="8" t="s">
        <v>418</v>
      </c>
    </row>
    <row r="305" spans="2:13" x14ac:dyDescent="0.2">
      <c r="B305" s="8">
        <f>VLOOKUP( T_ApifImport[[#This Row],[Bilans]], T_Bilansi[], 4, 0)</f>
        <v>5</v>
      </c>
      <c r="C305" s="377">
        <f>VLOOKUP( T_ApifImport[[#This Row],[Id]], T_Aop[], 4, 0)</f>
        <v>544</v>
      </c>
      <c r="D30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1236299</v>
      </c>
      <c r="E30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1570054</v>
      </c>
      <c r="F30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0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0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0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0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0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05" s="8">
        <v>317</v>
      </c>
      <c r="M305" s="8" t="s">
        <v>418</v>
      </c>
    </row>
    <row r="306" spans="2:13" x14ac:dyDescent="0.2">
      <c r="B306" s="8">
        <f>VLOOKUP( T_ApifImport[[#This Row],[Bilans]], T_Bilansi[], 4, 0)</f>
        <v>5</v>
      </c>
      <c r="C306" s="377">
        <f>VLOOKUP( T_ApifImport[[#This Row],[Id]], T_Aop[], 4, 0)</f>
        <v>545</v>
      </c>
      <c r="D30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20733130</v>
      </c>
      <c r="E30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13189652</v>
      </c>
      <c r="F30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0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0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0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0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0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06" s="8">
        <v>318</v>
      </c>
      <c r="M306" s="8" t="s">
        <v>418</v>
      </c>
    </row>
    <row r="307" spans="2:13" x14ac:dyDescent="0.2">
      <c r="B307" s="8">
        <f>VLOOKUP( T_ApifImport[[#This Row],[Bilans]], T_Bilansi[], 4, 0)</f>
        <v>5</v>
      </c>
      <c r="C307" s="377">
        <f>VLOOKUP( T_ApifImport[[#This Row],[Id]], T_Aop[], 4, 0)</f>
        <v>546</v>
      </c>
      <c r="D30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0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0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0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0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0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0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0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07" s="8">
        <v>319</v>
      </c>
      <c r="M307" s="8" t="s">
        <v>418</v>
      </c>
    </row>
    <row r="308" spans="2:13" x14ac:dyDescent="0.2">
      <c r="B308" s="8">
        <f>VLOOKUP( T_ApifImport[[#This Row],[Bilans]], T_Bilansi[], 4, 0)</f>
        <v>5</v>
      </c>
      <c r="C308" s="377">
        <f>VLOOKUP( T_ApifImport[[#This Row],[Id]], T_Aop[], 4, 0)</f>
        <v>547</v>
      </c>
      <c r="D30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0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0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0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0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0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0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0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08" s="8">
        <v>320</v>
      </c>
      <c r="M308" s="8" t="s">
        <v>418</v>
      </c>
    </row>
    <row r="309" spans="2:13" x14ac:dyDescent="0.2">
      <c r="B309" s="8">
        <f>VLOOKUP( T_ApifImport[[#This Row],[Bilans]], T_Bilansi[], 4, 0)</f>
        <v>5</v>
      </c>
      <c r="C309" s="377">
        <f>VLOOKUP( T_ApifImport[[#This Row],[Id]], T_Aop[], 4, 0)</f>
        <v>548</v>
      </c>
      <c r="D30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19496831</v>
      </c>
      <c r="E30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11619598</v>
      </c>
      <c r="F30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0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0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0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0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0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09" s="8">
        <v>321</v>
      </c>
      <c r="M309" s="8" t="s">
        <v>418</v>
      </c>
    </row>
    <row r="310" spans="2:13" x14ac:dyDescent="0.2">
      <c r="B310" s="8">
        <f>VLOOKUP( T_ApifImport[[#This Row],[Bilans]], T_Bilansi[], 4, 0)</f>
        <v>4</v>
      </c>
      <c r="C310" s="377">
        <f>VLOOKUP( T_ApifImport[[#This Row],[Id]], T_Aop[], 4, 0)</f>
        <v>601</v>
      </c>
      <c r="D31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1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1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1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1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1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1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1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10" s="8">
        <v>322</v>
      </c>
      <c r="M310" s="8" t="s">
        <v>419</v>
      </c>
    </row>
    <row r="311" spans="2:13" x14ac:dyDescent="0.2">
      <c r="B311" s="8">
        <f>VLOOKUP( T_ApifImport[[#This Row],[Bilans]], T_Bilansi[], 4, 0)</f>
        <v>4</v>
      </c>
      <c r="C311" s="377">
        <f>VLOOKUP( T_ApifImport[[#This Row],[Id]], T_Aop[], 4, 0)</f>
        <v>602</v>
      </c>
      <c r="D31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628117</v>
      </c>
      <c r="E31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974032</v>
      </c>
      <c r="F31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1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1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1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1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1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11" s="8">
        <v>323</v>
      </c>
      <c r="M311" s="8" t="s">
        <v>419</v>
      </c>
    </row>
    <row r="312" spans="2:13" x14ac:dyDescent="0.2">
      <c r="B312" s="8">
        <f>VLOOKUP( T_ApifImport[[#This Row],[Bilans]], T_Bilansi[], 4, 0)</f>
        <v>4</v>
      </c>
      <c r="C312" s="377">
        <f>VLOOKUP( T_ApifImport[[#This Row],[Id]], T_Aop[], 4, 0)</f>
        <v>603</v>
      </c>
      <c r="D31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9447934</v>
      </c>
      <c r="E31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9492894</v>
      </c>
      <c r="F31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1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1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1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1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1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12" s="8">
        <v>324</v>
      </c>
      <c r="M312" s="8" t="s">
        <v>419</v>
      </c>
    </row>
    <row r="313" spans="2:13" x14ac:dyDescent="0.2">
      <c r="B313" s="8">
        <f>VLOOKUP( T_ApifImport[[#This Row],[Bilans]], T_Bilansi[], 4, 0)</f>
        <v>4</v>
      </c>
      <c r="C313" s="377">
        <f>VLOOKUP( T_ApifImport[[#This Row],[Id]], T_Aop[], 4, 0)</f>
        <v>604</v>
      </c>
      <c r="D31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86478</v>
      </c>
      <c r="E31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143215</v>
      </c>
      <c r="F31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1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1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1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1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1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13" s="8">
        <v>325</v>
      </c>
      <c r="M313" s="8" t="s">
        <v>419</v>
      </c>
    </row>
    <row r="314" spans="2:13" x14ac:dyDescent="0.2">
      <c r="B314" s="8">
        <f>VLOOKUP( T_ApifImport[[#This Row],[Bilans]], T_Bilansi[], 4, 0)</f>
        <v>4</v>
      </c>
      <c r="C314" s="377">
        <f>VLOOKUP( T_ApifImport[[#This Row],[Id]], T_Aop[], 4, 0)</f>
        <v>605</v>
      </c>
      <c r="D31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3454490</v>
      </c>
      <c r="E31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2268321</v>
      </c>
      <c r="F31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1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1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1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1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1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14" s="8">
        <v>326</v>
      </c>
      <c r="M314" s="8" t="s">
        <v>419</v>
      </c>
    </row>
    <row r="315" spans="2:13" x14ac:dyDescent="0.2">
      <c r="B315" s="8">
        <f>VLOOKUP( T_ApifImport[[#This Row],[Bilans]], T_Bilansi[], 4, 0)</f>
        <v>4</v>
      </c>
      <c r="C315" s="377">
        <f>VLOOKUP( T_ApifImport[[#This Row],[Id]], T_Aop[], 4, 0)</f>
        <v>606</v>
      </c>
      <c r="D31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2935741</v>
      </c>
      <c r="E31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3142602</v>
      </c>
      <c r="F31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1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1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1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1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1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15" s="8">
        <v>327</v>
      </c>
      <c r="M315" s="8" t="s">
        <v>419</v>
      </c>
    </row>
    <row r="316" spans="2:13" x14ac:dyDescent="0.2">
      <c r="B316" s="8">
        <f>VLOOKUP( T_ApifImport[[#This Row],[Bilans]], T_Bilansi[], 4, 0)</f>
        <v>4</v>
      </c>
      <c r="C316" s="377">
        <f>VLOOKUP( T_ApifImport[[#This Row],[Id]], T_Aop[], 4, 0)</f>
        <v>607</v>
      </c>
      <c r="D31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7280</v>
      </c>
      <c r="E31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79407</v>
      </c>
      <c r="F31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1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1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1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1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1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16" s="8">
        <v>328</v>
      </c>
      <c r="M316" s="8" t="s">
        <v>419</v>
      </c>
    </row>
    <row r="317" spans="2:13" x14ac:dyDescent="0.2">
      <c r="B317" s="8">
        <f>VLOOKUP( T_ApifImport[[#This Row],[Bilans]], T_Bilansi[], 4, 0)</f>
        <v>4</v>
      </c>
      <c r="C317" s="377">
        <f>VLOOKUP( T_ApifImport[[#This Row],[Id]], T_Aop[], 4, 0)</f>
        <v>608</v>
      </c>
      <c r="D31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1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1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1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1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1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1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1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17" s="8">
        <v>329</v>
      </c>
      <c r="M317" s="8" t="s">
        <v>419</v>
      </c>
    </row>
    <row r="318" spans="2:13" x14ac:dyDescent="0.2">
      <c r="B318" s="8">
        <f>VLOOKUP( T_ApifImport[[#This Row],[Bilans]], T_Bilansi[], 4, 0)</f>
        <v>4</v>
      </c>
      <c r="C318" s="377">
        <f>VLOOKUP( T_ApifImport[[#This Row],[Id]], T_Aop[], 4, 0)</f>
        <v>609</v>
      </c>
      <c r="D31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1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1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1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1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1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1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1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18" s="8">
        <v>330</v>
      </c>
      <c r="M318" s="8" t="s">
        <v>419</v>
      </c>
    </row>
    <row r="319" spans="2:13" x14ac:dyDescent="0.2">
      <c r="B319" s="8">
        <f>VLOOKUP( T_ApifImport[[#This Row],[Bilans]], T_Bilansi[], 4, 0)</f>
        <v>4</v>
      </c>
      <c r="C319" s="377">
        <f>VLOOKUP( T_ApifImport[[#This Row],[Id]], T_Aop[], 4, 0)</f>
        <v>610</v>
      </c>
      <c r="D31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1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1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1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1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1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1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1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19" s="8">
        <v>331</v>
      </c>
      <c r="M319" s="8" t="s">
        <v>419</v>
      </c>
    </row>
    <row r="320" spans="2:13" x14ac:dyDescent="0.2">
      <c r="B320" s="8">
        <f>VLOOKUP( T_ApifImport[[#This Row],[Bilans]], T_Bilansi[], 4, 0)</f>
        <v>4</v>
      </c>
      <c r="C320" s="377">
        <f>VLOOKUP( T_ApifImport[[#This Row],[Id]], T_Aop[], 4, 0)</f>
        <v>611</v>
      </c>
      <c r="D32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2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2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2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2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2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2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2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20" s="8">
        <v>332</v>
      </c>
      <c r="M320" s="8" t="s">
        <v>419</v>
      </c>
    </row>
    <row r="321" spans="2:13" x14ac:dyDescent="0.2">
      <c r="B321" s="8">
        <f>VLOOKUP( T_ApifImport[[#This Row],[Bilans]], T_Bilansi[], 4, 0)</f>
        <v>4</v>
      </c>
      <c r="C321" s="377">
        <f>VLOOKUP( T_ApifImport[[#This Row],[Id]], T_Aop[], 4, 0)</f>
        <v>612</v>
      </c>
      <c r="D32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2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2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2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2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2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2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2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21" s="8">
        <v>333</v>
      </c>
      <c r="M321" s="8" t="s">
        <v>419</v>
      </c>
    </row>
    <row r="322" spans="2:13" x14ac:dyDescent="0.2">
      <c r="B322" s="8">
        <f>VLOOKUP( T_ApifImport[[#This Row],[Bilans]], T_Bilansi[], 4, 0)</f>
        <v>4</v>
      </c>
      <c r="C322" s="377">
        <f>VLOOKUP( T_ApifImport[[#This Row],[Id]], T_Aop[], 4, 0)</f>
        <v>613</v>
      </c>
      <c r="D32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2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2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2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2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2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2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2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22" s="8">
        <v>334</v>
      </c>
      <c r="M322" s="8" t="s">
        <v>419</v>
      </c>
    </row>
    <row r="323" spans="2:13" x14ac:dyDescent="0.2">
      <c r="B323" s="8">
        <f>VLOOKUP( T_ApifImport[[#This Row],[Bilans]], T_Bilansi[], 4, 0)</f>
        <v>4</v>
      </c>
      <c r="C323" s="377">
        <f>VLOOKUP( T_ApifImport[[#This Row],[Id]], T_Aop[], 4, 0)</f>
        <v>614</v>
      </c>
      <c r="D32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2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2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2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2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2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2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2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23" s="8">
        <v>335</v>
      </c>
      <c r="M323" s="8" t="s">
        <v>419</v>
      </c>
    </row>
    <row r="324" spans="2:13" x14ac:dyDescent="0.2">
      <c r="B324" s="8">
        <f>VLOOKUP( T_ApifImport[[#This Row],[Bilans]], T_Bilansi[], 4, 0)</f>
        <v>4</v>
      </c>
      <c r="C324" s="377">
        <f>VLOOKUP( T_ApifImport[[#This Row],[Id]], T_Aop[], 4, 0)</f>
        <v>615</v>
      </c>
      <c r="D32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2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2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2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2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2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2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2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24" s="8">
        <v>336</v>
      </c>
      <c r="M324" s="8" t="s">
        <v>419</v>
      </c>
    </row>
    <row r="325" spans="2:13" x14ac:dyDescent="0.2">
      <c r="B325" s="8">
        <f>VLOOKUP( T_ApifImport[[#This Row],[Bilans]], T_Bilansi[], 4, 0)</f>
        <v>4</v>
      </c>
      <c r="C325" s="377">
        <f>VLOOKUP( T_ApifImport[[#This Row],[Id]], T_Aop[], 4, 0)</f>
        <v>616</v>
      </c>
      <c r="D32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459481</v>
      </c>
      <c r="E32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806269</v>
      </c>
      <c r="F32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2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2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2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2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2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25" s="8">
        <v>337</v>
      </c>
      <c r="M325" s="8" t="s">
        <v>419</v>
      </c>
    </row>
    <row r="326" spans="2:13" x14ac:dyDescent="0.2">
      <c r="B326" s="8">
        <f>VLOOKUP( T_ApifImport[[#This Row],[Bilans]], T_Bilansi[], 4, 0)</f>
        <v>4</v>
      </c>
      <c r="C326" s="377">
        <f>VLOOKUP( T_ApifImport[[#This Row],[Id]], T_Aop[], 4, 0)</f>
        <v>617</v>
      </c>
      <c r="D32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6492235</v>
      </c>
      <c r="E32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6925029</v>
      </c>
      <c r="F32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2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2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2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2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2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26" s="8">
        <v>338</v>
      </c>
      <c r="M326" s="8" t="s">
        <v>419</v>
      </c>
    </row>
    <row r="327" spans="2:13" x14ac:dyDescent="0.2">
      <c r="B327" s="8">
        <f>VLOOKUP( T_ApifImport[[#This Row],[Bilans]], T_Bilansi[], 4, 0)</f>
        <v>4</v>
      </c>
      <c r="C327" s="377">
        <f>VLOOKUP( T_ApifImport[[#This Row],[Id]], T_Aop[], 4, 0)</f>
        <v>618</v>
      </c>
      <c r="D32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77567</v>
      </c>
      <c r="E32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136643</v>
      </c>
      <c r="F32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2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2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2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2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2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27" s="8">
        <v>339</v>
      </c>
      <c r="M327" s="8" t="s">
        <v>419</v>
      </c>
    </row>
    <row r="328" spans="2:13" x14ac:dyDescent="0.2">
      <c r="B328" s="8">
        <f>VLOOKUP( T_ApifImport[[#This Row],[Bilans]], T_Bilansi[], 4, 0)</f>
        <v>4</v>
      </c>
      <c r="C328" s="377">
        <f>VLOOKUP( T_ApifImport[[#This Row],[Id]], T_Aop[], 4, 0)</f>
        <v>619</v>
      </c>
      <c r="D32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5187752</v>
      </c>
      <c r="E32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6989082</v>
      </c>
      <c r="F32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2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2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2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2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2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28" s="8">
        <v>340</v>
      </c>
      <c r="M328" s="8" t="s">
        <v>419</v>
      </c>
    </row>
    <row r="329" spans="2:13" x14ac:dyDescent="0.2">
      <c r="B329" s="8">
        <f>VLOOKUP( T_ApifImport[[#This Row],[Bilans]], T_Bilansi[], 4, 0)</f>
        <v>4</v>
      </c>
      <c r="C329" s="377">
        <f>VLOOKUP( T_ApifImport[[#This Row],[Id]], T_Aop[], 4, 0)</f>
        <v>620</v>
      </c>
      <c r="D32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5052020</v>
      </c>
      <c r="E32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6390426</v>
      </c>
      <c r="F32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2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2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2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2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2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29" s="8">
        <v>341</v>
      </c>
      <c r="M329" s="8" t="s">
        <v>419</v>
      </c>
    </row>
    <row r="330" spans="2:13" x14ac:dyDescent="0.2">
      <c r="B330" s="8">
        <f>VLOOKUP( T_ApifImport[[#This Row],[Bilans]], T_Bilansi[], 4, 0)</f>
        <v>4</v>
      </c>
      <c r="C330" s="377">
        <f>VLOOKUP( T_ApifImport[[#This Row],[Id]], T_Aop[], 4, 0)</f>
        <v>621</v>
      </c>
      <c r="D33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3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3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3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3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3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3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3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30" s="8">
        <v>342</v>
      </c>
      <c r="M330" s="8" t="s">
        <v>419</v>
      </c>
    </row>
    <row r="331" spans="2:13" x14ac:dyDescent="0.2">
      <c r="B331" s="8">
        <f>VLOOKUP( T_ApifImport[[#This Row],[Bilans]], T_Bilansi[], 4, 0)</f>
        <v>4</v>
      </c>
      <c r="C331" s="377">
        <f>VLOOKUP( T_ApifImport[[#This Row],[Id]], T_Aop[], 4, 0)</f>
        <v>622</v>
      </c>
      <c r="D33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3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3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3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3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3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3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3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31" s="8">
        <v>343</v>
      </c>
      <c r="M331" s="8" t="s">
        <v>419</v>
      </c>
    </row>
    <row r="332" spans="2:13" x14ac:dyDescent="0.2">
      <c r="B332" s="8">
        <f>VLOOKUP( T_ApifImport[[#This Row],[Bilans]], T_Bilansi[], 4, 0)</f>
        <v>4</v>
      </c>
      <c r="C332" s="377">
        <f>VLOOKUP( T_ApifImport[[#This Row],[Id]], T_Aop[], 4, 0)</f>
        <v>623</v>
      </c>
      <c r="D33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135732</v>
      </c>
      <c r="E33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529139</v>
      </c>
      <c r="F33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3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3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3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3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3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32" s="8">
        <v>344</v>
      </c>
      <c r="M332" s="8" t="s">
        <v>419</v>
      </c>
    </row>
    <row r="333" spans="2:13" x14ac:dyDescent="0.2">
      <c r="B333" s="8">
        <f>VLOOKUP( T_ApifImport[[#This Row],[Bilans]], T_Bilansi[], 4, 0)</f>
        <v>4</v>
      </c>
      <c r="C333" s="377">
        <f>VLOOKUP( T_ApifImport[[#This Row],[Id]], T_Aop[], 4, 0)</f>
        <v>624</v>
      </c>
      <c r="D33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3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44253</v>
      </c>
      <c r="F33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3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3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3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3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3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33" s="8">
        <v>345</v>
      </c>
      <c r="M333" s="8" t="s">
        <v>419</v>
      </c>
    </row>
    <row r="334" spans="2:13" x14ac:dyDescent="0.2">
      <c r="B334" s="8">
        <f>VLOOKUP( T_ApifImport[[#This Row],[Bilans]], T_Bilansi[], 4, 0)</f>
        <v>4</v>
      </c>
      <c r="C334" s="377">
        <f>VLOOKUP( T_ApifImport[[#This Row],[Id]], T_Aop[], 4, 0)</f>
        <v>625</v>
      </c>
      <c r="D33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3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3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3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3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3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3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3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34" s="8">
        <v>346</v>
      </c>
      <c r="M334" s="8" t="s">
        <v>419</v>
      </c>
    </row>
    <row r="335" spans="2:13" x14ac:dyDescent="0.2">
      <c r="B335" s="8">
        <f>VLOOKUP( T_ApifImport[[#This Row],[Bilans]], T_Bilansi[], 4, 0)</f>
        <v>4</v>
      </c>
      <c r="C335" s="377">
        <f>VLOOKUP( T_ApifImport[[#This Row],[Id]], T_Aop[], 4, 0)</f>
        <v>626</v>
      </c>
      <c r="D33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3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3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3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3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3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3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3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35" s="8">
        <v>347</v>
      </c>
      <c r="M335" s="8" t="s">
        <v>419</v>
      </c>
    </row>
    <row r="336" spans="2:13" x14ac:dyDescent="0.2">
      <c r="B336" s="8">
        <f>VLOOKUP( T_ApifImport[[#This Row],[Bilans]], T_Bilansi[], 4, 0)</f>
        <v>4</v>
      </c>
      <c r="C336" s="377">
        <f>VLOOKUP( T_ApifImport[[#This Row],[Id]], T_Aop[], 4, 0)</f>
        <v>627</v>
      </c>
      <c r="D33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3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25264</v>
      </c>
      <c r="F33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3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3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3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3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3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36" s="8">
        <v>348</v>
      </c>
      <c r="M336" s="8" t="s">
        <v>419</v>
      </c>
    </row>
    <row r="337" spans="2:13" x14ac:dyDescent="0.2">
      <c r="B337" s="8">
        <f>VLOOKUP( T_ApifImport[[#This Row],[Bilans]], T_Bilansi[], 4, 0)</f>
        <v>4</v>
      </c>
      <c r="C337" s="377">
        <f>VLOOKUP( T_ApifImport[[#This Row],[Id]], T_Aop[], 4, 0)</f>
        <v>628</v>
      </c>
      <c r="D33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3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3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3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3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3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3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3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37" s="8">
        <v>349</v>
      </c>
      <c r="M337" s="8" t="s">
        <v>419</v>
      </c>
    </row>
    <row r="338" spans="2:13" x14ac:dyDescent="0.2">
      <c r="B338" s="8">
        <f>VLOOKUP( T_ApifImport[[#This Row],[Bilans]], T_Bilansi[], 4, 0)</f>
        <v>4</v>
      </c>
      <c r="C338" s="377">
        <f>VLOOKUP( T_ApifImport[[#This Row],[Id]], T_Aop[], 4, 0)</f>
        <v>629</v>
      </c>
      <c r="D33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486409</v>
      </c>
      <c r="E33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102360</v>
      </c>
      <c r="F33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3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3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3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3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3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38" s="8">
        <v>350</v>
      </c>
      <c r="M338" s="8" t="s">
        <v>419</v>
      </c>
    </row>
    <row r="339" spans="2:13" x14ac:dyDescent="0.2">
      <c r="B339" s="8">
        <f>VLOOKUP( T_ApifImport[[#This Row],[Bilans]], T_Bilansi[], 4, 0)</f>
        <v>4</v>
      </c>
      <c r="C339" s="377">
        <f>VLOOKUP( T_ApifImport[[#This Row],[Id]], T_Aop[], 4, 0)</f>
        <v>630</v>
      </c>
      <c r="D33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3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3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3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3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3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3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3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39" s="8">
        <v>351</v>
      </c>
      <c r="M339" s="8" t="s">
        <v>419</v>
      </c>
    </row>
    <row r="340" spans="2:13" x14ac:dyDescent="0.2">
      <c r="B340" s="8">
        <f>VLOOKUP( T_ApifImport[[#This Row],[Bilans]], T_Bilansi[], 4, 0)</f>
        <v>4</v>
      </c>
      <c r="C340" s="377">
        <f>VLOOKUP( T_ApifImport[[#This Row],[Id]], T_Aop[], 4, 0)</f>
        <v>631</v>
      </c>
      <c r="D34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4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4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4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4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4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4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4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40" s="8">
        <v>352</v>
      </c>
      <c r="M340" s="8" t="s">
        <v>419</v>
      </c>
    </row>
    <row r="341" spans="2:13" x14ac:dyDescent="0.2">
      <c r="B341" s="8">
        <f>VLOOKUP( T_ApifImport[[#This Row],[Bilans]], T_Bilansi[], 4, 0)</f>
        <v>4</v>
      </c>
      <c r="C341" s="377">
        <f>VLOOKUP( T_ApifImport[[#This Row],[Id]], T_Aop[], 4, 0)</f>
        <v>632</v>
      </c>
      <c r="D34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4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4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4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4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4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4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4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41" s="8">
        <v>353</v>
      </c>
      <c r="M341" s="8" t="s">
        <v>419</v>
      </c>
    </row>
    <row r="342" spans="2:13" x14ac:dyDescent="0.2">
      <c r="B342" s="8">
        <f>VLOOKUP( T_ApifImport[[#This Row],[Bilans]], T_Bilansi[], 4, 0)</f>
        <v>4</v>
      </c>
      <c r="C342" s="377">
        <f>VLOOKUP( T_ApifImport[[#This Row],[Id]], T_Aop[], 4, 0)</f>
        <v>633</v>
      </c>
      <c r="D34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1699832</v>
      </c>
      <c r="E34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1783251</v>
      </c>
      <c r="F34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4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4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4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4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4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42" s="8">
        <v>354</v>
      </c>
      <c r="M342" s="8" t="s">
        <v>419</v>
      </c>
    </row>
    <row r="343" spans="2:13" x14ac:dyDescent="0.2">
      <c r="B343" s="8">
        <f>VLOOKUP( T_ApifImport[[#This Row],[Bilans]], T_Bilansi[], 4, 0)</f>
        <v>4</v>
      </c>
      <c r="C343" s="377">
        <f>VLOOKUP( T_ApifImport[[#This Row],[Id]], T_Aop[], 4, 0)</f>
        <v>634</v>
      </c>
      <c r="D34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1052036</v>
      </c>
      <c r="E34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1162779</v>
      </c>
      <c r="F34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4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4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4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4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4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43" s="8">
        <v>355</v>
      </c>
      <c r="M343" s="8" t="s">
        <v>419</v>
      </c>
    </row>
    <row r="344" spans="2:13" x14ac:dyDescent="0.2">
      <c r="B344" s="8">
        <f>VLOOKUP( T_ApifImport[[#This Row],[Bilans]], T_Bilansi[], 4, 0)</f>
        <v>4</v>
      </c>
      <c r="C344" s="377">
        <f>VLOOKUP( T_ApifImport[[#This Row],[Id]], T_Aop[], 4, 0)</f>
        <v>635</v>
      </c>
      <c r="D34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10024358</v>
      </c>
      <c r="E34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10747733</v>
      </c>
      <c r="F34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4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4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4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4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4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44" s="8">
        <v>356</v>
      </c>
      <c r="M344" s="8" t="s">
        <v>419</v>
      </c>
    </row>
    <row r="345" spans="2:13" x14ac:dyDescent="0.2">
      <c r="B345" s="8">
        <f>VLOOKUP( T_ApifImport[[#This Row],[Bilans]], T_Bilansi[], 4, 0)</f>
        <v>4</v>
      </c>
      <c r="C345" s="377">
        <f>VLOOKUP( T_ApifImport[[#This Row],[Id]], T_Aop[], 4, 0)</f>
        <v>636</v>
      </c>
      <c r="D34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23314</v>
      </c>
      <c r="E34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23313</v>
      </c>
      <c r="F34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4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4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4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4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4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45" s="8">
        <v>357</v>
      </c>
      <c r="M345" s="8" t="s">
        <v>419</v>
      </c>
    </row>
    <row r="346" spans="2:13" x14ac:dyDescent="0.2">
      <c r="B346" s="8">
        <f>VLOOKUP( T_ApifImport[[#This Row],[Bilans]], T_Bilansi[], 4, 0)</f>
        <v>4</v>
      </c>
      <c r="C346" s="377">
        <f>VLOOKUP( T_ApifImport[[#This Row],[Id]], T_Aop[], 4, 0)</f>
        <v>637</v>
      </c>
      <c r="D34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22601</v>
      </c>
      <c r="E34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26839</v>
      </c>
      <c r="F34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4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4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4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4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4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46" s="8">
        <v>358</v>
      </c>
      <c r="M346" s="8" t="s">
        <v>419</v>
      </c>
    </row>
    <row r="347" spans="2:13" x14ac:dyDescent="0.2">
      <c r="B347" s="8">
        <f>VLOOKUP( T_ApifImport[[#This Row],[Bilans]], T_Bilansi[], 4, 0)</f>
        <v>4</v>
      </c>
      <c r="C347" s="377">
        <f>VLOOKUP( T_ApifImport[[#This Row],[Id]], T_Aop[], 4, 0)</f>
        <v>638</v>
      </c>
      <c r="D34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16701</v>
      </c>
      <c r="E34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21416</v>
      </c>
      <c r="F34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4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4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4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4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4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47" s="8">
        <v>359</v>
      </c>
      <c r="M347" s="8" t="s">
        <v>419</v>
      </c>
    </row>
    <row r="348" spans="2:13" x14ac:dyDescent="0.2">
      <c r="B348" s="8">
        <f>VLOOKUP( T_ApifImport[[#This Row],[Bilans]], T_Bilansi[], 4, 0)</f>
        <v>4</v>
      </c>
      <c r="C348" s="377">
        <f>VLOOKUP( T_ApifImport[[#This Row],[Id]], T_Aop[], 4, 0)</f>
        <v>639</v>
      </c>
      <c r="D34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706192</v>
      </c>
      <c r="E34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829933</v>
      </c>
      <c r="F34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4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4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4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4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4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48" s="8">
        <v>360</v>
      </c>
      <c r="M348" s="8" t="s">
        <v>419</v>
      </c>
    </row>
    <row r="349" spans="2:13" x14ac:dyDescent="0.2">
      <c r="B349" s="8">
        <f>VLOOKUP( T_ApifImport[[#This Row],[Bilans]], T_Bilansi[], 4, 0)</f>
        <v>4</v>
      </c>
      <c r="C349" s="377">
        <f>VLOOKUP( T_ApifImport[[#This Row],[Id]], T_Aop[], 4, 0)</f>
        <v>640</v>
      </c>
      <c r="D34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4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4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4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4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4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4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4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49" s="8">
        <v>361</v>
      </c>
      <c r="M349" s="8" t="s">
        <v>419</v>
      </c>
    </row>
    <row r="350" spans="2:13" x14ac:dyDescent="0.2">
      <c r="B350" s="8">
        <f>VLOOKUP( T_ApifImport[[#This Row],[Bilans]], T_Bilansi[], 4, 0)</f>
        <v>4</v>
      </c>
      <c r="C350" s="377">
        <f>VLOOKUP( T_ApifImport[[#This Row],[Id]], T_Aop[], 4, 0)</f>
        <v>641</v>
      </c>
      <c r="D35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422150</v>
      </c>
      <c r="E35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421020</v>
      </c>
      <c r="F35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5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5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5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5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5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50" s="8">
        <v>362</v>
      </c>
      <c r="M350" s="8" t="s">
        <v>419</v>
      </c>
    </row>
    <row r="351" spans="2:13" x14ac:dyDescent="0.2">
      <c r="B351" s="8">
        <f>VLOOKUP( T_ApifImport[[#This Row],[Bilans]], T_Bilansi[], 4, 0)</f>
        <v>4</v>
      </c>
      <c r="C351" s="377">
        <f>VLOOKUP( T_ApifImport[[#This Row],[Id]], T_Aop[], 4, 0)</f>
        <v>642</v>
      </c>
      <c r="D35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97091</v>
      </c>
      <c r="E35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18719</v>
      </c>
      <c r="F35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5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5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5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5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5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51" s="8">
        <v>363</v>
      </c>
      <c r="M351" s="8" t="s">
        <v>419</v>
      </c>
    </row>
    <row r="352" spans="2:13" x14ac:dyDescent="0.2">
      <c r="B352" s="8">
        <f>VLOOKUP( T_ApifImport[[#This Row],[Bilans]], T_Bilansi[], 4, 0)</f>
        <v>4</v>
      </c>
      <c r="C352" s="377">
        <f>VLOOKUP( T_ApifImport[[#This Row],[Id]], T_Aop[], 4, 0)</f>
        <v>643</v>
      </c>
      <c r="D35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5889</v>
      </c>
      <c r="E35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52721</v>
      </c>
      <c r="F35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5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5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5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5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5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52" s="8">
        <v>364</v>
      </c>
      <c r="M352" s="8" t="s">
        <v>419</v>
      </c>
    </row>
    <row r="353" spans="2:13" x14ac:dyDescent="0.2">
      <c r="B353" s="8">
        <f>VLOOKUP( T_ApifImport[[#This Row],[Bilans]], T_Bilansi[], 4, 0)</f>
        <v>4</v>
      </c>
      <c r="C353" s="377">
        <f>VLOOKUP( T_ApifImport[[#This Row],[Id]], T_Aop[], 4, 0)</f>
        <v>644</v>
      </c>
      <c r="D35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164604</v>
      </c>
      <c r="E35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323217</v>
      </c>
      <c r="F35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5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5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5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5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5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53" s="8">
        <v>365</v>
      </c>
      <c r="M353" s="8" t="s">
        <v>419</v>
      </c>
    </row>
    <row r="354" spans="2:13" x14ac:dyDescent="0.2">
      <c r="B354" s="8">
        <f>VLOOKUP( T_ApifImport[[#This Row],[Bilans]], T_Bilansi[], 4, 0)</f>
        <v>4</v>
      </c>
      <c r="C354" s="377">
        <f>VLOOKUP( T_ApifImport[[#This Row],[Id]], T_Aop[], 4, 0)</f>
        <v>645</v>
      </c>
      <c r="D35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468</v>
      </c>
      <c r="E35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3079</v>
      </c>
      <c r="F35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5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5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5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5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5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54" s="8">
        <v>366</v>
      </c>
      <c r="M354" s="8" t="s">
        <v>419</v>
      </c>
    </row>
    <row r="355" spans="2:13" x14ac:dyDescent="0.2">
      <c r="B355" s="8">
        <f>VLOOKUP( T_ApifImport[[#This Row],[Bilans]], T_Bilansi[], 4, 0)</f>
        <v>4</v>
      </c>
      <c r="C355" s="377">
        <f>VLOOKUP( T_ApifImport[[#This Row],[Id]], T_Aop[], 4, 0)</f>
        <v>646</v>
      </c>
      <c r="D35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5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5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5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5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5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5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5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55" s="8">
        <v>367</v>
      </c>
      <c r="M355" s="8" t="s">
        <v>419</v>
      </c>
    </row>
    <row r="356" spans="2:13" x14ac:dyDescent="0.2">
      <c r="B356" s="8">
        <f>VLOOKUP( T_ApifImport[[#This Row],[Bilans]], T_Bilansi[], 4, 0)</f>
        <v>4</v>
      </c>
      <c r="C356" s="377">
        <f>VLOOKUP( T_ApifImport[[#This Row],[Id]], T_Aop[], 4, 0)</f>
        <v>647</v>
      </c>
      <c r="D35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15990</v>
      </c>
      <c r="E35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11177</v>
      </c>
      <c r="F35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5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5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5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5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5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56" s="8">
        <v>368</v>
      </c>
      <c r="M356" s="8" t="s">
        <v>419</v>
      </c>
    </row>
    <row r="357" spans="2:13" x14ac:dyDescent="0.2">
      <c r="B357" s="8">
        <f>VLOOKUP( T_ApifImport[[#This Row],[Bilans]], T_Bilansi[], 4, 0)</f>
        <v>4</v>
      </c>
      <c r="C357" s="377">
        <f>VLOOKUP( T_ApifImport[[#This Row],[Id]], T_Aop[], 4, 0)</f>
        <v>648</v>
      </c>
      <c r="D35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5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5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5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5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5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5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5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57" s="8">
        <v>369</v>
      </c>
      <c r="M357" s="8" t="s">
        <v>419</v>
      </c>
    </row>
    <row r="358" spans="2:13" x14ac:dyDescent="0.2">
      <c r="B358" s="8">
        <f>VLOOKUP( T_ApifImport[[#This Row],[Bilans]], T_Bilansi[], 4, 0)</f>
        <v>4</v>
      </c>
      <c r="C358" s="377">
        <f>VLOOKUP( T_ApifImport[[#This Row],[Id]], T_Aop[], 4, 0)</f>
        <v>649</v>
      </c>
      <c r="D35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253930</v>
      </c>
      <c r="E35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282081</v>
      </c>
      <c r="F35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5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5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5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5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5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58" s="8">
        <v>370</v>
      </c>
      <c r="M358" s="8" t="s">
        <v>419</v>
      </c>
    </row>
    <row r="359" spans="2:13" x14ac:dyDescent="0.2">
      <c r="B359" s="8">
        <f>VLOOKUP( T_ApifImport[[#This Row],[Bilans]], T_Bilansi[], 4, 0)</f>
        <v>4</v>
      </c>
      <c r="C359" s="377">
        <f>VLOOKUP( T_ApifImport[[#This Row],[Id]], T_Aop[], 4, 0)</f>
        <v>650</v>
      </c>
      <c r="D35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35529</v>
      </c>
      <c r="E35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61635</v>
      </c>
      <c r="F35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5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5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5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5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5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59" s="8">
        <v>371</v>
      </c>
      <c r="M359" s="8" t="s">
        <v>419</v>
      </c>
    </row>
    <row r="360" spans="2:13" x14ac:dyDescent="0.2">
      <c r="B360" s="8">
        <f>VLOOKUP( T_ApifImport[[#This Row],[Bilans]], T_Bilansi[], 4, 0)</f>
        <v>4</v>
      </c>
      <c r="C360" s="377">
        <f>VLOOKUP( T_ApifImport[[#This Row],[Id]], T_Aop[], 4, 0)</f>
        <v>651</v>
      </c>
      <c r="D36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633</v>
      </c>
      <c r="E36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2143</v>
      </c>
      <c r="F36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6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6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6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6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6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60" s="8">
        <v>372</v>
      </c>
      <c r="M360" s="8" t="s">
        <v>419</v>
      </c>
    </row>
    <row r="361" spans="2:13" x14ac:dyDescent="0.2">
      <c r="B361" s="8">
        <f>VLOOKUP( T_ApifImport[[#This Row],[Bilans]], T_Bilansi[], 4, 0)</f>
        <v>4</v>
      </c>
      <c r="C361" s="377">
        <f>VLOOKUP( T_ApifImport[[#This Row],[Id]], T_Aop[], 4, 0)</f>
        <v>652</v>
      </c>
      <c r="D36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6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6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6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6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6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6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6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61" s="8">
        <v>373</v>
      </c>
      <c r="M361" s="8" t="s">
        <v>419</v>
      </c>
    </row>
    <row r="362" spans="2:13" x14ac:dyDescent="0.2">
      <c r="B362" s="8">
        <f>VLOOKUP( T_ApifImport[[#This Row],[Bilans]], T_Bilansi[], 4, 0)</f>
        <v>4</v>
      </c>
      <c r="C362" s="377">
        <f>VLOOKUP( T_ApifImport[[#This Row],[Id]], T_Aop[], 4, 0)</f>
        <v>653</v>
      </c>
      <c r="D36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15983</v>
      </c>
      <c r="E36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7021</v>
      </c>
      <c r="F36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6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6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6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6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6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62" s="8">
        <v>374</v>
      </c>
      <c r="M362" s="8" t="s">
        <v>419</v>
      </c>
    </row>
    <row r="363" spans="2:13" x14ac:dyDescent="0.2">
      <c r="B363" s="8">
        <f>VLOOKUP( T_ApifImport[[#This Row],[Bilans]], T_Bilansi[], 4, 0)</f>
        <v>4</v>
      </c>
      <c r="C363" s="377">
        <f>VLOOKUP( T_ApifImport[[#This Row],[Id]], T_Aop[], 4, 0)</f>
        <v>654</v>
      </c>
      <c r="D36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22831</v>
      </c>
      <c r="E36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19414</v>
      </c>
      <c r="F36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6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6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6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6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6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63" s="8">
        <v>375</v>
      </c>
      <c r="M363" s="8" t="s">
        <v>419</v>
      </c>
    </row>
    <row r="364" spans="2:13" x14ac:dyDescent="0.2">
      <c r="B364" s="8">
        <f>VLOOKUP( T_ApifImport[[#This Row],[Bilans]], T_Bilansi[], 4, 0)</f>
        <v>4</v>
      </c>
      <c r="C364" s="377">
        <f>VLOOKUP( T_ApifImport[[#This Row],[Id]], T_Aop[], 4, 0)</f>
        <v>655</v>
      </c>
      <c r="D36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7685</v>
      </c>
      <c r="E36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8601</v>
      </c>
      <c r="F36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6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6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6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6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6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64" s="8">
        <v>376</v>
      </c>
      <c r="M364" s="8" t="s">
        <v>419</v>
      </c>
    </row>
    <row r="365" spans="2:13" x14ac:dyDescent="0.2">
      <c r="B365" s="8">
        <f>VLOOKUP( T_ApifImport[[#This Row],[Bilans]], T_Bilansi[], 4, 0)</f>
        <v>4</v>
      </c>
      <c r="C365" s="377">
        <f>VLOOKUP( T_ApifImport[[#This Row],[Id]], T_Aop[], 4, 0)</f>
        <v>656</v>
      </c>
      <c r="D36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126578</v>
      </c>
      <c r="E36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113680</v>
      </c>
      <c r="F36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6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6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6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6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6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65" s="8">
        <v>377</v>
      </c>
      <c r="M365" s="8" t="s">
        <v>419</v>
      </c>
    </row>
    <row r="366" spans="2:13" x14ac:dyDescent="0.2">
      <c r="B366" s="8">
        <f>VLOOKUP( T_ApifImport[[#This Row],[Bilans]], T_Bilansi[], 4, 0)</f>
        <v>4</v>
      </c>
      <c r="C366" s="377">
        <f>VLOOKUP( T_ApifImport[[#This Row],[Id]], T_Aop[], 4, 0)</f>
        <v>657</v>
      </c>
      <c r="D36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6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6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6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6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6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6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6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66" s="8">
        <v>378</v>
      </c>
      <c r="M366" s="8" t="s">
        <v>419</v>
      </c>
    </row>
    <row r="367" spans="2:13" x14ac:dyDescent="0.2">
      <c r="B367" s="8">
        <f>VLOOKUP( T_ApifImport[[#This Row],[Bilans]], T_Bilansi[], 4, 0)</f>
        <v>4</v>
      </c>
      <c r="C367" s="377">
        <f>VLOOKUP( T_ApifImport[[#This Row],[Id]], T_Aop[], 4, 0)</f>
        <v>658</v>
      </c>
      <c r="D36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20948</v>
      </c>
      <c r="E36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38407</v>
      </c>
      <c r="F36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6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6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6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6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6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67" s="8">
        <v>379</v>
      </c>
      <c r="M367" s="8" t="s">
        <v>419</v>
      </c>
    </row>
    <row r="368" spans="2:13" x14ac:dyDescent="0.2">
      <c r="B368" s="8">
        <f>VLOOKUP( T_ApifImport[[#This Row],[Bilans]], T_Bilansi[], 4, 0)</f>
        <v>4</v>
      </c>
      <c r="C368" s="377">
        <f>VLOOKUP( T_ApifImport[[#This Row],[Id]], T_Aop[], 4, 0)</f>
        <v>659</v>
      </c>
      <c r="D36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24376</v>
      </c>
      <c r="E36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33323</v>
      </c>
      <c r="F36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6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6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6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6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6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68" s="8">
        <v>380</v>
      </c>
      <c r="M368" s="8" t="s">
        <v>419</v>
      </c>
    </row>
    <row r="369" spans="2:13" x14ac:dyDescent="0.2">
      <c r="B369" s="8">
        <f>VLOOKUP( T_ApifImport[[#This Row],[Bilans]], T_Bilansi[], 4, 0)</f>
        <v>4</v>
      </c>
      <c r="C369" s="377">
        <f>VLOOKUP( T_ApifImport[[#This Row],[Id]], T_Aop[], 4, 0)</f>
        <v>660</v>
      </c>
      <c r="D36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6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6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6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6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6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6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6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69" s="8">
        <v>381</v>
      </c>
      <c r="M369" s="8" t="s">
        <v>419</v>
      </c>
    </row>
    <row r="370" spans="2:13" x14ac:dyDescent="0.2">
      <c r="B370" s="8">
        <f>VLOOKUP( T_ApifImport[[#This Row],[Bilans]], T_Bilansi[], 4, 0)</f>
        <v>4</v>
      </c>
      <c r="C370" s="377">
        <f>VLOOKUP( T_ApifImport[[#This Row],[Id]], T_Aop[], 4, 0)</f>
        <v>661</v>
      </c>
      <c r="D37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1245207</v>
      </c>
      <c r="E37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1064611</v>
      </c>
      <c r="F370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70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70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70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70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70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70" s="8">
        <v>382</v>
      </c>
      <c r="M370" s="8" t="s">
        <v>419</v>
      </c>
    </row>
    <row r="371" spans="2:13" x14ac:dyDescent="0.2">
      <c r="B371" s="8">
        <f>VLOOKUP( T_ApifImport[[#This Row],[Bilans]], T_Bilansi[], 4, 0)</f>
        <v>4</v>
      </c>
      <c r="C371" s="377">
        <f>VLOOKUP( T_ApifImport[[#This Row],[Id]], T_Aop[], 4, 0)</f>
        <v>662</v>
      </c>
      <c r="D37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1134731</v>
      </c>
      <c r="E37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780542</v>
      </c>
      <c r="F371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71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71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71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71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71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71" s="8">
        <v>383</v>
      </c>
      <c r="M371" s="8" t="s">
        <v>419</v>
      </c>
    </row>
    <row r="372" spans="2:13" x14ac:dyDescent="0.2">
      <c r="B372" s="8">
        <f>VLOOKUP( T_ApifImport[[#This Row],[Bilans]], T_Bilansi[], 4, 0)</f>
        <v>4</v>
      </c>
      <c r="C372" s="377">
        <f>VLOOKUP( T_ApifImport[[#This Row],[Id]], T_Aop[], 4, 0)</f>
        <v>663</v>
      </c>
      <c r="D37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69006</v>
      </c>
      <c r="E37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36040</v>
      </c>
      <c r="F372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72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72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72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72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72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72" s="8">
        <v>384</v>
      </c>
      <c r="M372" s="8" t="s">
        <v>419</v>
      </c>
    </row>
    <row r="373" spans="2:13" x14ac:dyDescent="0.2">
      <c r="B373" s="8">
        <f>VLOOKUP( T_ApifImport[[#This Row],[Bilans]], T_Bilansi[], 4, 0)</f>
        <v>4</v>
      </c>
      <c r="C373" s="377">
        <f>VLOOKUP( T_ApifImport[[#This Row],[Id]], T_Aop[], 4, 0)</f>
        <v>664</v>
      </c>
      <c r="D37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7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41760</v>
      </c>
      <c r="F373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73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73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73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73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73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73" s="8">
        <v>385</v>
      </c>
      <c r="M373" s="8" t="s">
        <v>419</v>
      </c>
    </row>
    <row r="374" spans="2:13" x14ac:dyDescent="0.2">
      <c r="B374" s="8">
        <f>VLOOKUP( T_ApifImport[[#This Row],[Bilans]], T_Bilansi[], 4, 0)</f>
        <v>4</v>
      </c>
      <c r="C374" s="377">
        <f>VLOOKUP( T_ApifImport[[#This Row],[Id]], T_Aop[], 4, 0)</f>
        <v>665</v>
      </c>
      <c r="D37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7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74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74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74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74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74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74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74" s="8">
        <v>386</v>
      </c>
      <c r="M374" s="8" t="s">
        <v>419</v>
      </c>
    </row>
    <row r="375" spans="2:13" x14ac:dyDescent="0.2">
      <c r="B375" s="8">
        <f>VLOOKUP( T_ApifImport[[#This Row],[Bilans]], T_Bilansi[], 4, 0)</f>
        <v>4</v>
      </c>
      <c r="C375" s="377">
        <f>VLOOKUP( T_ApifImport[[#This Row],[Id]], T_Aop[], 4, 0)</f>
        <v>666</v>
      </c>
      <c r="D37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165228</v>
      </c>
      <c r="E37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10304</v>
      </c>
      <c r="F375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75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75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75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75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75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75" s="8">
        <v>387</v>
      </c>
      <c r="M375" s="8" t="s">
        <v>419</v>
      </c>
    </row>
    <row r="376" spans="2:13" x14ac:dyDescent="0.2">
      <c r="B376" s="8">
        <f>VLOOKUP( T_ApifImport[[#This Row],[Bilans]], T_Bilansi[], 4, 0)</f>
        <v>4</v>
      </c>
      <c r="C376" s="377">
        <f>VLOOKUP( T_ApifImport[[#This Row],[Id]], T_Aop[], 4, 0)</f>
        <v>667</v>
      </c>
      <c r="D37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7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76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76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76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76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76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76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76" s="8">
        <v>388</v>
      </c>
      <c r="M376" s="8" t="s">
        <v>419</v>
      </c>
    </row>
    <row r="377" spans="2:13" x14ac:dyDescent="0.2">
      <c r="B377" s="8">
        <f>VLOOKUP( T_ApifImport[[#This Row],[Bilans]], T_Bilansi[], 4, 0)</f>
        <v>4</v>
      </c>
      <c r="C377" s="377">
        <f>VLOOKUP( T_ApifImport[[#This Row],[Id]], T_Aop[], 4, 0)</f>
        <v>668</v>
      </c>
      <c r="D37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7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77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77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77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77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77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77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77" s="8">
        <v>389</v>
      </c>
      <c r="M377" s="8" t="s">
        <v>419</v>
      </c>
    </row>
    <row r="378" spans="2:13" x14ac:dyDescent="0.2">
      <c r="B378" s="8">
        <f>VLOOKUP( T_ApifImport[[#This Row],[Bilans]], T_Bilansi[], 4, 0)</f>
        <v>4</v>
      </c>
      <c r="C378" s="377">
        <f>VLOOKUP( T_ApifImport[[#This Row],[Id]], T_Aop[], 4, 0)</f>
        <v>669</v>
      </c>
      <c r="D37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7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78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78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78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78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78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78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78" s="8">
        <v>390</v>
      </c>
      <c r="M378" s="8" t="s">
        <v>419</v>
      </c>
    </row>
    <row r="379" spans="2:13" x14ac:dyDescent="0.2">
      <c r="B379" s="8">
        <f>VLOOKUP( T_ApifImport[[#This Row],[Bilans]], T_Bilansi[], 4, 0)</f>
        <v>4</v>
      </c>
      <c r="C379" s="377">
        <f>VLOOKUP( T_ApifImport[[#This Row],[Id]], T_Aop[], 4, 0)</f>
        <v>670</v>
      </c>
      <c r="D37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1096889</v>
      </c>
      <c r="E37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1099150</v>
      </c>
      <c r="F379" s="378" t="str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/>
      </c>
      <c r="G379" s="378" t="str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/>
      </c>
      <c r="H379" s="378" t="str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/>
      </c>
      <c r="I379" s="378" t="str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/>
      </c>
      <c r="J379" s="378" t="str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/>
      </c>
      <c r="K379" s="378" t="str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/>
      </c>
      <c r="L379" s="8">
        <v>391</v>
      </c>
      <c r="M379" s="8" t="s">
        <v>419</v>
      </c>
    </row>
    <row r="380" spans="2:13" x14ac:dyDescent="0.2">
      <c r="B380" s="8">
        <f>VLOOKUP( T_ApifImport[[#This Row],[Bilans]], T_Bilansi[], 4, 0)</f>
        <v>6</v>
      </c>
      <c r="C380" s="377">
        <f>VLOOKUP( T_ApifImport[[#This Row],[Id]], T_Aop[], 4, 0)</f>
        <v>901</v>
      </c>
      <c r="D38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50000</v>
      </c>
      <c r="E38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225286778</v>
      </c>
      <c r="F380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80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80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-81872253</v>
      </c>
      <c r="I380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143464525</v>
      </c>
      <c r="J380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0</v>
      </c>
      <c r="K380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143464525</v>
      </c>
      <c r="L380" s="8">
        <v>392</v>
      </c>
      <c r="M380" s="8" t="s">
        <v>420</v>
      </c>
    </row>
    <row r="381" spans="2:13" x14ac:dyDescent="0.2">
      <c r="B381" s="8">
        <f>VLOOKUP( T_ApifImport[[#This Row],[Bilans]], T_Bilansi[], 4, 0)</f>
        <v>6</v>
      </c>
      <c r="C381" s="377">
        <f>VLOOKUP( T_ApifImport[[#This Row],[Id]], T_Aop[], 4, 0)</f>
        <v>902</v>
      </c>
      <c r="D38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8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81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81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81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0</v>
      </c>
      <c r="I381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0</v>
      </c>
      <c r="J381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0</v>
      </c>
      <c r="K381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0</v>
      </c>
      <c r="L381" s="8">
        <v>393</v>
      </c>
      <c r="M381" s="8" t="s">
        <v>420</v>
      </c>
    </row>
    <row r="382" spans="2:13" x14ac:dyDescent="0.2">
      <c r="B382" s="8">
        <f>VLOOKUP( T_ApifImport[[#This Row],[Bilans]], T_Bilansi[], 4, 0)</f>
        <v>6</v>
      </c>
      <c r="C382" s="377">
        <f>VLOOKUP( T_ApifImport[[#This Row],[Id]], T_Aop[], 4, 0)</f>
        <v>903</v>
      </c>
      <c r="D38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8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82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82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82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0</v>
      </c>
      <c r="I382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0</v>
      </c>
      <c r="J382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0</v>
      </c>
      <c r="K382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0</v>
      </c>
      <c r="L382" s="8">
        <v>394</v>
      </c>
      <c r="M382" s="8" t="s">
        <v>420</v>
      </c>
    </row>
    <row r="383" spans="2:13" x14ac:dyDescent="0.2">
      <c r="B383" s="8">
        <f>VLOOKUP( T_ApifImport[[#This Row],[Bilans]], T_Bilansi[], 4, 0)</f>
        <v>6</v>
      </c>
      <c r="C383" s="377">
        <f>VLOOKUP( T_ApifImport[[#This Row],[Id]], T_Aop[], 4, 0)</f>
        <v>904</v>
      </c>
      <c r="D38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50000</v>
      </c>
      <c r="E38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225286778</v>
      </c>
      <c r="F383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83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83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-81872253</v>
      </c>
      <c r="I383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143464525</v>
      </c>
      <c r="J383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0</v>
      </c>
      <c r="K383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143464525</v>
      </c>
      <c r="L383" s="8">
        <v>395</v>
      </c>
      <c r="M383" s="8" t="s">
        <v>420</v>
      </c>
    </row>
    <row r="384" spans="2:13" x14ac:dyDescent="0.2">
      <c r="B384" s="8">
        <f>VLOOKUP( T_ApifImport[[#This Row],[Bilans]], T_Bilansi[], 4, 0)</f>
        <v>6</v>
      </c>
      <c r="C384" s="377">
        <f>VLOOKUP( T_ApifImport[[#This Row],[Id]], T_Aop[], 4, 0)</f>
        <v>905</v>
      </c>
      <c r="D38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8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84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84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84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0</v>
      </c>
      <c r="I384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0</v>
      </c>
      <c r="J384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0</v>
      </c>
      <c r="K384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0</v>
      </c>
      <c r="L384" s="8">
        <v>396</v>
      </c>
      <c r="M384" s="8" t="s">
        <v>420</v>
      </c>
    </row>
    <row r="385" spans="2:13" x14ac:dyDescent="0.2">
      <c r="B385" s="8">
        <f>VLOOKUP( T_ApifImport[[#This Row],[Bilans]], T_Bilansi[], 4, 0)</f>
        <v>6</v>
      </c>
      <c r="C385" s="377">
        <f>VLOOKUP( T_ApifImport[[#This Row],[Id]], T_Aop[], 4, 0)</f>
        <v>906</v>
      </c>
      <c r="D38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8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85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85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85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0</v>
      </c>
      <c r="I385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0</v>
      </c>
      <c r="J385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0</v>
      </c>
      <c r="K385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0</v>
      </c>
      <c r="L385" s="8">
        <v>397</v>
      </c>
      <c r="M385" s="8" t="s">
        <v>420</v>
      </c>
    </row>
    <row r="386" spans="2:13" x14ac:dyDescent="0.2">
      <c r="B386" s="8">
        <f>VLOOKUP( T_ApifImport[[#This Row],[Bilans]], T_Bilansi[], 4, 0)</f>
        <v>6</v>
      </c>
      <c r="C386" s="377">
        <f>VLOOKUP( T_ApifImport[[#This Row],[Id]], T_Aop[], 4, 0)</f>
        <v>907</v>
      </c>
      <c r="D38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8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86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86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86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0</v>
      </c>
      <c r="I386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0</v>
      </c>
      <c r="J386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0</v>
      </c>
      <c r="K386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0</v>
      </c>
      <c r="L386" s="8">
        <v>398</v>
      </c>
      <c r="M386" s="8" t="s">
        <v>420</v>
      </c>
    </row>
    <row r="387" spans="2:13" x14ac:dyDescent="0.2">
      <c r="B387" s="8">
        <f>VLOOKUP( T_ApifImport[[#This Row],[Bilans]], T_Bilansi[], 4, 0)</f>
        <v>6</v>
      </c>
      <c r="C387" s="377">
        <f>VLOOKUP( T_ApifImport[[#This Row],[Id]], T_Aop[], 4, 0)</f>
        <v>908</v>
      </c>
      <c r="D38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8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87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87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87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-18525929</v>
      </c>
      <c r="I387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-18525929</v>
      </c>
      <c r="J387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0</v>
      </c>
      <c r="K387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-18525929</v>
      </c>
      <c r="L387" s="8">
        <v>399</v>
      </c>
      <c r="M387" s="8" t="s">
        <v>420</v>
      </c>
    </row>
    <row r="388" spans="2:13" x14ac:dyDescent="0.2">
      <c r="B388" s="8">
        <f>VLOOKUP( T_ApifImport[[#This Row],[Bilans]], T_Bilansi[], 4, 0)</f>
        <v>6</v>
      </c>
      <c r="C388" s="377">
        <f>VLOOKUP( T_ApifImport[[#This Row],[Id]], T_Aop[], 4, 0)</f>
        <v>909</v>
      </c>
      <c r="D38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8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88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88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88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0</v>
      </c>
      <c r="I388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0</v>
      </c>
      <c r="J388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0</v>
      </c>
      <c r="K388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0</v>
      </c>
      <c r="L388" s="8">
        <v>400</v>
      </c>
      <c r="M388" s="8" t="s">
        <v>420</v>
      </c>
    </row>
    <row r="389" spans="2:13" x14ac:dyDescent="0.2">
      <c r="B389" s="8">
        <f>VLOOKUP( T_ApifImport[[#This Row],[Bilans]], T_Bilansi[], 4, 0)</f>
        <v>6</v>
      </c>
      <c r="C389" s="377">
        <f>VLOOKUP( T_ApifImport[[#This Row],[Id]], T_Aop[], 4, 0)</f>
        <v>910</v>
      </c>
      <c r="D38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8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89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89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89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0</v>
      </c>
      <c r="I389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0</v>
      </c>
      <c r="J389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0</v>
      </c>
      <c r="K389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0</v>
      </c>
      <c r="L389" s="8">
        <v>401</v>
      </c>
      <c r="M389" s="8" t="s">
        <v>420</v>
      </c>
    </row>
    <row r="390" spans="2:13" x14ac:dyDescent="0.2">
      <c r="B390" s="8">
        <f>VLOOKUP( T_ApifImport[[#This Row],[Bilans]], T_Bilansi[], 4, 0)</f>
        <v>6</v>
      </c>
      <c r="C390" s="377">
        <f>VLOOKUP( T_ApifImport[[#This Row],[Id]], T_Aop[], 4, 0)</f>
        <v>911</v>
      </c>
      <c r="D39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9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90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90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90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0</v>
      </c>
      <c r="I390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0</v>
      </c>
      <c r="J390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0</v>
      </c>
      <c r="K390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0</v>
      </c>
      <c r="L390" s="8">
        <v>402</v>
      </c>
      <c r="M390" s="8" t="s">
        <v>420</v>
      </c>
    </row>
    <row r="391" spans="2:13" x14ac:dyDescent="0.2">
      <c r="B391" s="8">
        <f>VLOOKUP( T_ApifImport[[#This Row],[Bilans]], T_Bilansi[], 4, 0)</f>
        <v>6</v>
      </c>
      <c r="C391" s="377">
        <f>VLOOKUP( T_ApifImport[[#This Row],[Id]], T_Aop[], 4, 0)</f>
        <v>912</v>
      </c>
      <c r="D39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50000</v>
      </c>
      <c r="E39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225286778</v>
      </c>
      <c r="F391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91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91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-100398182</v>
      </c>
      <c r="I391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124938596</v>
      </c>
      <c r="J391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0</v>
      </c>
      <c r="K391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124938596</v>
      </c>
      <c r="L391" s="8">
        <v>403</v>
      </c>
      <c r="M391" s="8" t="s">
        <v>420</v>
      </c>
    </row>
    <row r="392" spans="2:13" x14ac:dyDescent="0.2">
      <c r="B392" s="8">
        <f>VLOOKUP( T_ApifImport[[#This Row],[Bilans]], T_Bilansi[], 4, 0)</f>
        <v>6</v>
      </c>
      <c r="C392" s="377">
        <f>VLOOKUP( T_ApifImport[[#This Row],[Id]], T_Aop[], 4, 0)</f>
        <v>913</v>
      </c>
      <c r="D39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9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92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92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92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0</v>
      </c>
      <c r="I392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0</v>
      </c>
      <c r="J392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0</v>
      </c>
      <c r="K392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0</v>
      </c>
      <c r="L392" s="8">
        <v>404</v>
      </c>
      <c r="M392" s="8" t="s">
        <v>420</v>
      </c>
    </row>
    <row r="393" spans="2:13" x14ac:dyDescent="0.2">
      <c r="B393" s="8">
        <f>VLOOKUP( T_ApifImport[[#This Row],[Bilans]], T_Bilansi[], 4, 0)</f>
        <v>6</v>
      </c>
      <c r="C393" s="377">
        <f>VLOOKUP( T_ApifImport[[#This Row],[Id]], T_Aop[], 4, 0)</f>
        <v>914</v>
      </c>
      <c r="D393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93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93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93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93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0</v>
      </c>
      <c r="I393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0</v>
      </c>
      <c r="J393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0</v>
      </c>
      <c r="K393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0</v>
      </c>
      <c r="L393" s="8">
        <v>405</v>
      </c>
      <c r="M393" s="8" t="s">
        <v>420</v>
      </c>
    </row>
    <row r="394" spans="2:13" x14ac:dyDescent="0.2">
      <c r="B394" s="8">
        <f>VLOOKUP( T_ApifImport[[#This Row],[Bilans]], T_Bilansi[], 4, 0)</f>
        <v>6</v>
      </c>
      <c r="C394" s="377">
        <f>VLOOKUP( T_ApifImport[[#This Row],[Id]], T_Aop[], 4, 0)</f>
        <v>915</v>
      </c>
      <c r="D394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50000</v>
      </c>
      <c r="E394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225286778</v>
      </c>
      <c r="F394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94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94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-100398182</v>
      </c>
      <c r="I394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124938596</v>
      </c>
      <c r="J394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0</v>
      </c>
      <c r="K394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124938596</v>
      </c>
      <c r="L394" s="8">
        <v>406</v>
      </c>
      <c r="M394" s="8" t="s">
        <v>420</v>
      </c>
    </row>
    <row r="395" spans="2:13" x14ac:dyDescent="0.2">
      <c r="B395" s="8">
        <f>VLOOKUP( T_ApifImport[[#This Row],[Bilans]], T_Bilansi[], 4, 0)</f>
        <v>6</v>
      </c>
      <c r="C395" s="377">
        <f>VLOOKUP( T_ApifImport[[#This Row],[Id]], T_Aop[], 4, 0)</f>
        <v>916</v>
      </c>
      <c r="D395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95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95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95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95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0</v>
      </c>
      <c r="I395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0</v>
      </c>
      <c r="J395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0</v>
      </c>
      <c r="K395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0</v>
      </c>
      <c r="L395" s="8">
        <v>407</v>
      </c>
      <c r="M395" s="8" t="s">
        <v>420</v>
      </c>
    </row>
    <row r="396" spans="2:13" x14ac:dyDescent="0.2">
      <c r="B396" s="8">
        <f>VLOOKUP( T_ApifImport[[#This Row],[Bilans]], T_Bilansi[], 4, 0)</f>
        <v>6</v>
      </c>
      <c r="C396" s="377">
        <f>VLOOKUP( T_ApifImport[[#This Row],[Id]], T_Aop[], 4, 0)</f>
        <v>917</v>
      </c>
      <c r="D396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96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96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96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96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0</v>
      </c>
      <c r="I396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0</v>
      </c>
      <c r="J396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0</v>
      </c>
      <c r="K396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0</v>
      </c>
      <c r="L396" s="8">
        <v>408</v>
      </c>
      <c r="M396" s="8" t="s">
        <v>420</v>
      </c>
    </row>
    <row r="397" spans="2:13" x14ac:dyDescent="0.2">
      <c r="B397" s="8">
        <f>VLOOKUP( T_ApifImport[[#This Row],[Bilans]], T_Bilansi[], 4, 0)</f>
        <v>6</v>
      </c>
      <c r="C397" s="377">
        <f>VLOOKUP( T_ApifImport[[#This Row],[Id]], T_Aop[], 4, 0)</f>
        <v>918</v>
      </c>
      <c r="D397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97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97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97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97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0</v>
      </c>
      <c r="I397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0</v>
      </c>
      <c r="J397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0</v>
      </c>
      <c r="K397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0</v>
      </c>
      <c r="L397" s="8">
        <v>409</v>
      </c>
      <c r="M397" s="8" t="s">
        <v>420</v>
      </c>
    </row>
    <row r="398" spans="2:13" x14ac:dyDescent="0.2">
      <c r="B398" s="8">
        <f>VLOOKUP( T_ApifImport[[#This Row],[Bilans]], T_Bilansi[], 4, 0)</f>
        <v>6</v>
      </c>
      <c r="C398" s="377">
        <f>VLOOKUP( T_ApifImport[[#This Row],[Id]], T_Aop[], 4, 0)</f>
        <v>919</v>
      </c>
      <c r="D398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98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98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98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98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-4457963</v>
      </c>
      <c r="I398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-4457963</v>
      </c>
      <c r="J398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0</v>
      </c>
      <c r="K398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-4457963</v>
      </c>
      <c r="L398" s="8">
        <v>410</v>
      </c>
      <c r="M398" s="8" t="s">
        <v>420</v>
      </c>
    </row>
    <row r="399" spans="2:13" x14ac:dyDescent="0.2">
      <c r="B399" s="8">
        <f>VLOOKUP( T_ApifImport[[#This Row],[Bilans]], T_Bilansi[], 4, 0)</f>
        <v>6</v>
      </c>
      <c r="C399" s="377">
        <f>VLOOKUP( T_ApifImport[[#This Row],[Id]], T_Aop[], 4, 0)</f>
        <v>920</v>
      </c>
      <c r="D399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399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399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399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399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0</v>
      </c>
      <c r="I399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0</v>
      </c>
      <c r="J399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0</v>
      </c>
      <c r="K399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0</v>
      </c>
      <c r="L399" s="8">
        <v>411</v>
      </c>
      <c r="M399" s="8" t="s">
        <v>420</v>
      </c>
    </row>
    <row r="400" spans="2:13" x14ac:dyDescent="0.2">
      <c r="B400" s="8">
        <f>VLOOKUP( T_ApifImport[[#This Row],[Bilans]], T_Bilansi[], 4, 0)</f>
        <v>6</v>
      </c>
      <c r="C400" s="377">
        <f>VLOOKUP( T_ApifImport[[#This Row],[Id]], T_Aop[], 4, 0)</f>
        <v>921</v>
      </c>
      <c r="D400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400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400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400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400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0</v>
      </c>
      <c r="I400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0</v>
      </c>
      <c r="J400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0</v>
      </c>
      <c r="K400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0</v>
      </c>
      <c r="L400" s="8">
        <v>412</v>
      </c>
      <c r="M400" s="8" t="s">
        <v>420</v>
      </c>
    </row>
    <row r="401" spans="2:13" x14ac:dyDescent="0.2">
      <c r="B401" s="8">
        <f>VLOOKUP( T_ApifImport[[#This Row],[Bilans]], T_Bilansi[], 4, 0)</f>
        <v>6</v>
      </c>
      <c r="C401" s="377">
        <f>VLOOKUP( T_ApifImport[[#This Row],[Id]], T_Aop[], 4, 0)</f>
        <v>922</v>
      </c>
      <c r="D401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0</v>
      </c>
      <c r="E401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0</v>
      </c>
      <c r="F401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401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401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0</v>
      </c>
      <c r="I401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0</v>
      </c>
      <c r="J401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0</v>
      </c>
      <c r="K401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0</v>
      </c>
      <c r="L401" s="8">
        <v>413</v>
      </c>
      <c r="M401" s="8" t="s">
        <v>420</v>
      </c>
    </row>
    <row r="402" spans="2:13" x14ac:dyDescent="0.2">
      <c r="B402" s="8">
        <f>VLOOKUP( T_ApifImport[[#This Row],[Bilans]], T_Bilansi[], 4, 0)</f>
        <v>6</v>
      </c>
      <c r="C402" s="377">
        <f>VLOOKUP( T_ApifImport[[#This Row],[Id]], T_Aop[], 4, 0)</f>
        <v>923</v>
      </c>
      <c r="D402" s="378" t="str">
        <f ca="1">IF( ISNA( VLOOKUP( T_ApifImport[[#This Row],[Bilans]:[Bilans]] &amp; T_ApifImport[[#Headers],[Kolona1]],T_ApifKolone[], 4, 0)), "", SUBSTITUTE( VALUE( VLOOKUP( T_ApifImport[[#This Row],[AOP]:[AOP]], INDIRECT( "Lookup_" &amp; T_ApifImport[[#This Row],[Bilans]:[Bilans]]), VLOOKUP( T_ApifImport[[#This Row],[Bilans]:[Bilans]] &amp; T_ApifImport[[#Headers],[Kolona1]],T_ApifKolone[], 4, 0), 0)), ".", ","))</f>
        <v>50000</v>
      </c>
      <c r="E402" s="378" t="str">
        <f ca="1">IF( ISNA( VLOOKUP( T_ApifImport[[#This Row],[Bilans]:[Bilans]] &amp; T_ApifImport[[#Headers],[Kolona2]],T_ApifKolone[], 4, 0)), "", SUBSTITUTE( VALUE( VLOOKUP( T_ApifImport[[#This Row],[AOP]:[AOP]], INDIRECT( "Lookup_" &amp; T_ApifImport[[#This Row],[Bilans]:[Bilans]]), VLOOKUP( T_ApifImport[[#This Row],[Bilans]:[Bilans]] &amp; T_ApifImport[[#Headers],[Kolona2]],T_ApifKolone[], 4, 0), 0)), ".", ","))</f>
        <v>225286778</v>
      </c>
      <c r="F402" s="378">
        <f ca="1">IF( ISNA( VLOOKUP( T_ApifImport[[#This Row],[Bilans]:[Bilans]] &amp; T_ApifImport[[#Headers],[Kolona3]],T_ApifKolone[], 4, 0)), "", VLOOKUP( T_ApifImport[[#This Row],[AOP]:[AOP]], INDIRECT( "Lookup_" &amp; T_ApifImport[[#This Row],[Bilans]:[Bilans]]), VLOOKUP( T_ApifImport[[#This Row],[Bilans]:[Bilans]] &amp; T_ApifImport[[#Headers],[Kolona3]],T_ApifKolone[], 4, 0), 0))</f>
        <v>0</v>
      </c>
      <c r="G402" s="378">
        <f ca="1">IF( ISNA( VLOOKUP( T_ApifImport[[#This Row],[Bilans]:[Bilans]] &amp; T_ApifImport[[#Headers],[Kolona4]],T_ApifKolone[], 4, 0)), "", VLOOKUP( T_ApifImport[[#This Row],[AOP]:[AOP]], INDIRECT( "Lookup_" &amp; T_ApifImport[[#This Row],[Bilans]:[Bilans]]), VLOOKUP( T_ApifImport[[#This Row],[Bilans]:[Bilans]] &amp; T_ApifImport[[#Headers],[Kolona4]],T_ApifKolone[], 4, 0), 0))</f>
        <v>0</v>
      </c>
      <c r="H402" s="378">
        <f ca="1">IF( ISNA( VLOOKUP( T_ApifImport[[#This Row],[Bilans]:[Bilans]] &amp; T_ApifImport[[#Headers],[Kolona5]],T_ApifKolone[], 4, 0)), "", VLOOKUP( T_ApifImport[[#This Row],[AOP]:[AOP]], INDIRECT( "Lookup_" &amp; T_ApifImport[[#This Row],[Bilans]:[Bilans]]), VLOOKUP( T_ApifImport[[#This Row],[Bilans]:[Bilans]] &amp; T_ApifImport[[#Headers],[Kolona5]],T_ApifKolone[], 4, 0), 0))</f>
        <v>-104856145</v>
      </c>
      <c r="I402" s="378">
        <f ca="1">IF( ISNA( VLOOKUP( T_ApifImport[[#This Row],[Bilans]:[Bilans]] &amp; T_ApifImport[[#Headers],[Kolona6]],T_ApifKolone[], 4, 0)), "", VLOOKUP( T_ApifImport[[#This Row],[AOP]:[AOP]], INDIRECT( "Lookup_" &amp; T_ApifImport[[#This Row],[Bilans]:[Bilans]]), VLOOKUP( T_ApifImport[[#This Row],[Bilans]:[Bilans]] &amp; T_ApifImport[[#Headers],[Kolona6]],T_ApifKolone[], 4, 0), 0))</f>
        <v>120480633</v>
      </c>
      <c r="J402" s="378">
        <f ca="1">IF( ISNA( VLOOKUP( T_ApifImport[[#This Row],[Bilans]:[Bilans]] &amp; T_ApifImport[[#Headers],[Kolona7]],T_ApifKolone[], 4, 0)), "", VLOOKUP( T_ApifImport[[#This Row],[AOP]:[AOP]], INDIRECT( "Lookup_" &amp; T_ApifImport[[#This Row],[Bilans]:[Bilans]]), VLOOKUP( T_ApifImport[[#This Row],[Bilans]:[Bilans]] &amp; T_ApifImport[[#Headers],[Kolona7]],T_ApifKolone[], 4, 0), 0))</f>
        <v>0</v>
      </c>
      <c r="K402" s="378">
        <f ca="1">IF( ISNA( VLOOKUP( T_ApifImport[[#This Row],[Bilans]:[Bilans]] &amp; T_ApifImport[[#Headers],[Kolona8]],T_ApifKolone[], 4, 0)), "", VLOOKUP( T_ApifImport[[#This Row],[AOP]:[AOP]], INDIRECT( "Lookup_" &amp; T_ApifImport[[#This Row],[Bilans]:[Bilans]]), VLOOKUP( T_ApifImport[[#This Row],[Bilans]:[Bilans]] &amp; T_ApifImport[[#Headers],[Kolona8]],T_ApifKolone[], 4, 0), 0))</f>
        <v>120480633</v>
      </c>
      <c r="L402" s="8">
        <v>414</v>
      </c>
      <c r="M402" s="8" t="s">
        <v>420</v>
      </c>
    </row>
  </sheetData>
  <sheetProtection password="832E" sheet="1" objects="1" scenarios="1"/>
  <conditionalFormatting sqref="B402:M402">
    <cfRule type="expression" dxfId="15" priority="72">
      <formula>$D403&lt;&gt;$B402</formula>
    </cfRule>
  </conditionalFormatting>
  <conditionalFormatting sqref="B1:M401">
    <cfRule type="expression" dxfId="14" priority="73">
      <formula>$B2&lt;&gt;$B1</formula>
    </cfRule>
  </conditionalFormatting>
  <pageMargins left="0.7" right="0.7" top="0.75" bottom="0.75" header="0.3" footer="0.3"/>
  <drawing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00b">
    <tabColor rgb="FFB2B2B2"/>
  </sheetPr>
  <dimension ref="A1:AG126"/>
  <sheetViews>
    <sheetView showGridLines="0" showRowColHeaders="0" tabSelected="1" zoomScaleNormal="100" zoomScaleSheetLayoutView="100" workbookViewId="0">
      <pane ySplit="6" topLeftCell="A7" activePane="bottomLeft" state="frozen"/>
      <selection activeCell="A5" sqref="A5"/>
      <selection pane="bottomLeft" activeCell="D45" sqref="D45:V45"/>
    </sheetView>
  </sheetViews>
  <sheetFormatPr defaultColWidth="0" defaultRowHeight="12.75" zeroHeight="1" x14ac:dyDescent="0.2"/>
  <cols>
    <col min="1" max="1" width="5.7109375" style="8" customWidth="1"/>
    <col min="2" max="2" width="41.42578125" style="8" customWidth="1"/>
    <col min="3" max="3" width="2.85546875" style="8" customWidth="1"/>
    <col min="4" max="23" width="3.140625" style="8" customWidth="1"/>
    <col min="24" max="24" width="11.42578125" style="8" customWidth="1"/>
    <col min="25" max="26" width="13.140625" style="8" hidden="1" customWidth="1"/>
    <col min="27" max="27" width="37.7109375" style="8" hidden="1" customWidth="1"/>
    <col min="28" max="28" width="38.140625" style="8" customWidth="1"/>
    <col min="29" max="30" width="9.140625" style="8" hidden="1" customWidth="1"/>
    <col min="31" max="31" width="12" style="8" hidden="1" customWidth="1"/>
    <col min="32" max="33" width="9.140625" style="8" hidden="1" customWidth="1"/>
    <col min="34" max="16384" width="0" style="8" hidden="1"/>
  </cols>
  <sheetData>
    <row r="1" spans="2:31" ht="12.75" customHeight="1" x14ac:dyDescent="0.2"/>
    <row r="2" spans="2:31" ht="12.75" customHeight="1" x14ac:dyDescent="0.2">
      <c r="AA2" s="139"/>
    </row>
    <row r="3" spans="2:31" ht="12.75" customHeight="1" x14ac:dyDescent="0.2"/>
    <row r="4" spans="2:31" ht="13.5" customHeight="1" thickBot="1" x14ac:dyDescent="0.25"/>
    <row r="5" spans="2:31" ht="20.25" customHeight="1" thickBot="1" x14ac:dyDescent="0.25">
      <c r="B5" s="131" t="str">
        <f>Osnovno_Izaberite_jezik</f>
        <v>Izaberite jezik | Choose language</v>
      </c>
      <c r="C5"/>
      <c r="Y5" s="8">
        <f>COUNTIF(Y8:Y116, FALSE)</f>
        <v>2</v>
      </c>
      <c r="Z5" s="8">
        <f>COUNTIF(Z8:Z116, FALSE)</f>
        <v>0</v>
      </c>
    </row>
    <row r="6" spans="2:31" ht="12.75" customHeight="1" x14ac:dyDescent="0.2">
      <c r="Y6" s="164" t="s">
        <v>819</v>
      </c>
      <c r="Z6" s="164" t="s">
        <v>820</v>
      </c>
      <c r="AA6" s="198" t="s">
        <v>821</v>
      </c>
      <c r="AB6" s="199" t="s">
        <v>818</v>
      </c>
    </row>
    <row r="7" spans="2:31" ht="15.75" customHeight="1" thickBot="1" x14ac:dyDescent="0.25">
      <c r="B7" s="141" t="str">
        <f>Osnovno_Izvjestajni_period</f>
        <v>Izvještajni period:</v>
      </c>
      <c r="D7" s="127" t="str">
        <f>Objasnjenja_Dan</f>
        <v>Dan</v>
      </c>
      <c r="E7" s="127"/>
      <c r="F7" s="127"/>
      <c r="G7" s="127" t="str">
        <f>Objasnjenja_Mjesec</f>
        <v>Mjesec</v>
      </c>
      <c r="H7" s="127"/>
      <c r="I7" s="127"/>
      <c r="J7" s="127" t="str">
        <f>Objasnjenja_Godina</f>
        <v>Godina</v>
      </c>
      <c r="K7" s="127"/>
      <c r="L7" s="127"/>
      <c r="M7" s="127"/>
    </row>
    <row r="8" spans="2:31" ht="15" customHeight="1" x14ac:dyDescent="0.2">
      <c r="B8" s="126" t="str">
        <f>Osnovno_Pocetak_perioda</f>
        <v>Početak izvještajnog perioda:</v>
      </c>
      <c r="D8" s="384">
        <v>1</v>
      </c>
      <c r="E8" s="384"/>
      <c r="F8" s="60"/>
      <c r="G8" s="384">
        <v>1</v>
      </c>
      <c r="H8" s="384"/>
      <c r="I8" s="60"/>
      <c r="J8" s="387">
        <v>2021</v>
      </c>
      <c r="K8" s="388"/>
      <c r="L8" s="389"/>
      <c r="M8"/>
      <c r="N8"/>
      <c r="O8"/>
      <c r="P8"/>
      <c r="Y8" s="16" t="b">
        <f>AND( Period_Pocetak_Dan &lt;&gt; "", Period_Pocetak_Mjesec &lt;&gt; "", Godina &lt;&gt; "")</f>
        <v>1</v>
      </c>
      <c r="Z8" s="191" t="b">
        <f>IF( Y8, TEXT( DATE( Godina, Period_Pocetak_Mjesec, Period_Pocetak_Dan), "dd.mm.yyyy" ) = TEXT( Period_Pocetak_Dan, "00") &amp; "." &amp; TEXT( Period_Pocetak_Mjesec, "00") &amp;"." &amp; CONCATENATE( Godina), FALSE)</f>
        <v>1</v>
      </c>
      <c r="AA8" s="16" t="str">
        <f>TEXT( DATE( Godina, Period_Pocetak_Mjesec, Period_Pocetak_Dan), "dd.mm.yyyy.")</f>
        <v>01.01.2021.</v>
      </c>
      <c r="AB8" s="133" t="str">
        <f>IF(Y8, IF( Z8, AA8, Kontrola_Neispravno), Kontrola_Obavezno)</f>
        <v>01.01.2021.</v>
      </c>
    </row>
    <row r="9" spans="2:31" ht="4.5" customHeight="1" x14ac:dyDescent="0.2">
      <c r="B9" s="126"/>
      <c r="J9" s="390"/>
      <c r="K9" s="391"/>
      <c r="L9" s="392"/>
      <c r="Y9" s="16"/>
      <c r="Z9" s="16"/>
      <c r="AA9" s="137"/>
      <c r="AB9" s="134"/>
    </row>
    <row r="10" spans="2:31" ht="15.75" customHeight="1" thickBot="1" x14ac:dyDescent="0.25">
      <c r="B10" s="126" t="str">
        <f>Osnovno_Kraj_perioda</f>
        <v>Kraj izvještajnog perioda:</v>
      </c>
      <c r="D10" s="385">
        <v>30</v>
      </c>
      <c r="E10" s="386"/>
      <c r="F10" s="60"/>
      <c r="G10" s="385">
        <v>6</v>
      </c>
      <c r="H10" s="386"/>
      <c r="I10" s="60"/>
      <c r="J10" s="393"/>
      <c r="K10" s="394"/>
      <c r="L10" s="395"/>
      <c r="M10"/>
      <c r="Y10" s="16" t="b">
        <f>AND( Period_Kraj_Dan &lt;&gt; "", Period_Kraj_Mjesec &lt;&gt; "", Godina &lt;&gt; "")</f>
        <v>1</v>
      </c>
      <c r="Z10" s="60" t="b">
        <f>IF( Y10, TEXT( DATE( Godina, Period_Kraj_Mjesec, Period_Kraj_Dan), "dd.mm.yyyy" ) = TEXT( Period_Kraj_Dan, "00") &amp; "." &amp; TEXT( Period_Kraj_Mjesec, "00") &amp;"." &amp; CONCATENATE( Godina), FALSE)</f>
        <v>1</v>
      </c>
      <c r="AA10" s="127" t="str">
        <f>TEXT( DATE( Godina, Period_Kraj_Mjesec, Period_Kraj_Dan), "dd.mm.yyyy.")</f>
        <v>30.06.2021.</v>
      </c>
      <c r="AB10" s="133" t="str">
        <f>IF(Y10, IF( Z10, AA10, Kontrola_Neispravno), Kontrola_Obavezno)</f>
        <v>30.06.2021.</v>
      </c>
      <c r="AD10"/>
      <c r="AE10"/>
    </row>
    <row r="11" spans="2:31" ht="4.5" customHeight="1" x14ac:dyDescent="0.2">
      <c r="B11" s="126"/>
      <c r="D11"/>
      <c r="E11"/>
      <c r="F11"/>
      <c r="G11"/>
      <c r="H11"/>
      <c r="I11"/>
      <c r="J11"/>
      <c r="K11"/>
      <c r="L11"/>
      <c r="M11"/>
      <c r="Y11" s="16"/>
      <c r="Z11" s="60"/>
      <c r="AA11" s="127"/>
      <c r="AB11" s="134"/>
    </row>
    <row r="12" spans="2:31" ht="15" customHeight="1" x14ac:dyDescent="0.2">
      <c r="B12" s="126" t="str">
        <f>Osnovno_Vrsta_izvjestaja</f>
        <v>Vrsta izvještaja:</v>
      </c>
      <c r="D12" s="229" t="str">
        <f>IF( AND( DATE( Godina, Period_Pocetak_Mjesec, Period_Pocetak_Dan) = DATE( Godina, 1, 1), NOT( ISNA( VLOOKUP( Datum_Broj,T_Vrsta_izvjestaja[], 2, 0)))), VLOOKUP( Datum_Broj,T_Vrsta_izvjestaja[], 3, 0), Vrsta_izvjestaja_Specificni)</f>
        <v>Polugodišnji</v>
      </c>
      <c r="E12" s="229"/>
      <c r="F12" s="229"/>
      <c r="G12" s="229"/>
      <c r="H12" s="229"/>
      <c r="I12" s="229"/>
      <c r="J12" s="229"/>
      <c r="K12" s="229"/>
      <c r="L12" s="229"/>
      <c r="M12"/>
      <c r="N12"/>
      <c r="O12"/>
      <c r="P12"/>
      <c r="Q12"/>
      <c r="R12"/>
      <c r="S12"/>
      <c r="T12"/>
      <c r="U12"/>
      <c r="V12"/>
      <c r="Y12" s="16"/>
      <c r="Z12" s="16"/>
      <c r="AA12" s="127"/>
      <c r="AB12" s="133" t="str">
        <f>D12</f>
        <v>Polugodišnji</v>
      </c>
    </row>
    <row r="13" spans="2:31" ht="13.5" customHeight="1" x14ac:dyDescent="0.2">
      <c r="B13" s="66"/>
      <c r="M13"/>
      <c r="N13"/>
      <c r="O13"/>
      <c r="P13"/>
      <c r="Q13"/>
      <c r="R13"/>
      <c r="S13"/>
      <c r="T13"/>
      <c r="U13"/>
      <c r="V13"/>
      <c r="Y13" s="16"/>
      <c r="Z13" s="16"/>
      <c r="AA13" s="137"/>
      <c r="AB13" s="134"/>
    </row>
    <row r="14" spans="2:31" ht="15.75" customHeight="1" x14ac:dyDescent="0.2">
      <c r="B14" s="141" t="str">
        <f>Objasnjenja_Zaglavlje</f>
        <v>Podaci u zaglavlju:</v>
      </c>
      <c r="Y14" s="16"/>
      <c r="Z14" s="16"/>
      <c r="AA14" s="137"/>
      <c r="AB14" s="134"/>
    </row>
    <row r="15" spans="2:31" ht="15" customHeight="1" x14ac:dyDescent="0.2">
      <c r="B15" s="126" t="str">
        <f>Zaglavlje_MB</f>
        <v>Matični broj:</v>
      </c>
      <c r="D15" s="124">
        <v>0</v>
      </c>
      <c r="E15" s="124">
        <v>1</v>
      </c>
      <c r="F15" s="124">
        <v>4</v>
      </c>
      <c r="G15" s="124">
        <v>9</v>
      </c>
      <c r="H15" s="124">
        <v>4</v>
      </c>
      <c r="I15" s="124">
        <v>5</v>
      </c>
      <c r="J15" s="124">
        <v>6</v>
      </c>
      <c r="K15" s="124">
        <v>2</v>
      </c>
      <c r="Y15" s="16" t="b">
        <f>LEN(AA15) &gt;= 7</f>
        <v>1</v>
      </c>
      <c r="Z15" s="16" t="b">
        <v>1</v>
      </c>
      <c r="AA15" s="137" t="str">
        <f>CONCATENATE( D15, E15, F15, G15, H15, I15, J15, K15)</f>
        <v>01494562</v>
      </c>
      <c r="AB15" s="133" t="str">
        <f>IF(Y15, IF( Z15, AA15, Kontrola_Neispravno), Kontrola_Obavezno)</f>
        <v>01494562</v>
      </c>
    </row>
    <row r="16" spans="2:31" ht="4.5" customHeight="1" x14ac:dyDescent="0.2">
      <c r="B16" s="126"/>
      <c r="Y16" s="16"/>
      <c r="Z16" s="16"/>
      <c r="AA16" s="137"/>
      <c r="AB16" s="134"/>
    </row>
    <row r="17" spans="2:31" ht="15" customHeight="1" x14ac:dyDescent="0.2">
      <c r="B17" s="126" t="str">
        <f>Zaglavlje_Sifra_djelatnosti</f>
        <v>Šifra djelatnosti:</v>
      </c>
      <c r="D17" s="124">
        <v>4</v>
      </c>
      <c r="E17" s="124">
        <v>9</v>
      </c>
      <c r="F17" s="128" t="s">
        <v>734</v>
      </c>
      <c r="G17" s="124">
        <v>1</v>
      </c>
      <c r="H17" s="124">
        <v>0</v>
      </c>
      <c r="I17" s="132"/>
      <c r="Y17" s="16" t="b">
        <f>AND( D17 &lt;&gt; "", LEN( AA17) &gt;= 5)</f>
        <v>1</v>
      </c>
      <c r="Z17" s="16" t="b">
        <v>1</v>
      </c>
      <c r="AA17" s="137" t="str">
        <f>CONCATENATE( D17, E17, F17, G17, H17, I17)</f>
        <v>49.10</v>
      </c>
      <c r="AB17" s="133" t="str">
        <f>IF(Y17, IF( Z17, AA17, Kontrola_Neispravno), Kontrola_Obavezno)</f>
        <v>49.10</v>
      </c>
      <c r="AE17" s="129"/>
    </row>
    <row r="18" spans="2:31" ht="4.5" customHeight="1" x14ac:dyDescent="0.2">
      <c r="B18" s="126"/>
      <c r="Y18" s="16"/>
      <c r="Z18" s="16"/>
      <c r="AA18" s="137"/>
      <c r="AB18" s="134"/>
    </row>
    <row r="19" spans="2:31" ht="12.75" customHeight="1" x14ac:dyDescent="0.2">
      <c r="B19" s="396" t="str">
        <f>Zaglavlje_Naziv_preduzeca</f>
        <v>Naziv privrednog društva, zadruge, drugog pravnog lica ili preduzetnika:</v>
      </c>
      <c r="Y19" s="16"/>
      <c r="Z19" s="16"/>
      <c r="AA19" s="137"/>
      <c r="AB19" s="134"/>
    </row>
    <row r="20" spans="2:31" ht="22.5" customHeight="1" x14ac:dyDescent="0.2">
      <c r="B20" s="396"/>
      <c r="D20" s="397" t="s">
        <v>2049</v>
      </c>
      <c r="E20" s="397"/>
      <c r="F20" s="397"/>
      <c r="G20" s="397"/>
      <c r="H20" s="397"/>
      <c r="I20" s="397"/>
      <c r="J20" s="397"/>
      <c r="K20" s="397"/>
      <c r="L20" s="397"/>
      <c r="M20" s="397"/>
      <c r="N20" s="397"/>
      <c r="O20" s="397"/>
      <c r="P20" s="397"/>
      <c r="Q20" s="397"/>
      <c r="R20" s="397"/>
      <c r="S20" s="397"/>
      <c r="T20" s="397"/>
      <c r="U20" s="397"/>
      <c r="V20" s="397"/>
      <c r="Y20" s="16" t="b">
        <f>LEN(AA20) &gt; 0</f>
        <v>1</v>
      </c>
      <c r="Z20" s="16" t="b">
        <v>1</v>
      </c>
      <c r="AA20" s="137" t="str">
        <f>CONCATENATE( D20)</f>
        <v>Željeznice RS a.d. Doboj</v>
      </c>
      <c r="AB20" s="135" t="str">
        <f>IF(Y20, IF( Z20, AA20, Kontrola_Neispravno), Kontrola_Obavezno)</f>
        <v>Željeznice RS a.d. Doboj</v>
      </c>
    </row>
    <row r="21" spans="2:31" ht="4.5" customHeight="1" x14ac:dyDescent="0.2">
      <c r="B21" s="126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Y21" s="16"/>
      <c r="Z21" s="16"/>
      <c r="AA21" s="137"/>
      <c r="AB21" s="134"/>
    </row>
    <row r="22" spans="2:31" ht="15" customHeight="1" x14ac:dyDescent="0.2">
      <c r="B22" s="126" t="str">
        <f>Zaglavlje_Sjediste</f>
        <v>Sjedište:</v>
      </c>
      <c r="D22" s="401" t="s">
        <v>2050</v>
      </c>
      <c r="E22" s="401"/>
      <c r="F22" s="401"/>
      <c r="G22" s="401"/>
      <c r="H22" s="401"/>
      <c r="I22" s="401"/>
      <c r="J22" s="401"/>
      <c r="K22" s="401"/>
      <c r="L22" s="401"/>
      <c r="M22" s="401"/>
      <c r="N22" s="401"/>
      <c r="O22" s="401"/>
      <c r="P22" s="401"/>
      <c r="Q22" s="401"/>
      <c r="R22" s="401"/>
      <c r="S22" s="401"/>
      <c r="T22" s="401"/>
      <c r="U22" s="401"/>
      <c r="V22" s="401"/>
      <c r="Y22" s="16" t="b">
        <f>LEN(AA22) &gt; 0</f>
        <v>1</v>
      </c>
      <c r="Z22" s="16" t="b">
        <v>1</v>
      </c>
      <c r="AA22" s="137" t="str">
        <f>CONCATENATE( D22)</f>
        <v>Svetog Save 71</v>
      </c>
      <c r="AB22" s="133" t="str">
        <f>IF(Y22, IF( Z22, AA22, Kontrola_Neispravno), Kontrola_Obavezno)</f>
        <v>Svetog Save 71</v>
      </c>
    </row>
    <row r="23" spans="2:31" ht="4.5" customHeight="1" x14ac:dyDescent="0.2">
      <c r="B23" s="126"/>
      <c r="Y23" s="16"/>
      <c r="Z23" s="16"/>
      <c r="AA23" s="137"/>
      <c r="AB23" s="134"/>
    </row>
    <row r="24" spans="2:31" ht="15" customHeight="1" x14ac:dyDescent="0.2">
      <c r="B24" s="126" t="str">
        <f>Zaglavlje_JIB</f>
        <v>JIB:</v>
      </c>
      <c r="D24" s="124">
        <v>4</v>
      </c>
      <c r="E24" s="192">
        <v>4</v>
      </c>
      <c r="F24" s="193">
        <v>0</v>
      </c>
      <c r="G24" s="124">
        <v>0</v>
      </c>
      <c r="H24" s="192">
        <v>0</v>
      </c>
      <c r="I24" s="193">
        <v>2</v>
      </c>
      <c r="J24" s="124">
        <v>5</v>
      </c>
      <c r="K24" s="192">
        <v>9</v>
      </c>
      <c r="L24" s="193">
        <v>6</v>
      </c>
      <c r="M24" s="192">
        <v>0</v>
      </c>
      <c r="N24" s="193">
        <v>0</v>
      </c>
      <c r="O24" s="192">
        <v>0</v>
      </c>
      <c r="P24" s="193">
        <v>1</v>
      </c>
      <c r="Q24" s="60"/>
      <c r="R24" s="60"/>
      <c r="S24" s="60"/>
      <c r="T24" s="60"/>
      <c r="U24" s="60"/>
      <c r="V24" s="60"/>
      <c r="Y24" s="16" t="b">
        <f>LEN(AA24) = 13</f>
        <v>1</v>
      </c>
      <c r="Z24" s="355" t="b">
        <f>IF( Y24, VALUE( CONCATENATE( P24)) = IF( 11 - MOD( SUMPRODUCT( {7;6;5;4;3;2;7;6;5;4;3;2}, VALUE( MID( CONCATENATE( D24, E24, F24, G24, H24, I24, J24, K24, L24, M24, N24, O24, P24), {1;2;3;4;5;6;7;8;9;10;11;12}, 1))), 11) &gt;= 10, 0, 11 - MOD( SUMPRODUCT( {7;6;5;4;3;2;7;6;5;4;3;2}, VALUE( MID( CONCATENATE( D24, E24, F24, G24, H24, I24, J24, K24, L24, M24, N24, O24, P24), {1;2;3;4;5;6;7;8;9;10;11;12}, 1))), 11)), FALSE)</f>
        <v>1</v>
      </c>
      <c r="AA24" s="138" t="str">
        <f>CONCATENATE( D24, E24, F24, G24, H24, I24, J24, K24, L24, M24, N24, O24, P24)</f>
        <v>4400025960001</v>
      </c>
      <c r="AB24" s="133" t="str">
        <f>IF(Y24, IF( Z24, AA24, Kontrola_Neispravno), Kontrola_Obavezno)</f>
        <v>4400025960001</v>
      </c>
    </row>
    <row r="25" spans="2:31" ht="15" customHeight="1" x14ac:dyDescent="0.2">
      <c r="B25" s="126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Y25" s="16"/>
      <c r="Z25" s="16"/>
      <c r="AA25" s="137"/>
      <c r="AB25" s="134"/>
    </row>
    <row r="26" spans="2:31" ht="15" customHeight="1" x14ac:dyDescent="0.2">
      <c r="B26" s="158" t="str">
        <f>Objasnjenja_Bankovni_racun</f>
        <v>Računi u banci:</v>
      </c>
      <c r="Y26" s="16"/>
      <c r="Z26" s="16"/>
      <c r="AA26" s="137"/>
      <c r="AB26" s="134"/>
    </row>
    <row r="27" spans="2:31" ht="15" customHeight="1" x14ac:dyDescent="0.2">
      <c r="B27" s="126" t="str">
        <f>Objasnjenja_Glavni_racun</f>
        <v>Glavni račun:</v>
      </c>
      <c r="D27" s="124">
        <v>5</v>
      </c>
      <c r="E27" s="124">
        <v>6</v>
      </c>
      <c r="F27" s="124">
        <v>2</v>
      </c>
      <c r="G27" s="125" t="s">
        <v>733</v>
      </c>
      <c r="H27" s="124">
        <v>0</v>
      </c>
      <c r="I27" s="124">
        <v>0</v>
      </c>
      <c r="J27" s="124">
        <v>5</v>
      </c>
      <c r="K27" s="125" t="s">
        <v>733</v>
      </c>
      <c r="L27" s="124">
        <v>0</v>
      </c>
      <c r="M27" s="124">
        <v>0</v>
      </c>
      <c r="N27" s="124">
        <v>0</v>
      </c>
      <c r="O27" s="124">
        <v>0</v>
      </c>
      <c r="P27" s="124">
        <v>3</v>
      </c>
      <c r="Q27" s="124">
        <v>0</v>
      </c>
      <c r="R27" s="124">
        <v>3</v>
      </c>
      <c r="S27" s="124">
        <v>5</v>
      </c>
      <c r="T27" s="60" t="s">
        <v>733</v>
      </c>
      <c r="U27" s="124">
        <v>6</v>
      </c>
      <c r="V27" s="124">
        <v>9</v>
      </c>
      <c r="Y27" s="16" t="b">
        <f>LEN(AA27) = 16</f>
        <v>1</v>
      </c>
      <c r="Z27" s="16" t="b">
        <f>IF(Y27, VALUE( CONCATENATE( U27, V27)) = 98 - MOD( CONCATENATE( MOD( CONCATENATE( D27, E27, F27, H27, I27, J27, L27, M27, N27), 97), CONCATENATE(O27, P27, Q27, R27, S27), "00"), 97), FALSE)</f>
        <v>1</v>
      </c>
      <c r="AA27" s="137" t="str">
        <f>CONCATENATE( D27, E27, F27, H27, I27, J27, L27, M27, N27, O27, P27, Q27, R27, S27, U27, V27)</f>
        <v>5620050000303569</v>
      </c>
      <c r="AB27" s="133" t="str">
        <f>IF(Y27, IF( Z27, CONCATENATE( D27, E27, F27, G27, H27, I27, J27, K27, L27, M27, N27, O27, P27, Q27, R27, S27, T27, U27, V27), Kontrola_Neispravno), Kontrola_Obavezno)</f>
        <v>562-005-00003035-69</v>
      </c>
    </row>
    <row r="28" spans="2:31" ht="4.5" customHeight="1" x14ac:dyDescent="0.2">
      <c r="B28" s="126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Y28" s="16"/>
      <c r="Z28" s="16"/>
      <c r="AA28" s="137"/>
      <c r="AB28" s="134"/>
    </row>
    <row r="29" spans="2:31" ht="15" customHeight="1" x14ac:dyDescent="0.2">
      <c r="B29" s="126"/>
      <c r="D29" s="124">
        <v>5</v>
      </c>
      <c r="E29" s="124">
        <v>5</v>
      </c>
      <c r="F29" s="124">
        <v>1</v>
      </c>
      <c r="G29" s="125" t="s">
        <v>733</v>
      </c>
      <c r="H29" s="124">
        <v>0</v>
      </c>
      <c r="I29" s="124">
        <v>0</v>
      </c>
      <c r="J29" s="124">
        <v>4</v>
      </c>
      <c r="K29" s="125" t="s">
        <v>733</v>
      </c>
      <c r="L29" s="124">
        <v>0</v>
      </c>
      <c r="M29" s="124">
        <v>0</v>
      </c>
      <c r="N29" s="124">
        <v>0</v>
      </c>
      <c r="O29" s="124">
        <v>0</v>
      </c>
      <c r="P29" s="124">
        <v>9</v>
      </c>
      <c r="Q29" s="124">
        <v>7</v>
      </c>
      <c r="R29" s="124">
        <v>7</v>
      </c>
      <c r="S29" s="124">
        <v>0</v>
      </c>
      <c r="T29" s="60" t="s">
        <v>733</v>
      </c>
      <c r="U29" s="124">
        <v>6</v>
      </c>
      <c r="V29" s="124">
        <v>0</v>
      </c>
      <c r="Y29" s="16" t="b">
        <f>OR( LEN(AA29) = 16, LEN( AA29) = 0)</f>
        <v>1</v>
      </c>
      <c r="Z29" s="16" t="b">
        <f>IF( LEN(AA29) = 16, VALUE( CONCATENATE( U29, V29)) = 98 - MOD( CONCATENATE( MOD( CONCATENATE( D29, E29, F29, H29, I29, J29, L29, M29, N29), 97), CONCATENATE(O29, P29, Q29, R29, S29), "00"), 97), TRUE)</f>
        <v>1</v>
      </c>
      <c r="AA29" s="137" t="str">
        <f>CONCATENATE( D29, E29, F29, H29, I29, J29, L29, M29, N29, O29, P29, Q29, R29, S29, U29, V29)</f>
        <v>5510040000977060</v>
      </c>
      <c r="AB29" s="133" t="str">
        <f>IF( LEN(AA29) = 0, "", IF( AND( LEN(AA29) = 16, Z29), CONCATENATE( D29, E29, F29, G29, H29, I29, J29, K29, L29, M29, N29, O29, P29, Q29, R29, S29, T29, U29, V29), Kontrola_Neispravno))</f>
        <v>551-004-00009770-60</v>
      </c>
    </row>
    <row r="30" spans="2:31" ht="4.5" customHeight="1" x14ac:dyDescent="0.2">
      <c r="B30" s="126"/>
      <c r="Y30" s="16"/>
      <c r="Z30" s="16"/>
      <c r="AA30" s="137"/>
      <c r="AB30" s="134"/>
    </row>
    <row r="31" spans="2:31" ht="15" customHeight="1" x14ac:dyDescent="0.2">
      <c r="B31" s="126"/>
      <c r="D31" s="124">
        <v>5</v>
      </c>
      <c r="E31" s="124">
        <v>6</v>
      </c>
      <c r="F31" s="124">
        <v>2</v>
      </c>
      <c r="G31" s="125" t="s">
        <v>733</v>
      </c>
      <c r="H31" s="124">
        <v>0</v>
      </c>
      <c r="I31" s="124">
        <v>0</v>
      </c>
      <c r="J31" s="124">
        <v>5</v>
      </c>
      <c r="K31" s="125" t="s">
        <v>733</v>
      </c>
      <c r="L31" s="124">
        <v>8</v>
      </c>
      <c r="M31" s="124">
        <v>0</v>
      </c>
      <c r="N31" s="124">
        <v>8</v>
      </c>
      <c r="O31" s="124">
        <v>5</v>
      </c>
      <c r="P31" s="124">
        <v>8</v>
      </c>
      <c r="Q31" s="124">
        <v>1</v>
      </c>
      <c r="R31" s="124">
        <v>8</v>
      </c>
      <c r="S31" s="124">
        <v>6</v>
      </c>
      <c r="T31" s="60" t="s">
        <v>733</v>
      </c>
      <c r="U31" s="124">
        <v>9</v>
      </c>
      <c r="V31" s="124">
        <v>1</v>
      </c>
      <c r="Y31" s="16" t="b">
        <f>OR( LEN(AA31) = 16, LEN( AA31) = 0)</f>
        <v>1</v>
      </c>
      <c r="Z31" s="16" t="b">
        <f>IF( LEN(AA31) = 16, VALUE( CONCATENATE( U31, V31)) = 98 - MOD( CONCATENATE( MOD( CONCATENATE( D31, E31, F31, H31, I31, J31, L31, M31, N31), 97), CONCATENATE(O31, P31, Q31, R31, S31), "00"), 97), TRUE)</f>
        <v>1</v>
      </c>
      <c r="AA31" s="137" t="str">
        <f>CONCATENATE( D31, E31, F31, H31, I31, J31, L31, M31, N31, O31, P31, Q31, R31, S31, U31, V31)</f>
        <v>5620058085818691</v>
      </c>
      <c r="AB31" s="133" t="str">
        <f>IF( LEN(AA31) = 0, "", IF( AND( LEN(AA31) = 16, Z31), CONCATENATE( D31, E31, F31, G31, H31, I31, J31, K31, L31, M31, N31, O31, P31, Q31, R31, S31, T31, U31, V31), Kontrola_Neispravno))</f>
        <v>562-005-80858186-91</v>
      </c>
    </row>
    <row r="32" spans="2:31" ht="4.5" customHeight="1" x14ac:dyDescent="0.2">
      <c r="B32" s="126"/>
      <c r="Y32" s="16"/>
      <c r="Z32" s="16"/>
      <c r="AA32" s="137"/>
      <c r="AB32" s="134"/>
    </row>
    <row r="33" spans="2:28" ht="15" customHeight="1" x14ac:dyDescent="0.2">
      <c r="B33" s="126"/>
      <c r="D33" s="124"/>
      <c r="E33" s="124"/>
      <c r="F33" s="124"/>
      <c r="G33" s="125" t="s">
        <v>733</v>
      </c>
      <c r="H33" s="124"/>
      <c r="I33" s="124"/>
      <c r="J33" s="124"/>
      <c r="K33" s="125" t="s">
        <v>733</v>
      </c>
      <c r="L33" s="124"/>
      <c r="M33" s="124"/>
      <c r="N33" s="124"/>
      <c r="O33" s="124"/>
      <c r="P33" s="124"/>
      <c r="Q33" s="124"/>
      <c r="R33" s="124"/>
      <c r="S33" s="124"/>
      <c r="T33" s="60" t="s">
        <v>733</v>
      </c>
      <c r="U33" s="124"/>
      <c r="V33" s="124"/>
      <c r="Y33" s="16" t="b">
        <f>OR( LEN(AA33) = 16, LEN( AA33) = 0)</f>
        <v>1</v>
      </c>
      <c r="Z33" s="16" t="b">
        <f>IF( LEN(AA33) = 16, VALUE( CONCATENATE( U33, V33)) = 98 - MOD( CONCATENATE( MOD( CONCATENATE( D33, E33, F33, H33, I33, J33, L33, M33, N33), 97), CONCATENATE(O33, P33, Q33, R33, S33), "00"), 97), TRUE)</f>
        <v>1</v>
      </c>
      <c r="AA33" s="137" t="str">
        <f>CONCATENATE( D33, E33, F33, H33, I33, J33, L33, M33, N33, O33, P33, Q33, R33, S33, U33, V33)</f>
        <v/>
      </c>
      <c r="AB33" s="133" t="str">
        <f>IF( LEN(AA33) = 0, "", IF( AND( LEN(AA33) = 16, Z33), CONCATENATE( D33, E33, F33, G33, H33, I33, J33, K33, L33, M33, N33, O33, P33, Q33, R33, S33, T33, U33, V33), Kontrola_Neispravno))</f>
        <v/>
      </c>
    </row>
    <row r="34" spans="2:28" ht="4.5" customHeight="1" x14ac:dyDescent="0.2">
      <c r="B34" s="126"/>
      <c r="Y34" s="16"/>
      <c r="Z34" s="16"/>
      <c r="AA34" s="137"/>
      <c r="AB34" s="134"/>
    </row>
    <row r="35" spans="2:28" ht="15" customHeight="1" x14ac:dyDescent="0.2">
      <c r="B35" s="126"/>
      <c r="D35" s="124"/>
      <c r="E35" s="124"/>
      <c r="F35" s="124"/>
      <c r="G35" s="125" t="s">
        <v>733</v>
      </c>
      <c r="H35" s="124"/>
      <c r="I35" s="124"/>
      <c r="J35" s="124"/>
      <c r="K35" s="125" t="s">
        <v>733</v>
      </c>
      <c r="L35" s="124"/>
      <c r="M35" s="124"/>
      <c r="N35" s="124"/>
      <c r="O35" s="124"/>
      <c r="P35" s="124"/>
      <c r="Q35" s="124"/>
      <c r="R35" s="124"/>
      <c r="S35" s="124"/>
      <c r="T35" s="60" t="s">
        <v>733</v>
      </c>
      <c r="U35" s="124"/>
      <c r="V35" s="124"/>
      <c r="Y35" s="16" t="b">
        <f>OR( LEN(AA35) = 16, LEN( AA35) = 0)</f>
        <v>1</v>
      </c>
      <c r="Z35" s="16" t="b">
        <f>IF( LEN(AA35) = 16, VALUE( CONCATENATE( U35, V35)) = 98 - MOD( CONCATENATE( MOD( CONCATENATE( D35, E35, F35, H35, I35, J35, L35, M35, N35), 97), CONCATENATE(O35, P35, Q35, R35, S35), "00"), 97), TRUE)</f>
        <v>1</v>
      </c>
      <c r="AA35" s="137" t="str">
        <f>CONCATENATE( D35, E35, F35, H35, I35, J35, L35, M35, N35, O35, P35, Q35, R35, S35, U35, V35)</f>
        <v/>
      </c>
      <c r="AB35" s="133" t="str">
        <f>IF( LEN(AA35) = 0, "", IF( AND( LEN(AA35) = 16, Z35), CONCATENATE( D35, E35, F35, G35, H35, I35, J35, K35, L35, M35, N35, O35, P35, Q35, R35, S35, T35, U35, V35), Kontrola_Neispravno))</f>
        <v/>
      </c>
    </row>
    <row r="36" spans="2:28" ht="4.5" customHeight="1" x14ac:dyDescent="0.2">
      <c r="B36" s="126"/>
      <c r="Y36" s="16"/>
      <c r="Z36" s="16"/>
      <c r="AA36" s="137"/>
      <c r="AB36" s="134"/>
    </row>
    <row r="37" spans="2:28" ht="15" customHeight="1" x14ac:dyDescent="0.2">
      <c r="B37" s="126"/>
      <c r="D37" s="124"/>
      <c r="E37" s="124"/>
      <c r="F37" s="124"/>
      <c r="G37" s="125" t="s">
        <v>733</v>
      </c>
      <c r="H37" s="124"/>
      <c r="I37" s="124"/>
      <c r="J37" s="124"/>
      <c r="K37" s="125" t="s">
        <v>733</v>
      </c>
      <c r="L37" s="124"/>
      <c r="M37" s="124"/>
      <c r="N37" s="124"/>
      <c r="O37" s="124"/>
      <c r="P37" s="124"/>
      <c r="Q37" s="124"/>
      <c r="R37" s="124"/>
      <c r="S37" s="124"/>
      <c r="T37" s="60" t="s">
        <v>733</v>
      </c>
      <c r="U37" s="124"/>
      <c r="V37" s="124"/>
      <c r="Y37" s="16" t="b">
        <f>OR( LEN(AA37) = 16, LEN( AA37) = 0)</f>
        <v>1</v>
      </c>
      <c r="Z37" s="16" t="b">
        <f>IF( LEN(AA37) = 16, VALUE( CONCATENATE( U37, V37)) = 98 - MOD( CONCATENATE( MOD( CONCATENATE( D37, E37, F37, H37, I37, J37, L37, M37, N37), 97), CONCATENATE(O37, P37, Q37, R37, S37), "00"), 97), TRUE)</f>
        <v>1</v>
      </c>
      <c r="AA37" s="137" t="str">
        <f>CONCATENATE( D37, E37, F37, H37, I37, J37, L37, M37, N37, O37, P37, Q37, R37, S37, U37, V37)</f>
        <v/>
      </c>
      <c r="AB37" s="133" t="str">
        <f>IF( LEN(AA37) = 0, "", IF( AND( LEN(AA37) = 16, Z37), CONCATENATE( D37, E37, F37, G37, H37, I37, J37, K37, L37, M37, N37, O37, P37, Q37, R37, S37, T37, U37, V37), Kontrola_Neispravno))</f>
        <v/>
      </c>
    </row>
    <row r="38" spans="2:28" ht="15" customHeight="1" x14ac:dyDescent="0.2">
      <c r="B38" s="126"/>
      <c r="Y38" s="16"/>
      <c r="Z38" s="16"/>
      <c r="AA38" s="137"/>
      <c r="AB38" s="134"/>
    </row>
    <row r="39" spans="2:28" ht="15.75" customHeight="1" x14ac:dyDescent="0.2">
      <c r="B39" s="141" t="str">
        <f>Objasnjenja_Podnozje</f>
        <v>Podaci ispod izvještaja:</v>
      </c>
      <c r="Y39" s="16"/>
      <c r="Z39" s="16"/>
      <c r="AA39" s="137"/>
      <c r="AB39" s="134"/>
    </row>
    <row r="40" spans="2:28" ht="15" customHeight="1" x14ac:dyDescent="0.2">
      <c r="B40" s="126" t="str">
        <f>Podnozje_U</f>
        <v>U:</v>
      </c>
      <c r="D40" s="401" t="s">
        <v>2051</v>
      </c>
      <c r="E40" s="401"/>
      <c r="F40" s="401"/>
      <c r="G40" s="401"/>
      <c r="H40" s="401"/>
      <c r="I40" s="401"/>
      <c r="J40" s="401"/>
      <c r="K40" s="401"/>
      <c r="L40" s="401"/>
      <c r="M40" s="401"/>
      <c r="N40" s="401"/>
      <c r="O40" s="401"/>
      <c r="P40" s="401"/>
      <c r="Q40" s="401"/>
      <c r="R40" s="401"/>
      <c r="S40" s="401"/>
      <c r="T40" s="401"/>
      <c r="U40" s="401"/>
      <c r="V40" s="401"/>
      <c r="Y40" s="16" t="b">
        <f>LEN(AA40) &gt; 0</f>
        <v>1</v>
      </c>
      <c r="Z40" s="16" t="b">
        <v>1</v>
      </c>
      <c r="AA40" s="137" t="str">
        <f>CONCATENATE( D40)</f>
        <v>Doboju</v>
      </c>
      <c r="AB40" s="135" t="str">
        <f>IF(Y40, IF( Z40, AA40, Kontrola_Neispravno), Kontrola_Obavezno)</f>
        <v>Doboju</v>
      </c>
    </row>
    <row r="41" spans="2:28" ht="4.5" customHeight="1" x14ac:dyDescent="0.2">
      <c r="B41" s="126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Y41" s="16"/>
      <c r="Z41" s="16"/>
      <c r="AA41" s="137"/>
      <c r="AB41" s="134"/>
    </row>
    <row r="42" spans="2:28" ht="15" customHeight="1" x14ac:dyDescent="0.2">
      <c r="B42" s="66"/>
      <c r="D42" s="127" t="str">
        <f>Objasnjenja_Dan</f>
        <v>Dan</v>
      </c>
      <c r="E42" s="127"/>
      <c r="F42" s="127"/>
      <c r="G42" s="127" t="str">
        <f>Objasnjenja_Mjesec</f>
        <v>Mjesec</v>
      </c>
      <c r="H42" s="127"/>
      <c r="I42" s="127"/>
      <c r="J42" s="127" t="str">
        <f>Objasnjenja_Godina</f>
        <v>Godina</v>
      </c>
      <c r="K42" s="127"/>
      <c r="L42" s="127"/>
      <c r="M42" s="127"/>
      <c r="Y42" s="16"/>
      <c r="Z42" s="16"/>
      <c r="AA42" s="137"/>
      <c r="AB42" s="134"/>
    </row>
    <row r="43" spans="2:28" ht="15" customHeight="1" x14ac:dyDescent="0.2">
      <c r="B43" s="126" t="str">
        <f>Podnozje_Dana</f>
        <v>Datum:</v>
      </c>
      <c r="D43" s="398">
        <v>30</v>
      </c>
      <c r="E43" s="400"/>
      <c r="F43" s="60"/>
      <c r="G43" s="398">
        <v>6</v>
      </c>
      <c r="H43" s="400"/>
      <c r="I43" s="60"/>
      <c r="J43" s="398">
        <v>2021</v>
      </c>
      <c r="K43" s="399"/>
      <c r="L43" s="400"/>
      <c r="M43"/>
      <c r="Y43" s="16" t="b">
        <f>AND( D43 &lt;&gt; "", G43 &lt;&gt; "", J43 &lt;&gt; "")</f>
        <v>1</v>
      </c>
      <c r="Z43" s="60" t="b">
        <f>IF( Y43, TEXT( DATE( J43, G43, D43), "dd.mm.yyyy" ) = TEXT( D43, "00") &amp; "." &amp; TEXT( G43, "00") &amp;"." &amp; CONCATENATE( J43), FALSE)</f>
        <v>1</v>
      </c>
      <c r="AA43" s="127" t="str">
        <f>IF( OR( Y43, Z43), TEXT( DATE( J43, G43, D43), "dd.mm.yyyy."), "")</f>
        <v>30.06.2021.</v>
      </c>
      <c r="AB43" s="135" t="str">
        <f>IF(Y43, IF( Z43, AA43, Kontrola_Neispravno), Kontrola_Obavezno)</f>
        <v>30.06.2021.</v>
      </c>
    </row>
    <row r="44" spans="2:28" ht="4.5" customHeight="1" x14ac:dyDescent="0.2">
      <c r="B44" s="126"/>
      <c r="D44"/>
      <c r="E44"/>
      <c r="F44"/>
      <c r="G44"/>
      <c r="H44"/>
      <c r="I44"/>
      <c r="J44"/>
      <c r="K44"/>
      <c r="L44"/>
      <c r="M44"/>
      <c r="N44"/>
      <c r="Y44" s="16"/>
      <c r="Z44" s="16"/>
      <c r="AA44" s="137"/>
      <c r="AB44" s="134"/>
    </row>
    <row r="45" spans="2:28" ht="15" customHeight="1" x14ac:dyDescent="0.2">
      <c r="B45" s="126" t="str">
        <f>Podnozje_Lice_sa_licencom</f>
        <v>Lice sa licencom:</v>
      </c>
      <c r="D45" s="401" t="s">
        <v>2056</v>
      </c>
      <c r="E45" s="401"/>
      <c r="F45" s="401"/>
      <c r="G45" s="401"/>
      <c r="H45" s="401"/>
      <c r="I45" s="401"/>
      <c r="J45" s="401"/>
      <c r="K45" s="401"/>
      <c r="L45" s="401"/>
      <c r="M45" s="401"/>
      <c r="N45" s="401"/>
      <c r="O45" s="401"/>
      <c r="P45" s="401"/>
      <c r="Q45" s="401"/>
      <c r="R45" s="401"/>
      <c r="S45" s="401"/>
      <c r="T45" s="401"/>
      <c r="U45" s="401"/>
      <c r="V45" s="401"/>
      <c r="Y45" s="16" t="b">
        <f>LEN(AA45) &gt; 0</f>
        <v>1</v>
      </c>
      <c r="Z45" s="16" t="b">
        <v>1</v>
      </c>
      <c r="AA45" s="137" t="str">
        <f>CONCATENATE( D45)</f>
        <v>Mira Simić</v>
      </c>
      <c r="AB45" s="135" t="str">
        <f>IF(Y45, IF( Z45, AA45, Kontrola_Neispravno), Kontrola_Obavezno)</f>
        <v>Mira Simić</v>
      </c>
    </row>
    <row r="46" spans="2:28" ht="4.5" customHeight="1" x14ac:dyDescent="0.2">
      <c r="B46" s="126"/>
      <c r="Y46" s="16"/>
      <c r="Z46" s="16"/>
      <c r="AA46" s="137"/>
      <c r="AB46" s="134"/>
    </row>
    <row r="47" spans="2:28" ht="15" customHeight="1" x14ac:dyDescent="0.2">
      <c r="B47" s="126" t="str">
        <f>Podnozje_Broj_licence</f>
        <v>Broj licence:</v>
      </c>
      <c r="D47" s="401" t="s">
        <v>2057</v>
      </c>
      <c r="E47" s="401"/>
      <c r="F47" s="401"/>
      <c r="G47" s="401"/>
      <c r="H47" s="401"/>
      <c r="I47" s="401"/>
      <c r="J47" s="401"/>
      <c r="K47" s="401"/>
      <c r="L47" s="401"/>
      <c r="M47" s="401"/>
      <c r="N47" s="401"/>
      <c r="O47" s="401"/>
      <c r="P47" s="401"/>
      <c r="Q47" s="401"/>
      <c r="R47" s="401"/>
      <c r="S47" s="401"/>
      <c r="T47" s="401"/>
      <c r="U47" s="401"/>
      <c r="V47" s="401"/>
      <c r="Y47" s="16" t="b">
        <f>LEN(AA47) &gt; 0</f>
        <v>1</v>
      </c>
      <c r="Z47" s="16" t="b">
        <v>1</v>
      </c>
      <c r="AA47" s="137" t="str">
        <f>CONCATENATE( D47)</f>
        <v>CP-1833/21</v>
      </c>
      <c r="AB47" s="135" t="str">
        <f>IF(Y47, IF( Z47, AA47, Kontrola_Neispravno), Kontrola_Obavezno)</f>
        <v>CP-1833/21</v>
      </c>
    </row>
    <row r="48" spans="2:28" ht="4.5" customHeight="1" x14ac:dyDescent="0.2">
      <c r="B48" s="126"/>
      <c r="Y48" s="16"/>
      <c r="Z48" s="16"/>
      <c r="AA48" s="137"/>
      <c r="AB48" s="134"/>
    </row>
    <row r="49" spans="2:28" ht="15" customHeight="1" x14ac:dyDescent="0.2">
      <c r="B49" s="157" t="str">
        <f>Podnozje_Direktor</f>
        <v>Lice ovlašćeno za zastupanje:</v>
      </c>
      <c r="D49" s="401" t="s">
        <v>2052</v>
      </c>
      <c r="E49" s="401"/>
      <c r="F49" s="401"/>
      <c r="G49" s="401"/>
      <c r="H49" s="401"/>
      <c r="I49" s="401"/>
      <c r="J49" s="401"/>
      <c r="K49" s="401"/>
      <c r="L49" s="401"/>
      <c r="M49" s="401"/>
      <c r="N49" s="401"/>
      <c r="O49" s="401"/>
      <c r="P49" s="401"/>
      <c r="Q49" s="401"/>
      <c r="R49" s="401"/>
      <c r="S49" s="401"/>
      <c r="T49" s="401"/>
      <c r="U49" s="401"/>
      <c r="V49" s="401"/>
      <c r="Y49" s="16" t="b">
        <f>LEN(AA49) &gt; 0</f>
        <v>1</v>
      </c>
      <c r="Z49" s="16" t="b">
        <v>1</v>
      </c>
      <c r="AA49" s="137" t="str">
        <f>CONCATENATE( D49)</f>
        <v>Željko Radić</v>
      </c>
      <c r="AB49" s="135" t="str">
        <f>IF(Y49, IF( Z49, AA49, Kontrola_Neispravno), Kontrola_Obavezno)</f>
        <v>Željko Radić</v>
      </c>
    </row>
    <row r="50" spans="2:28" ht="15" customHeight="1" x14ac:dyDescent="0.2">
      <c r="B50" s="66"/>
      <c r="Y50" s="16"/>
      <c r="Z50" s="16"/>
      <c r="AA50" s="137"/>
      <c r="AB50" s="134"/>
    </row>
    <row r="51" spans="2:28" ht="15.75" customHeight="1" x14ac:dyDescent="0.2">
      <c r="B51" s="141" t="s">
        <v>498</v>
      </c>
      <c r="Y51" s="16"/>
      <c r="Z51" s="16"/>
      <c r="AA51" s="137"/>
      <c r="AB51" s="134"/>
    </row>
    <row r="52" spans="2:28" ht="15" customHeight="1" x14ac:dyDescent="0.2">
      <c r="B52" s="126" t="str">
        <f>Kontakt_Adresa</f>
        <v>Adresa i broj:</v>
      </c>
      <c r="D52" s="401" t="s">
        <v>2053</v>
      </c>
      <c r="E52" s="401"/>
      <c r="F52" s="401"/>
      <c r="G52" s="401"/>
      <c r="H52" s="401"/>
      <c r="I52" s="401"/>
      <c r="J52" s="401"/>
      <c r="K52" s="401"/>
      <c r="L52" s="401"/>
      <c r="M52" s="401"/>
      <c r="N52" s="401"/>
      <c r="O52" s="401"/>
      <c r="P52" s="401"/>
      <c r="Q52" s="401"/>
      <c r="R52" s="401"/>
      <c r="S52" s="401"/>
      <c r="T52" s="401"/>
      <c r="U52" s="401"/>
      <c r="V52" s="401"/>
      <c r="Y52" s="16" t="b">
        <f>LEN(AA52) &gt; 0</f>
        <v>1</v>
      </c>
      <c r="Z52" s="16" t="b">
        <v>1</v>
      </c>
      <c r="AA52" s="137" t="str">
        <f>CONCATENATE( D52)</f>
        <v>Svetog Save 71 Doboj</v>
      </c>
      <c r="AB52" s="135" t="str">
        <f>IF(Y52, IF( Z52, AA52, Kontrola_Neispravno), Kontrola_Obavezno)</f>
        <v>Svetog Save 71 Doboj</v>
      </c>
    </row>
    <row r="53" spans="2:28" ht="4.5" customHeight="1" x14ac:dyDescent="0.2">
      <c r="B53" s="66"/>
      <c r="Y53" s="16"/>
      <c r="Z53" s="16"/>
      <c r="AA53" s="137"/>
      <c r="AB53" s="134"/>
    </row>
    <row r="54" spans="2:28" ht="15" customHeight="1" x14ac:dyDescent="0.2">
      <c r="B54" s="126" t="str">
        <f>Kontakt_web</f>
        <v>Internet adresa:</v>
      </c>
      <c r="D54" s="401" t="s">
        <v>2055</v>
      </c>
      <c r="E54" s="401"/>
      <c r="F54" s="401"/>
      <c r="G54" s="401"/>
      <c r="H54" s="401"/>
      <c r="I54" s="401"/>
      <c r="J54" s="401"/>
      <c r="K54" s="401"/>
      <c r="L54" s="401"/>
      <c r="M54" s="401"/>
      <c r="N54" s="401"/>
      <c r="O54" s="401"/>
      <c r="P54" s="401"/>
      <c r="Q54" s="401"/>
      <c r="R54" s="401"/>
      <c r="S54" s="401"/>
      <c r="T54" s="401"/>
      <c r="U54" s="401"/>
      <c r="V54" s="401"/>
      <c r="Y54" s="16" t="b">
        <f>LEN(AA54) &gt;= 0</f>
        <v>1</v>
      </c>
      <c r="Z54" s="16" t="b">
        <v>1</v>
      </c>
      <c r="AA54" s="137" t="str">
        <f>CONCATENATE( D54)</f>
        <v>www.zrs-rs-com</v>
      </c>
      <c r="AB54" s="135" t="str">
        <f>IF(Y54, IF( Z54, AA54, Kontrola_Neispravno), Kontrola_Obavezno)</f>
        <v>www.zrs-rs-com</v>
      </c>
    </row>
    <row r="55" spans="2:28" ht="4.5" customHeight="1" x14ac:dyDescent="0.2">
      <c r="B55" s="126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Y55" s="16"/>
      <c r="Z55" s="16"/>
      <c r="AA55" s="137"/>
      <c r="AB55" s="134"/>
    </row>
    <row r="56" spans="2:28" ht="15" customHeight="1" x14ac:dyDescent="0.2">
      <c r="B56" s="126" t="str">
        <f>Kontakt_email</f>
        <v>Adresa e-pošte (email):</v>
      </c>
      <c r="D56" s="401" t="s">
        <v>2054</v>
      </c>
      <c r="E56" s="401"/>
      <c r="F56" s="401"/>
      <c r="G56" s="401"/>
      <c r="H56" s="401"/>
      <c r="I56" s="401"/>
      <c r="J56" s="401"/>
      <c r="K56" s="401"/>
      <c r="L56" s="401"/>
      <c r="M56" s="401"/>
      <c r="N56" s="401"/>
      <c r="O56" s="401"/>
      <c r="P56" s="401"/>
      <c r="Q56" s="401"/>
      <c r="R56" s="401"/>
      <c r="S56" s="401"/>
      <c r="T56" s="401"/>
      <c r="U56" s="401"/>
      <c r="V56" s="401"/>
      <c r="Y56" s="16" t="b">
        <f>LEN(AA56) &gt; 0</f>
        <v>1</v>
      </c>
      <c r="Z56" s="16" t="b">
        <v>1</v>
      </c>
      <c r="AA56" s="137" t="str">
        <f>CONCATENATE(D56)</f>
        <v>kabinet@zrs-rs.com</v>
      </c>
      <c r="AB56" s="135" t="str">
        <f>IF(Y56, IF( Z56, AA56, Kontrola_Neispravno), Kontrola_Obavezno)</f>
        <v>kabinet@zrs-rs.com</v>
      </c>
    </row>
    <row r="57" spans="2:28" ht="4.5" customHeight="1" x14ac:dyDescent="0.2">
      <c r="B57" s="126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60"/>
      <c r="R57" s="60"/>
      <c r="S57" s="60"/>
      <c r="T57" s="60"/>
      <c r="U57"/>
      <c r="Y57" s="16"/>
      <c r="Z57" s="16"/>
      <c r="AA57" s="137"/>
      <c r="AB57" s="134"/>
    </row>
    <row r="58" spans="2:28" ht="15" customHeight="1" x14ac:dyDescent="0.2">
      <c r="B58" s="126" t="str">
        <f>Kontakt_tel</f>
        <v>Telefon:</v>
      </c>
      <c r="D58" s="124">
        <v>0</v>
      </c>
      <c r="E58" s="124">
        <v>5</v>
      </c>
      <c r="F58" s="124">
        <v>3</v>
      </c>
      <c r="G58" s="60" t="s">
        <v>733</v>
      </c>
      <c r="H58" s="124">
        <v>2</v>
      </c>
      <c r="I58" s="124">
        <v>4</v>
      </c>
      <c r="J58" s="124">
        <v>1</v>
      </c>
      <c r="K58" s="60" t="s">
        <v>733</v>
      </c>
      <c r="L58" s="124">
        <v>3</v>
      </c>
      <c r="M58" s="124">
        <v>6</v>
      </c>
      <c r="N58" s="124">
        <v>8</v>
      </c>
      <c r="O58" s="60"/>
      <c r="P58" s="60"/>
      <c r="Q58" s="60"/>
      <c r="R58" s="60"/>
      <c r="S58" s="60"/>
      <c r="T58" s="60"/>
      <c r="U58"/>
      <c r="V58"/>
      <c r="Y58" s="16" t="b">
        <f>LEN(AA58) = 11</f>
        <v>1</v>
      </c>
      <c r="Z58" s="16" t="b">
        <v>1</v>
      </c>
      <c r="AA58" s="137" t="str">
        <f>CONCATENATE( D58,E58, F58, G58, H58, I58, J58, K58, L58, M58, N58)</f>
        <v>053-241-368</v>
      </c>
      <c r="AB58" s="135" t="str">
        <f>IF(Y58, IF( Z58, AA58, Kontrola_Neispravno), Kontrola_Obavezno)</f>
        <v>053-241-368</v>
      </c>
    </row>
    <row r="59" spans="2:28" ht="4.5" customHeight="1" x14ac:dyDescent="0.2">
      <c r="B59" s="66"/>
      <c r="D59"/>
      <c r="E59"/>
      <c r="F59"/>
      <c r="G59"/>
      <c r="H59"/>
      <c r="I59"/>
      <c r="J59"/>
      <c r="K59"/>
      <c r="L59"/>
      <c r="M59"/>
      <c r="N59"/>
      <c r="O59"/>
      <c r="P59" s="60"/>
      <c r="Q59" s="60"/>
      <c r="R59" s="60"/>
      <c r="S59" s="60"/>
      <c r="T59" s="60"/>
      <c r="U59"/>
      <c r="Y59" s="16"/>
      <c r="Z59" s="16"/>
      <c r="AA59" s="137"/>
      <c r="AB59" s="134"/>
    </row>
    <row r="60" spans="2:28" ht="15" customHeight="1" x14ac:dyDescent="0.2">
      <c r="B60" s="126" t="str">
        <f>Kontakt_fax</f>
        <v>Faks:</v>
      </c>
      <c r="D60" s="124">
        <v>0</v>
      </c>
      <c r="E60" s="124">
        <v>5</v>
      </c>
      <c r="F60" s="124">
        <v>3</v>
      </c>
      <c r="G60" s="60" t="s">
        <v>733</v>
      </c>
      <c r="H60" s="124">
        <v>2</v>
      </c>
      <c r="I60" s="124">
        <v>2</v>
      </c>
      <c r="J60" s="124">
        <v>2</v>
      </c>
      <c r="K60" s="60" t="s">
        <v>733</v>
      </c>
      <c r="L60" s="124">
        <v>2</v>
      </c>
      <c r="M60" s="124">
        <v>4</v>
      </c>
      <c r="N60" s="124">
        <v>7</v>
      </c>
      <c r="O60" s="60"/>
      <c r="P60" s="60"/>
      <c r="Y60" s="16" t="b">
        <f>OR( LEN( AA60) = 2, LEN(AA60) = 11)</f>
        <v>1</v>
      </c>
      <c r="Z60" s="16" t="b">
        <v>1</v>
      </c>
      <c r="AA60" s="137" t="str">
        <f>CONCATENATE( D60,E60, F60, G60, H60, I60, J60, K60, L60, M60, N60)</f>
        <v>053-222-247</v>
      </c>
      <c r="AB60" s="135" t="str">
        <f>IF(Y60, IF( Z60, AA60, Kontrola_Neispravno), Kontrola_Obavezno)</f>
        <v>053-222-247</v>
      </c>
    </row>
    <row r="61" spans="2:28" ht="12.75" customHeight="1" x14ac:dyDescent="0.2">
      <c r="Y61" s="16"/>
      <c r="Z61" s="16"/>
      <c r="AA61" s="137"/>
    </row>
    <row r="62" spans="2:28" ht="15.75" customHeight="1" x14ac:dyDescent="0.2">
      <c r="B62" s="141" t="str">
        <f>Revizija_Revidiran_izvjestaj</f>
        <v>Revidiran izvještaj:</v>
      </c>
      <c r="D62" s="143"/>
      <c r="E62" s="144"/>
      <c r="Y62" s="356" t="b">
        <v>0</v>
      </c>
      <c r="Z62" s="16"/>
      <c r="AA62" s="137"/>
    </row>
    <row r="63" spans="2:28" ht="4.5" customHeight="1" x14ac:dyDescent="0.2">
      <c r="B63" s="145"/>
      <c r="D63"/>
      <c r="E63"/>
      <c r="Y63" s="357"/>
      <c r="Z63" s="16"/>
      <c r="AA63" s="137"/>
    </row>
    <row r="64" spans="2:28" ht="17.25" customHeight="1" x14ac:dyDescent="0.2">
      <c r="B64" s="126" t="str">
        <f>IF( Revidiran_izvjestaj, Revizija_Misljenje, "")</f>
        <v/>
      </c>
      <c r="C64" s="9"/>
      <c r="D64"/>
      <c r="E64"/>
      <c r="F64"/>
      <c r="G64"/>
      <c r="H64"/>
      <c r="I64"/>
      <c r="J64"/>
      <c r="K64"/>
      <c r="L64"/>
      <c r="M64"/>
      <c r="N64"/>
      <c r="O64"/>
      <c r="P64" s="9"/>
      <c r="Q64" s="9"/>
      <c r="R64" s="9"/>
      <c r="S64" s="9"/>
      <c r="T64" s="9"/>
      <c r="U64" s="9"/>
      <c r="V64" s="9"/>
      <c r="Y64" s="16" t="b">
        <f>OR( NOT( Revidiran_izvjestaj), LEN(AA64) &gt; 0)</f>
        <v>1</v>
      </c>
      <c r="Z64" s="16" t="b">
        <v>1</v>
      </c>
      <c r="AA64" s="137" t="str">
        <f>VLOOKUP( Podesavanja!$E$1, Podesavanja!$E$3:$F$6, 2, 0)</f>
        <v/>
      </c>
      <c r="AB64" s="133" t="str">
        <f>IF(Y64, IF( Z64, AA64, Kontrola_Neispravno), Kontrola_Obavezno)</f>
        <v/>
      </c>
    </row>
    <row r="65" spans="1:28" ht="4.5" customHeight="1" x14ac:dyDescent="0.2">
      <c r="B65" s="126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Y65" s="16"/>
      <c r="Z65" s="16"/>
      <c r="AA65" s="137"/>
    </row>
    <row r="66" spans="1:28" ht="15" customHeight="1" x14ac:dyDescent="0.2">
      <c r="B66" s="160" t="str">
        <f>IF( Revidiran_izvjestaj, Revizija_Podaci_o_revizorskoj_firmi, "")</f>
        <v/>
      </c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Y66" s="16"/>
      <c r="Z66" s="16"/>
      <c r="AA66" s="137"/>
    </row>
    <row r="67" spans="1:28" ht="15" customHeight="1" x14ac:dyDescent="0.2">
      <c r="A67" s="9"/>
      <c r="B67" s="126" t="str">
        <f>IF( Revidiran_izvjestaj, Zaglavlje_MB, "")</f>
        <v/>
      </c>
      <c r="C67" s="9"/>
      <c r="D67" s="124"/>
      <c r="E67" s="124"/>
      <c r="F67" s="124"/>
      <c r="G67" s="124"/>
      <c r="H67" s="124"/>
      <c r="I67" s="124"/>
      <c r="J67" s="124"/>
      <c r="K67" s="124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Y67" s="16" t="b">
        <f>OR( NOT(Revidiran_izvjestaj), LEN(AA67) &gt;= 7)</f>
        <v>1</v>
      </c>
      <c r="Z67" s="16" t="b">
        <v>1</v>
      </c>
      <c r="AA67" s="137" t="str">
        <f>CONCATENATE( D67, E67, F67, G67, H67, I67, J67, K67)</f>
        <v/>
      </c>
      <c r="AB67" s="133" t="str">
        <f>IF(Y67, IF( Z67, AA67, Kontrola_Neispravno), Kontrola_Obavezno)</f>
        <v/>
      </c>
    </row>
    <row r="68" spans="1:28" ht="4.5" customHeight="1" x14ac:dyDescent="0.2">
      <c r="A68" s="9"/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Y68" s="16"/>
      <c r="Z68" s="16"/>
      <c r="AA68" s="137"/>
    </row>
    <row r="69" spans="1:28" ht="12.75" customHeight="1" x14ac:dyDescent="0.2">
      <c r="A69" s="9"/>
      <c r="B69" s="396" t="str">
        <f>IF( Revidiran_izvjestaj, Revizija_Naziv_revizorske_firme, "")</f>
        <v/>
      </c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Y69" s="16"/>
      <c r="Z69" s="16"/>
      <c r="AA69" s="137"/>
    </row>
    <row r="70" spans="1:28" ht="15" customHeight="1" x14ac:dyDescent="0.2">
      <c r="A70" s="9"/>
      <c r="B70" s="396"/>
      <c r="C70" s="9"/>
      <c r="D70" s="402"/>
      <c r="E70" s="402"/>
      <c r="F70" s="402"/>
      <c r="G70" s="402"/>
      <c r="H70" s="402"/>
      <c r="I70" s="402"/>
      <c r="J70" s="402"/>
      <c r="K70" s="402"/>
      <c r="L70" s="402"/>
      <c r="M70" s="402"/>
      <c r="N70" s="402"/>
      <c r="O70" s="402"/>
      <c r="P70" s="402"/>
      <c r="Q70" s="402"/>
      <c r="R70" s="402"/>
      <c r="S70" s="402"/>
      <c r="T70" s="402"/>
      <c r="U70" s="402"/>
      <c r="V70" s="402"/>
      <c r="Y70" s="16" t="b">
        <f>OR( NOT(Revidiran_izvjestaj), LEN(AA70) &gt; 0)</f>
        <v>1</v>
      </c>
      <c r="Z70" s="16" t="b">
        <v>1</v>
      </c>
      <c r="AA70" s="137" t="str">
        <f>CONCATENATE(D70)</f>
        <v/>
      </c>
      <c r="AB70" s="135" t="str">
        <f>IF(Y70, IF( Z70, AA70, Kontrola_Neispravno), Kontrola_Obavezno)</f>
        <v/>
      </c>
    </row>
    <row r="71" spans="1:28" ht="4.5" customHeight="1" x14ac:dyDescent="0.2">
      <c r="A71" s="9"/>
      <c r="B71" s="126"/>
      <c r="C71" s="9"/>
      <c r="D71" s="136"/>
      <c r="E71" s="136"/>
      <c r="F71" s="136"/>
      <c r="G71" s="136"/>
      <c r="H71" s="136"/>
      <c r="I71" s="136"/>
      <c r="J71" s="136"/>
      <c r="K71" s="136"/>
      <c r="L71" s="136"/>
      <c r="M71" s="136"/>
      <c r="N71" s="136"/>
      <c r="O71" s="136"/>
      <c r="P71" s="136"/>
      <c r="Q71" s="136"/>
      <c r="R71" s="136"/>
      <c r="S71" s="136"/>
      <c r="T71" s="136"/>
      <c r="U71" s="136"/>
      <c r="V71" s="136"/>
      <c r="Y71" s="16"/>
      <c r="Z71" s="16"/>
      <c r="AA71" s="137"/>
      <c r="AB71" s="134"/>
    </row>
    <row r="72" spans="1:28" ht="15" customHeight="1" x14ac:dyDescent="0.2">
      <c r="A72" s="9"/>
      <c r="B72" s="126" t="str">
        <f>IF( Revidiran_izvjestaj, Zaglavlje_Sjediste, "")</f>
        <v/>
      </c>
      <c r="C72" s="9"/>
      <c r="D72" s="402"/>
      <c r="E72" s="402"/>
      <c r="F72" s="402"/>
      <c r="G72" s="402"/>
      <c r="H72" s="402"/>
      <c r="I72" s="402"/>
      <c r="J72" s="402"/>
      <c r="K72" s="402"/>
      <c r="L72" s="402"/>
      <c r="M72" s="402"/>
      <c r="N72" s="402"/>
      <c r="O72" s="402"/>
      <c r="P72" s="402"/>
      <c r="Q72" s="402"/>
      <c r="R72" s="402"/>
      <c r="S72" s="402"/>
      <c r="T72" s="402"/>
      <c r="U72" s="402"/>
      <c r="V72" s="402"/>
      <c r="Y72" s="16" t="b">
        <f>OR( NOT(Revidiran_izvjestaj), LEN(AA72) &gt; 0)</f>
        <v>1</v>
      </c>
      <c r="Z72" s="16" t="b">
        <v>1</v>
      </c>
      <c r="AA72" s="137" t="str">
        <f>CONCATENATE(D72)</f>
        <v/>
      </c>
      <c r="AB72" s="133" t="str">
        <f>IF(Y72, IF( Z72, AA72, Kontrola_Neispravno), Kontrola_Obavezno)</f>
        <v/>
      </c>
    </row>
    <row r="73" spans="1:28" ht="4.5" customHeight="1" x14ac:dyDescent="0.2">
      <c r="A73" s="9"/>
      <c r="B73" s="126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Y73" s="16"/>
      <c r="Z73" s="16"/>
      <c r="AA73" s="137"/>
      <c r="AB73" s="134"/>
    </row>
    <row r="74" spans="1:28" ht="15" customHeight="1" x14ac:dyDescent="0.2">
      <c r="A74" s="9"/>
      <c r="B74" s="126" t="str">
        <f>IF( Revidiran_izvjestaj, Zaglavlje_JIB, "")</f>
        <v/>
      </c>
      <c r="C74" s="9"/>
      <c r="D74" s="124"/>
      <c r="E74" s="192"/>
      <c r="F74" s="193"/>
      <c r="G74" s="124"/>
      <c r="H74" s="192"/>
      <c r="I74" s="193"/>
      <c r="J74" s="124"/>
      <c r="K74" s="192"/>
      <c r="L74" s="193"/>
      <c r="M74" s="192"/>
      <c r="N74" s="193"/>
      <c r="O74" s="192"/>
      <c r="P74" s="193"/>
      <c r="Q74" s="125"/>
      <c r="R74" s="125"/>
      <c r="S74" s="125"/>
      <c r="T74" s="125"/>
      <c r="U74" s="125"/>
      <c r="V74" s="125"/>
      <c r="Y74" s="16" t="b">
        <f>OR( NOT(Revidiran_izvjestaj), LEN(AA74) = 13)</f>
        <v>1</v>
      </c>
      <c r="Z74" s="355" t="b">
        <f>IF( NOT( Revidiran_izvjestaj), TRUE, IF( Y74, VALUE( CONCATENATE( P74)) = IF( 11 - MOD( SUMPRODUCT( {7;6;5;4;3;2;7;6;5;4;3;2}, VALUE( MID( CONCATENATE( D74, E74, F74, G74, H74, I74, J74, K74, L74, M74, N74, O74, P74), {1;2;3;4;5;6;7;8;9;10;11;12}, 1))), 11) &gt;= 10, 0, 11 - MOD( SUMPRODUCT( {7;6;5;4;3;2;7;6;5;4;3;2}, VALUE( MID( CONCATENATE( D74, E74, F74, G74, H74, I74, J74, K74, L74, M74, N74, O74, P74), {1;2;3;4;5;6;7;8;9;10;11;12}, 1))), 11)), FALSE))</f>
        <v>1</v>
      </c>
      <c r="AA74" s="138" t="str">
        <f>CONCATENATE( D74, E74, F74, G74, H74, I74, J74, K74, L74, M74, N74, O74, P74)</f>
        <v/>
      </c>
      <c r="AB74" s="133" t="str">
        <f>IF(Y74, IF( Z74, AA74, Kontrola_Neispravno), Kontrola_Obavezno)</f>
        <v/>
      </c>
    </row>
    <row r="75" spans="1:28" ht="12.75" customHeight="1" x14ac:dyDescent="0.2">
      <c r="A75" s="9"/>
      <c r="B75"/>
      <c r="C75"/>
      <c r="D75"/>
      <c r="E75"/>
      <c r="F75"/>
      <c r="Y75" s="16"/>
      <c r="Z75" s="16"/>
    </row>
    <row r="76" spans="1:28" ht="15.75" customHeight="1" x14ac:dyDescent="0.2">
      <c r="A76" s="9"/>
      <c r="B76" s="141" t="str">
        <f>Konsolidovani_Konsolidavani_Izvjestaj</f>
        <v>Konsolidovan izvještaj:</v>
      </c>
      <c r="D76" s="143"/>
      <c r="E76" s="144"/>
      <c r="F76"/>
      <c r="Y76" s="140" t="b">
        <v>0</v>
      </c>
      <c r="Z76" s="279"/>
      <c r="AA76" s="279"/>
    </row>
    <row r="77" spans="1:28" ht="4.5" customHeight="1" x14ac:dyDescent="0.2">
      <c r="A77" s="9"/>
      <c r="B77" s="142"/>
    </row>
    <row r="78" spans="1:28" ht="15" customHeight="1" x14ac:dyDescent="0.25">
      <c r="A78" s="9"/>
      <c r="B78" s="159" t="str">
        <f>IF( Konsolidovan_izvjestaj, Konsolidovani_Konsolidovani &amp; " 1:", "")</f>
        <v/>
      </c>
    </row>
    <row r="79" spans="1:28" ht="15" customHeight="1" x14ac:dyDescent="0.2">
      <c r="A79" s="9"/>
      <c r="B79" s="126" t="str">
        <f>IF( Konsolidovan_izvjestaj, Zaglavlje_MB, "")</f>
        <v/>
      </c>
      <c r="D79" s="124"/>
      <c r="E79" s="124"/>
      <c r="F79" s="124"/>
      <c r="G79" s="124"/>
      <c r="H79" s="124"/>
      <c r="I79" s="124"/>
      <c r="J79" s="124"/>
      <c r="K79" s="124"/>
      <c r="Y79"/>
      <c r="Z79"/>
      <c r="AA79"/>
    </row>
    <row r="80" spans="1:28" customFormat="1" ht="4.5" customHeight="1" x14ac:dyDescent="0.2">
      <c r="A80" s="119"/>
      <c r="B80" s="119"/>
    </row>
    <row r="81" spans="1:27" ht="12.75" customHeight="1" x14ac:dyDescent="0.2">
      <c r="A81" s="9"/>
      <c r="B81" s="396" t="str">
        <f>IF( Konsolidovan_izvjestaj, Zaglavlje_Naziv_preduzeca, "")</f>
        <v/>
      </c>
      <c r="Y81"/>
      <c r="Z81"/>
      <c r="AA81"/>
    </row>
    <row r="82" spans="1:27" ht="15" customHeight="1" x14ac:dyDescent="0.2">
      <c r="A82" s="9"/>
      <c r="B82" s="396"/>
      <c r="D82" s="401"/>
      <c r="E82" s="401"/>
      <c r="F82" s="401"/>
      <c r="G82" s="401"/>
      <c r="H82" s="401"/>
      <c r="I82" s="401"/>
      <c r="J82" s="401"/>
      <c r="K82" s="401"/>
      <c r="L82" s="401"/>
      <c r="M82" s="401"/>
      <c r="N82" s="401"/>
      <c r="O82" s="401"/>
      <c r="P82" s="401"/>
      <c r="Q82" s="401"/>
      <c r="R82" s="401"/>
      <c r="S82" s="401"/>
      <c r="T82" s="401"/>
      <c r="U82" s="401"/>
      <c r="V82" s="401"/>
      <c r="Y82"/>
      <c r="Z82"/>
      <c r="AA82"/>
    </row>
    <row r="83" spans="1:27" ht="4.5" customHeight="1" x14ac:dyDescent="0.2">
      <c r="A83" s="9"/>
      <c r="B83" s="126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Y83"/>
      <c r="Z83"/>
      <c r="AA83"/>
    </row>
    <row r="84" spans="1:27" ht="15" customHeight="1" x14ac:dyDescent="0.2">
      <c r="A84" s="9"/>
      <c r="B84" s="126" t="str">
        <f>IF( Konsolidovan_izvjestaj, Zaglavlje_Sjediste, "")</f>
        <v/>
      </c>
      <c r="D84" s="401"/>
      <c r="E84" s="401"/>
      <c r="F84" s="401"/>
      <c r="G84" s="401"/>
      <c r="H84" s="401"/>
      <c r="I84" s="401"/>
      <c r="J84" s="401"/>
      <c r="K84" s="401"/>
      <c r="L84" s="401"/>
      <c r="M84" s="401"/>
      <c r="N84" s="401"/>
      <c r="O84" s="401"/>
      <c r="P84" s="401"/>
      <c r="Q84" s="401"/>
      <c r="R84" s="401"/>
      <c r="S84" s="401"/>
      <c r="T84" s="401"/>
      <c r="U84" s="401"/>
      <c r="V84" s="401"/>
      <c r="Y84"/>
      <c r="Z84"/>
      <c r="AA84"/>
    </row>
    <row r="85" spans="1:27" ht="4.5" customHeight="1" x14ac:dyDescent="0.2">
      <c r="A85" s="9"/>
      <c r="B85" s="126"/>
      <c r="Y85"/>
      <c r="Z85"/>
      <c r="AA85"/>
    </row>
    <row r="86" spans="1:27" ht="15" customHeight="1" x14ac:dyDescent="0.2">
      <c r="A86" s="9"/>
      <c r="B86" s="126" t="str">
        <f>IF( Konsolidovan_izvjestaj, Zaglavlje_JIB, "")</f>
        <v/>
      </c>
      <c r="D86" s="124"/>
      <c r="E86" s="192"/>
      <c r="F86" s="193"/>
      <c r="G86" s="124"/>
      <c r="H86" s="192"/>
      <c r="I86" s="193"/>
      <c r="J86" s="124"/>
      <c r="K86" s="192"/>
      <c r="L86" s="193"/>
      <c r="M86" s="192"/>
      <c r="N86" s="193"/>
      <c r="O86" s="192"/>
      <c r="P86" s="193"/>
      <c r="Q86" s="60"/>
      <c r="R86" s="60"/>
      <c r="S86" s="60"/>
      <c r="T86" s="60"/>
      <c r="U86" s="60"/>
      <c r="V86" s="60"/>
      <c r="Y86"/>
      <c r="Z86"/>
      <c r="AA86"/>
    </row>
    <row r="87" spans="1:27" ht="4.5" customHeight="1" x14ac:dyDescent="0.2">
      <c r="A87" s="9"/>
      <c r="B87" s="142"/>
      <c r="Y87"/>
      <c r="Z87"/>
      <c r="AA87"/>
    </row>
    <row r="88" spans="1:27" ht="15" customHeight="1" x14ac:dyDescent="0.25">
      <c r="A88" s="9"/>
      <c r="B88" s="159" t="str">
        <f>IF( Konsolidovan_izvjestaj, Konsolidovani_Konsolidovani &amp; " 2:", "")</f>
        <v/>
      </c>
      <c r="Y88"/>
      <c r="Z88"/>
      <c r="AA88"/>
    </row>
    <row r="89" spans="1:27" ht="15" customHeight="1" x14ac:dyDescent="0.2">
      <c r="A89" s="9"/>
      <c r="B89" s="126" t="str">
        <f>IF( Konsolidovan_izvjestaj, Zaglavlje_MB, "")</f>
        <v/>
      </c>
      <c r="D89" s="124"/>
      <c r="E89" s="124"/>
      <c r="F89" s="124"/>
      <c r="G89" s="124"/>
      <c r="H89" s="124"/>
      <c r="I89" s="124"/>
      <c r="J89" s="124"/>
      <c r="K89" s="124"/>
      <c r="Y89"/>
      <c r="Z89"/>
      <c r="AA89"/>
    </row>
    <row r="90" spans="1:27" ht="4.5" customHeight="1" x14ac:dyDescent="0.2">
      <c r="A90" s="9"/>
      <c r="B90" s="119"/>
    </row>
    <row r="91" spans="1:27" ht="12.75" customHeight="1" x14ac:dyDescent="0.2">
      <c r="A91" s="9"/>
      <c r="B91" s="396" t="str">
        <f>IF( Konsolidovan_izvjestaj, Zaglavlje_Naziv_preduzeca, "")</f>
        <v/>
      </c>
    </row>
    <row r="92" spans="1:27" ht="15" customHeight="1" x14ac:dyDescent="0.2">
      <c r="A92" s="9"/>
      <c r="B92" s="396"/>
      <c r="D92" s="401"/>
      <c r="E92" s="401"/>
      <c r="F92" s="401"/>
      <c r="G92" s="401"/>
      <c r="H92" s="401"/>
      <c r="I92" s="401"/>
      <c r="J92" s="401"/>
      <c r="K92" s="401"/>
      <c r="L92" s="401"/>
      <c r="M92" s="401"/>
      <c r="N92" s="401"/>
      <c r="O92" s="401"/>
      <c r="P92" s="401"/>
      <c r="Q92" s="401"/>
      <c r="R92" s="401"/>
      <c r="S92" s="401"/>
      <c r="T92" s="401"/>
      <c r="U92" s="401"/>
      <c r="V92" s="401"/>
    </row>
    <row r="93" spans="1:27" ht="4.5" customHeight="1" x14ac:dyDescent="0.2">
      <c r="A93" s="9"/>
      <c r="B93" s="126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7" ht="15" customHeight="1" x14ac:dyDescent="0.2">
      <c r="A94" s="9"/>
      <c r="B94" s="126" t="str">
        <f>IF( Konsolidovan_izvjestaj, Zaglavlje_Sjediste, "")</f>
        <v/>
      </c>
      <c r="D94" s="401"/>
      <c r="E94" s="401"/>
      <c r="F94" s="401"/>
      <c r="G94" s="401"/>
      <c r="H94" s="401"/>
      <c r="I94" s="401"/>
      <c r="J94" s="401"/>
      <c r="K94" s="401"/>
      <c r="L94" s="401"/>
      <c r="M94" s="401"/>
      <c r="N94" s="401"/>
      <c r="O94" s="401"/>
      <c r="P94" s="401"/>
      <c r="Q94" s="401"/>
      <c r="R94" s="401"/>
      <c r="S94" s="401"/>
      <c r="T94" s="401"/>
      <c r="U94" s="401"/>
      <c r="V94" s="401"/>
    </row>
    <row r="95" spans="1:27" ht="4.5" customHeight="1" x14ac:dyDescent="0.2">
      <c r="A95" s="9"/>
      <c r="B95" s="126"/>
    </row>
    <row r="96" spans="1:27" ht="15" customHeight="1" x14ac:dyDescent="0.2">
      <c r="A96" s="9"/>
      <c r="B96" s="126" t="str">
        <f>IF( Konsolidovan_izvjestaj, Zaglavlje_JIB, "")</f>
        <v/>
      </c>
      <c r="D96" s="124"/>
      <c r="E96" s="192"/>
      <c r="F96" s="193"/>
      <c r="G96" s="124"/>
      <c r="H96" s="192"/>
      <c r="I96" s="193"/>
      <c r="J96" s="124"/>
      <c r="K96" s="192"/>
      <c r="L96" s="193"/>
      <c r="M96" s="192"/>
      <c r="N96" s="193"/>
      <c r="O96" s="192"/>
      <c r="P96" s="193"/>
      <c r="Q96" s="60"/>
      <c r="R96" s="60"/>
      <c r="S96" s="60"/>
      <c r="T96" s="60"/>
      <c r="U96" s="60"/>
      <c r="V96" s="60"/>
    </row>
    <row r="97" spans="1:32" ht="4.5" customHeight="1" x14ac:dyDescent="0.2">
      <c r="A97" s="9"/>
      <c r="B97" s="142"/>
    </row>
    <row r="98" spans="1:32" ht="15" customHeight="1" x14ac:dyDescent="0.25">
      <c r="A98" s="9"/>
      <c r="B98" s="159" t="str">
        <f>IF( Konsolidovan_izvjestaj, Konsolidovani_Konsolidovani &amp; " 3:", "")</f>
        <v/>
      </c>
    </row>
    <row r="99" spans="1:32" ht="15" customHeight="1" x14ac:dyDescent="0.2">
      <c r="A99" s="9"/>
      <c r="B99" s="126" t="str">
        <f>IF( Konsolidovan_izvjestaj, Zaglavlje_MB, "")</f>
        <v/>
      </c>
      <c r="D99" s="124"/>
      <c r="E99" s="124"/>
      <c r="F99" s="124"/>
      <c r="G99" s="124"/>
      <c r="H99" s="124"/>
      <c r="I99" s="124"/>
      <c r="J99" s="124"/>
      <c r="K99" s="124"/>
    </row>
    <row r="100" spans="1:32" customFormat="1" ht="4.5" customHeight="1" x14ac:dyDescent="0.2">
      <c r="A100" s="119"/>
      <c r="B100" s="119"/>
      <c r="AE100" s="8"/>
      <c r="AF100" s="8"/>
    </row>
    <row r="101" spans="1:32" ht="12.75" customHeight="1" x14ac:dyDescent="0.2">
      <c r="A101" s="9"/>
      <c r="B101" s="396" t="str">
        <f>IF( Konsolidovan_izvjestaj, Zaglavlje_Naziv_preduzeca, "")</f>
        <v/>
      </c>
    </row>
    <row r="102" spans="1:32" ht="15" customHeight="1" x14ac:dyDescent="0.2">
      <c r="A102" s="9"/>
      <c r="B102" s="396"/>
      <c r="D102" s="401"/>
      <c r="E102" s="401"/>
      <c r="F102" s="401"/>
      <c r="G102" s="401"/>
      <c r="H102" s="401"/>
      <c r="I102" s="401"/>
      <c r="J102" s="401"/>
      <c r="K102" s="401"/>
      <c r="L102" s="401"/>
      <c r="M102" s="401"/>
      <c r="N102" s="401"/>
      <c r="O102" s="401"/>
      <c r="P102" s="401"/>
      <c r="Q102" s="401"/>
      <c r="R102" s="401"/>
      <c r="S102" s="401"/>
      <c r="T102" s="401"/>
      <c r="U102" s="401"/>
      <c r="V102" s="401"/>
    </row>
    <row r="103" spans="1:32" ht="4.5" customHeight="1" x14ac:dyDescent="0.2">
      <c r="A103" s="9"/>
      <c r="B103" s="126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32" ht="15" customHeight="1" x14ac:dyDescent="0.2">
      <c r="A104" s="9"/>
      <c r="B104" s="126" t="str">
        <f>IF( Konsolidovan_izvjestaj, Zaglavlje_Sjediste, "")</f>
        <v/>
      </c>
      <c r="D104" s="401"/>
      <c r="E104" s="401"/>
      <c r="F104" s="401"/>
      <c r="G104" s="401"/>
      <c r="H104" s="401"/>
      <c r="I104" s="401"/>
      <c r="J104" s="401"/>
      <c r="K104" s="401"/>
      <c r="L104" s="401"/>
      <c r="M104" s="401"/>
      <c r="N104" s="401"/>
      <c r="O104" s="401"/>
      <c r="P104" s="401"/>
      <c r="Q104" s="401"/>
      <c r="R104" s="401"/>
      <c r="S104" s="401"/>
      <c r="T104" s="401"/>
      <c r="U104" s="401"/>
      <c r="V104" s="401"/>
    </row>
    <row r="105" spans="1:32" ht="4.5" customHeight="1" x14ac:dyDescent="0.2">
      <c r="A105" s="9"/>
      <c r="B105" s="126"/>
    </row>
    <row r="106" spans="1:32" ht="15" customHeight="1" x14ac:dyDescent="0.2">
      <c r="A106" s="9"/>
      <c r="B106" s="126" t="str">
        <f>IF( Konsolidovan_izvjestaj, Zaglavlje_JIB, "")</f>
        <v/>
      </c>
      <c r="D106" s="124"/>
      <c r="E106" s="192"/>
      <c r="F106" s="193"/>
      <c r="G106" s="124"/>
      <c r="H106" s="192"/>
      <c r="I106" s="193"/>
      <c r="J106" s="124"/>
      <c r="K106" s="192"/>
      <c r="L106" s="193"/>
      <c r="M106" s="192"/>
      <c r="N106" s="193"/>
      <c r="O106" s="192"/>
      <c r="P106" s="193"/>
      <c r="Q106" s="60"/>
      <c r="R106" s="60"/>
      <c r="S106" s="60"/>
      <c r="T106" s="60"/>
      <c r="U106" s="60"/>
      <c r="V106" s="60"/>
    </row>
    <row r="107" spans="1:32" ht="4.5" customHeight="1" x14ac:dyDescent="0.2"/>
    <row r="108" spans="1:32" ht="15" customHeight="1" x14ac:dyDescent="0.25">
      <c r="B108" s="159" t="str">
        <f>IF( Konsolidovan_izvjestaj, Konsolidovani_Konsolidovani &amp; " 4:", "")</f>
        <v/>
      </c>
    </row>
    <row r="109" spans="1:32" ht="15" customHeight="1" x14ac:dyDescent="0.2">
      <c r="B109" s="126" t="str">
        <f>IF( Konsolidovan_izvjestaj, Zaglavlje_MB, "")</f>
        <v/>
      </c>
      <c r="D109" s="124"/>
      <c r="E109" s="124"/>
      <c r="F109" s="124"/>
      <c r="G109" s="124"/>
      <c r="H109" s="124"/>
      <c r="I109" s="124"/>
      <c r="J109" s="124"/>
      <c r="K109" s="124"/>
    </row>
    <row r="110" spans="1:32" ht="12.75" customHeight="1" x14ac:dyDescent="0.2">
      <c r="B110" s="119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</row>
    <row r="111" spans="1:32" ht="12.75" customHeight="1" x14ac:dyDescent="0.2">
      <c r="B111" s="396" t="str">
        <f>IF( Konsolidovan_izvjestaj, Zaglavlje_Naziv_preduzeca, "")</f>
        <v/>
      </c>
    </row>
    <row r="112" spans="1:32" ht="15" customHeight="1" x14ac:dyDescent="0.2">
      <c r="B112" s="396"/>
      <c r="D112" s="401"/>
      <c r="E112" s="401"/>
      <c r="F112" s="401"/>
      <c r="G112" s="401"/>
      <c r="H112" s="401"/>
      <c r="I112" s="401"/>
      <c r="J112" s="401"/>
      <c r="K112" s="401"/>
      <c r="L112" s="401"/>
      <c r="M112" s="401"/>
      <c r="N112" s="401"/>
      <c r="O112" s="401"/>
      <c r="P112" s="401"/>
      <c r="Q112" s="401"/>
      <c r="R112" s="401"/>
      <c r="S112" s="401"/>
      <c r="T112" s="401"/>
      <c r="U112" s="401"/>
      <c r="V112" s="401"/>
    </row>
    <row r="113" spans="2:32" ht="12.75" customHeight="1" x14ac:dyDescent="0.2">
      <c r="B113" s="126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AF113" s="130"/>
    </row>
    <row r="114" spans="2:32" ht="15" customHeight="1" x14ac:dyDescent="0.2">
      <c r="B114" s="126" t="str">
        <f>IF( Konsolidovan_izvjestaj, Zaglavlje_Sjediste, "")</f>
        <v/>
      </c>
      <c r="D114" s="401"/>
      <c r="E114" s="401"/>
      <c r="F114" s="401"/>
      <c r="G114" s="401"/>
      <c r="H114" s="401"/>
      <c r="I114" s="401"/>
      <c r="J114" s="401"/>
      <c r="K114" s="401"/>
      <c r="L114" s="401"/>
      <c r="M114" s="401"/>
      <c r="N114" s="401"/>
      <c r="O114" s="401"/>
      <c r="P114" s="401"/>
      <c r="Q114" s="401"/>
      <c r="R114" s="401"/>
      <c r="S114" s="401"/>
      <c r="T114" s="401"/>
      <c r="U114" s="401"/>
      <c r="V114" s="401"/>
    </row>
    <row r="115" spans="2:32" ht="12.75" customHeight="1" x14ac:dyDescent="0.2">
      <c r="B115" s="126"/>
    </row>
    <row r="116" spans="2:32" ht="15" customHeight="1" x14ac:dyDescent="0.2">
      <c r="B116" s="126" t="str">
        <f>IF( Konsolidovan_izvjestaj, Zaglavlje_JIB, "")</f>
        <v/>
      </c>
      <c r="D116" s="124"/>
      <c r="E116" s="192"/>
      <c r="F116" s="193"/>
      <c r="G116" s="124"/>
      <c r="H116" s="192"/>
      <c r="I116" s="193"/>
      <c r="J116" s="124"/>
      <c r="K116" s="192"/>
      <c r="L116" s="193"/>
      <c r="M116" s="192"/>
      <c r="N116" s="193"/>
      <c r="O116" s="192"/>
      <c r="P116" s="193"/>
      <c r="Q116" s="60"/>
      <c r="R116" s="60"/>
      <c r="S116" s="60"/>
      <c r="T116" s="60"/>
      <c r="U116" s="60"/>
      <c r="V116" s="60"/>
    </row>
    <row r="117" spans="2:32" ht="4.5" customHeight="1" x14ac:dyDescent="0.2"/>
    <row r="118" spans="2:32" ht="15" customHeight="1" x14ac:dyDescent="0.25">
      <c r="B118" s="159" t="str">
        <f>IF( Konsolidovan_izvjestaj, Konsolidovani_Konsolidovani &amp; " 5:", "")</f>
        <v/>
      </c>
    </row>
    <row r="119" spans="2:32" ht="15" customHeight="1" x14ac:dyDescent="0.2">
      <c r="B119" s="126" t="str">
        <f>IF( Konsolidovan_izvjestaj, Zaglavlje_MB, "")</f>
        <v/>
      </c>
      <c r="D119" s="124"/>
      <c r="E119" s="124"/>
      <c r="F119" s="124"/>
      <c r="G119" s="124"/>
      <c r="H119" s="124"/>
      <c r="I119" s="124"/>
      <c r="J119" s="124"/>
      <c r="K119" s="124"/>
    </row>
    <row r="120" spans="2:32" ht="12.75" customHeight="1" x14ac:dyDescent="0.2">
      <c r="B120" s="119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</row>
    <row r="121" spans="2:32" ht="12.75" customHeight="1" x14ac:dyDescent="0.2">
      <c r="B121" s="396" t="str">
        <f>IF( Konsolidovan_izvjestaj, Zaglavlje_Naziv_preduzeca, "")</f>
        <v/>
      </c>
    </row>
    <row r="122" spans="2:32" ht="15" customHeight="1" x14ac:dyDescent="0.2">
      <c r="B122" s="396"/>
      <c r="D122" s="401"/>
      <c r="E122" s="401"/>
      <c r="F122" s="401"/>
      <c r="G122" s="401"/>
      <c r="H122" s="401"/>
      <c r="I122" s="401"/>
      <c r="J122" s="401"/>
      <c r="K122" s="401"/>
      <c r="L122" s="401"/>
      <c r="M122" s="401"/>
      <c r="N122" s="401"/>
      <c r="O122" s="401"/>
      <c r="P122" s="401"/>
      <c r="Q122" s="401"/>
      <c r="R122" s="401"/>
      <c r="S122" s="401"/>
      <c r="T122" s="401"/>
      <c r="U122" s="401"/>
      <c r="V122" s="401"/>
    </row>
    <row r="123" spans="2:32" ht="12.75" customHeight="1" x14ac:dyDescent="0.2">
      <c r="B123" s="126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2:32" ht="15" customHeight="1" x14ac:dyDescent="0.2">
      <c r="B124" s="126" t="str">
        <f>IF( Konsolidovan_izvjestaj, Zaglavlje_Sjediste, "")</f>
        <v/>
      </c>
      <c r="D124" s="401"/>
      <c r="E124" s="401"/>
      <c r="F124" s="401"/>
      <c r="G124" s="401"/>
      <c r="H124" s="401"/>
      <c r="I124" s="401"/>
      <c r="J124" s="401"/>
      <c r="K124" s="401"/>
      <c r="L124" s="401"/>
      <c r="M124" s="401"/>
      <c r="N124" s="401"/>
      <c r="O124" s="401"/>
      <c r="P124" s="401"/>
      <c r="Q124" s="401"/>
      <c r="R124" s="401"/>
      <c r="S124" s="401"/>
      <c r="T124" s="401"/>
      <c r="U124" s="401"/>
      <c r="V124" s="401"/>
    </row>
    <row r="125" spans="2:32" ht="12.75" customHeight="1" x14ac:dyDescent="0.2">
      <c r="B125" s="126"/>
    </row>
    <row r="126" spans="2:32" ht="15" customHeight="1" x14ac:dyDescent="0.2">
      <c r="B126" s="126" t="str">
        <f>IF( Konsolidovan_izvjestaj, Zaglavlje_JIB, "")</f>
        <v/>
      </c>
      <c r="D126" s="124"/>
      <c r="E126" s="192"/>
      <c r="F126" s="193"/>
      <c r="G126" s="124"/>
      <c r="H126" s="192"/>
      <c r="I126" s="193"/>
      <c r="J126" s="124"/>
      <c r="K126" s="192"/>
      <c r="L126" s="193"/>
      <c r="M126" s="192"/>
      <c r="N126" s="193"/>
      <c r="O126" s="192"/>
      <c r="P126" s="193"/>
      <c r="Q126" s="60"/>
      <c r="R126" s="60"/>
      <c r="S126" s="60"/>
      <c r="T126" s="60"/>
      <c r="U126" s="60"/>
      <c r="V126" s="60"/>
    </row>
  </sheetData>
  <sheetProtection password="832E" sheet="1" objects="1" scenarios="1" selectLockedCells="1"/>
  <mergeCells count="36">
    <mergeCell ref="D82:V82"/>
    <mergeCell ref="D84:V84"/>
    <mergeCell ref="D92:V92"/>
    <mergeCell ref="D124:V124"/>
    <mergeCell ref="D94:V94"/>
    <mergeCell ref="D102:V102"/>
    <mergeCell ref="D104:V104"/>
    <mergeCell ref="D112:V112"/>
    <mergeCell ref="D114:V114"/>
    <mergeCell ref="D122:V122"/>
    <mergeCell ref="D49:V49"/>
    <mergeCell ref="D52:V52"/>
    <mergeCell ref="D56:V56"/>
    <mergeCell ref="D70:V70"/>
    <mergeCell ref="D72:V72"/>
    <mergeCell ref="B19:B20"/>
    <mergeCell ref="D20:V20"/>
    <mergeCell ref="B121:B122"/>
    <mergeCell ref="B111:B112"/>
    <mergeCell ref="B91:B92"/>
    <mergeCell ref="B101:B102"/>
    <mergeCell ref="B69:B70"/>
    <mergeCell ref="J43:L43"/>
    <mergeCell ref="B81:B82"/>
    <mergeCell ref="D43:E43"/>
    <mergeCell ref="G43:H43"/>
    <mergeCell ref="D54:V54"/>
    <mergeCell ref="D22:V22"/>
    <mergeCell ref="D40:V40"/>
    <mergeCell ref="D45:V45"/>
    <mergeCell ref="D47:V47"/>
    <mergeCell ref="D8:E8"/>
    <mergeCell ref="G8:H8"/>
    <mergeCell ref="D10:E10"/>
    <mergeCell ref="G10:H10"/>
    <mergeCell ref="J8:L10"/>
  </mergeCells>
  <conditionalFormatting sqref="E24:P24 E74:P74 E86:P86 E96:P96 E106:P106 E116:P116 E126:P126">
    <cfRule type="expression" dxfId="94" priority="65" stopIfTrue="1">
      <formula>$O$14 &gt; 0</formula>
    </cfRule>
  </conditionalFormatting>
  <conditionalFormatting sqref="D17:E17 D27:F27 D29:F29 D31:F31 D33:F33 D35:F35 D37:F37 D58:F58 D60:F60 D24:P24 L27:S27 H27:J27 L29:S29 H29:J29 L31:S31 H31:J31 L33:S33 H33:J33 L35:S35 H35:J35 L37:S37 H37:J37 H58:J58 H60:J60 D15:K15 L58:N58 L60:N60 D74:P74 D67:K67 D79:K79 D89:K89 D99:K99 D109:K109 D119:K119 D86:P86 D96:P96 D106:P106 D116:P116 D126:P126">
    <cfRule type="expression" dxfId="93" priority="50" stopIfTrue="1">
      <formula>$AC$3 &gt; 0</formula>
    </cfRule>
  </conditionalFormatting>
  <conditionalFormatting sqref="G17:I17">
    <cfRule type="expression" dxfId="92" priority="48" stopIfTrue="1">
      <formula>$AC$3 &gt; 0</formula>
    </cfRule>
  </conditionalFormatting>
  <conditionalFormatting sqref="U27:V27">
    <cfRule type="expression" dxfId="91" priority="47" stopIfTrue="1">
      <formula>$AC$3 &gt; 0</formula>
    </cfRule>
  </conditionalFormatting>
  <conditionalFormatting sqref="U29:V29">
    <cfRule type="expression" dxfId="90" priority="46" stopIfTrue="1">
      <formula>$AC$3 &gt; 0</formula>
    </cfRule>
  </conditionalFormatting>
  <conditionalFormatting sqref="U31:V31">
    <cfRule type="expression" dxfId="89" priority="45" stopIfTrue="1">
      <formula>$AC$3 &gt; 0</formula>
    </cfRule>
  </conditionalFormatting>
  <conditionalFormatting sqref="U33:V33">
    <cfRule type="expression" dxfId="88" priority="44" stopIfTrue="1">
      <formula>$AC$3 &gt; 0</formula>
    </cfRule>
  </conditionalFormatting>
  <conditionalFormatting sqref="U35:V35">
    <cfRule type="expression" dxfId="87" priority="43" stopIfTrue="1">
      <formula>$AC$3 &gt; 0</formula>
    </cfRule>
  </conditionalFormatting>
  <conditionalFormatting sqref="U37:V37">
    <cfRule type="expression" dxfId="86" priority="42" stopIfTrue="1">
      <formula>$AC$3 &gt; 0</formula>
    </cfRule>
  </conditionalFormatting>
  <dataValidations count="6">
    <dataValidation type="whole" allowBlank="1" showErrorMessage="1" errorTitle="Neispravan unos!" error="Unesite dan u mjesecu." sqref="D8:E8 D43:E43 D10:E10">
      <formula1>1</formula1>
      <formula2>31</formula2>
    </dataValidation>
    <dataValidation type="whole" allowBlank="1" showErrorMessage="1" errorTitle="Neispravan unos!" error="Unesite cijeli broj mjeseca od 0 do 12." sqref="G8:H8 G43:H43 G10:H10">
      <formula1>1</formula1>
      <formula2>12</formula2>
    </dataValidation>
    <dataValidation type="whole" allowBlank="1" showErrorMessage="1" errorTitle="Neispravan unos!" error="Unesite cijeli broj od 0 do 9." sqref="D17:E17 D27:F27 U27:V27 D29:F29 U29:V29 D31:F31 U31:V31 D33:F33 U33:V33 D35:F35 U35:V35 D37:F37 U37:V37 D58:F58 D60:F60 G17:H17 D126:P126 D116:P116 D106:P106 D96:P96 D86:P86 D119:K119 D109:K109 D99:K99 D89:K89 D79:K79 D67:K67 D74:P74 H60:J60 L58:N58 H58:J58 L37:S37 H37:J37 L35:S35 H35:J35 L33:S33 H33:J33 L31:S31 H31:J31 L29:S29 H29:J29 L27:S27 H27:J27 L60:N60 D15:K15 D24:P24">
      <formula1>0</formula1>
      <formula2>9</formula2>
    </dataValidation>
    <dataValidation type="whole" allowBlank="1" showInputMessage="1" showErrorMessage="1" errorTitle="Neispravan unos!" error="Unesite cijeli broj od 0 do 9." promptTitle="Šifra klasifikacije djelatnosti" prompt="Peta cifra klasifikacije djelatnosti se unosi za stare šifre djelatnosti._x000a__x000a_www.rzs.rs.ba" sqref="I17">
      <formula1>0</formula1>
      <formula2>9</formula2>
    </dataValidation>
    <dataValidation type="whole" operator="greaterThanOrEqual" showErrorMessage="1" errorTitle="Neispravan unos!" error="Unesite cijeli broj &gt;= 2016." sqref="J8:L10">
      <formula1>2016</formula1>
    </dataValidation>
    <dataValidation type="whole" operator="greaterThanOrEqual" showErrorMessage="1" errorTitle="Neispravan unos!" error="Unesite cijeli broj veći od 2010." sqref="J43:L43">
      <formula1>2015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8" fitToHeight="2" orientation="portrait" horizontalDpi="1200" verticalDpi="1200" r:id="rId1"/>
  <headerFooter>
    <oddFooter>&amp;RStrana &amp;P od &amp;N</oddFooter>
  </headerFooter>
  <rowBreaks count="1" manualBreakCount="1">
    <brk id="75" min="1" max="2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497" r:id="rId4" name="Jezik">
              <controlPr defaultSize="0" autoLine="0" autoPict="0">
                <anchor moveWithCells="1">
                  <from>
                    <xdr:col>2</xdr:col>
                    <xdr:colOff>66675</xdr:colOff>
                    <xdr:row>3</xdr:row>
                    <xdr:rowOff>152400</xdr:rowOff>
                  </from>
                  <to>
                    <xdr:col>9</xdr:col>
                    <xdr:colOff>133350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59" r:id="rId5" name="Check Box 9427">
              <controlPr defaultSize="0" autoFill="0" autoLine="0" autoPict="0">
                <anchor moveWithCells="1">
                  <from>
                    <xdr:col>2</xdr:col>
                    <xdr:colOff>171450</xdr:colOff>
                    <xdr:row>75</xdr:row>
                    <xdr:rowOff>0</xdr:rowOff>
                  </from>
                  <to>
                    <xdr:col>4</xdr:col>
                    <xdr:colOff>171450</xdr:colOff>
                    <xdr:row>76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9" r:id="rId6" name="Check Box 10509">
              <controlPr defaultSize="0" autoFill="0" autoLine="0" autoPict="0">
                <anchor moveWithCells="1">
                  <from>
                    <xdr:col>2</xdr:col>
                    <xdr:colOff>171450</xdr:colOff>
                    <xdr:row>61</xdr:row>
                    <xdr:rowOff>0</xdr:rowOff>
                  </from>
                  <to>
                    <xdr:col>4</xdr:col>
                    <xdr:colOff>171450</xdr:colOff>
                    <xdr:row>62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60" r:id="rId7" name="Drop Down 11520">
              <controlPr defaultSize="0" autoLine="0" autoPict="0">
                <anchor moveWithCells="1">
                  <from>
                    <xdr:col>3</xdr:col>
                    <xdr:colOff>0</xdr:colOff>
                    <xdr:row>62</xdr:row>
                    <xdr:rowOff>47625</xdr:rowOff>
                  </from>
                  <to>
                    <xdr:col>11</xdr:col>
                    <xdr:colOff>104775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86" r:id="rId8" name="Navigacija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0</xdr:row>
                    <xdr:rowOff>47625</xdr:rowOff>
                  </from>
                  <to>
                    <xdr:col>23</xdr:col>
                    <xdr:colOff>209550</xdr:colOff>
                    <xdr:row>3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01">
    <tabColor rgb="FFB2B2B2"/>
  </sheetPr>
  <dimension ref="A1:IU163"/>
  <sheetViews>
    <sheetView showGridLines="0" zoomScaleNormal="100" zoomScaleSheetLayoutView="100" workbookViewId="0">
      <pane ySplit="4" topLeftCell="A5" activePane="bottomLeft" state="frozen"/>
      <selection activeCell="D15" sqref="D15"/>
      <selection pane="bottomLeft" activeCell="L153" sqref="L153"/>
    </sheetView>
  </sheetViews>
  <sheetFormatPr defaultColWidth="0" defaultRowHeight="12.75" zeroHeight="1" x14ac:dyDescent="0.2"/>
  <cols>
    <col min="1" max="1" width="5.7109375" style="8" customWidth="1"/>
    <col min="2" max="2" width="5.7109375" style="8" hidden="1" customWidth="1"/>
    <col min="3" max="3" width="19.5703125" style="30" customWidth="1"/>
    <col min="4" max="8" width="18.5703125" style="16" customWidth="1"/>
    <col min="9" max="9" width="7.140625" style="31" customWidth="1"/>
    <col min="10" max="13" width="14.28515625" style="8" customWidth="1"/>
    <col min="14" max="14" width="5.7109375" style="8" customWidth="1"/>
    <col min="15" max="15" width="11.42578125" style="8" hidden="1" customWidth="1"/>
    <col min="16" max="255" width="0" style="8" hidden="1" customWidth="1"/>
    <col min="256" max="16384" width="4.7109375" style="8" hidden="1"/>
  </cols>
  <sheetData>
    <row r="1" spans="1:13" x14ac:dyDescent="0.2">
      <c r="C1" s="186"/>
      <c r="D1" s="187"/>
      <c r="E1" s="187"/>
      <c r="F1" s="187"/>
      <c r="G1" s="187"/>
      <c r="H1" s="187"/>
      <c r="I1" s="188"/>
      <c r="J1" s="20"/>
      <c r="K1" s="20"/>
      <c r="L1" s="20"/>
      <c r="M1" s="20"/>
    </row>
    <row r="2" spans="1:13" x14ac:dyDescent="0.2">
      <c r="C2" s="186"/>
      <c r="D2" s="187"/>
      <c r="E2" s="187"/>
      <c r="F2" s="187"/>
      <c r="G2" s="187"/>
      <c r="H2" s="187"/>
      <c r="I2" s="188"/>
      <c r="J2" s="20"/>
      <c r="K2" s="20"/>
      <c r="L2" s="20"/>
      <c r="M2" s="20"/>
    </row>
    <row r="3" spans="1:13" x14ac:dyDescent="0.2">
      <c r="C3" s="186"/>
      <c r="D3" s="187"/>
      <c r="E3" s="187"/>
      <c r="F3" s="187"/>
      <c r="G3" s="187"/>
      <c r="H3" s="187"/>
      <c r="I3" s="188"/>
      <c r="J3" s="20"/>
      <c r="K3" s="20"/>
      <c r="L3" s="20"/>
      <c r="M3" s="20"/>
    </row>
    <row r="4" spans="1:13" x14ac:dyDescent="0.2">
      <c r="C4" s="186"/>
      <c r="D4" s="187"/>
      <c r="E4" s="187"/>
      <c r="F4" s="187"/>
      <c r="G4" s="187"/>
      <c r="H4" s="187"/>
      <c r="I4" s="188"/>
      <c r="J4" s="20"/>
      <c r="K4" s="20"/>
      <c r="L4" s="20"/>
      <c r="M4" s="20"/>
    </row>
    <row r="5" spans="1:13" x14ac:dyDescent="0.2">
      <c r="A5" s="15"/>
      <c r="B5" s="15"/>
      <c r="C5" s="172" t="str">
        <f>Zaglavlje_MB</f>
        <v>Matični broj:</v>
      </c>
      <c r="D5" s="452" t="str">
        <f>Podatak_MB</f>
        <v>01494562</v>
      </c>
      <c r="E5" s="452"/>
      <c r="F5" s="173"/>
      <c r="G5" s="173"/>
      <c r="H5" s="173"/>
      <c r="I5" s="173"/>
      <c r="J5" s="173"/>
      <c r="K5" s="174" t="str">
        <f>Zaglavlje_Ziro_racun</f>
        <v>Poslovni računi:</v>
      </c>
      <c r="L5" s="450" t="str">
        <f>Podatak_Ziro_racun_1</f>
        <v>562-005-00003035-69</v>
      </c>
      <c r="M5" s="450"/>
    </row>
    <row r="6" spans="1:13" x14ac:dyDescent="0.2">
      <c r="A6" s="15"/>
      <c r="B6" s="15"/>
      <c r="C6" s="172" t="str">
        <f>Zaglavlje_Sifra_djelatnosti</f>
        <v>Šifra djelatnosti:</v>
      </c>
      <c r="D6" s="452" t="str">
        <f>Podatak_Sifra_djelatnosti</f>
        <v>49.10</v>
      </c>
      <c r="E6" s="452"/>
      <c r="F6" s="175"/>
      <c r="G6" s="173"/>
      <c r="H6" s="173"/>
      <c r="I6" s="173"/>
      <c r="J6" s="173"/>
      <c r="K6" s="173"/>
      <c r="L6" s="450" t="str">
        <f>Podatak_Ziro_racun_2</f>
        <v>551-004-00009770-60</v>
      </c>
      <c r="M6" s="450"/>
    </row>
    <row r="7" spans="1:13" x14ac:dyDescent="0.2">
      <c r="A7" s="18"/>
      <c r="B7" s="18"/>
      <c r="C7" s="443" t="str">
        <f>Zaglavlje_Naziv_preduzeca</f>
        <v>Naziv privrednog društva, zadruge, drugog pravnog lica ili preduzetnika:</v>
      </c>
      <c r="D7" s="443"/>
      <c r="E7" s="443"/>
      <c r="F7" s="176"/>
      <c r="G7" s="173"/>
      <c r="H7" s="173"/>
      <c r="I7" s="173"/>
      <c r="J7" s="173"/>
      <c r="K7" s="173"/>
      <c r="L7" s="450" t="str">
        <f>Podatak_Ziro_racun_3</f>
        <v>562-005-80858186-91</v>
      </c>
      <c r="M7" s="450"/>
    </row>
    <row r="8" spans="1:13" x14ac:dyDescent="0.2">
      <c r="A8" s="18"/>
      <c r="B8" s="18"/>
      <c r="C8" s="443"/>
      <c r="D8" s="443"/>
      <c r="E8" s="443"/>
      <c r="F8" s="176"/>
      <c r="G8" s="173"/>
      <c r="H8" s="173"/>
      <c r="I8" s="173"/>
      <c r="J8" s="173"/>
      <c r="K8" s="173"/>
      <c r="L8" s="450" t="str">
        <f>Podatak_Ziro_racun_4</f>
        <v/>
      </c>
      <c r="M8" s="450"/>
    </row>
    <row r="9" spans="1:13" x14ac:dyDescent="0.2">
      <c r="A9" s="15"/>
      <c r="B9" s="15"/>
      <c r="C9" s="456" t="str">
        <f>Podatak_Naziv_preduzeca</f>
        <v>Željeznice RS a.d. Doboj</v>
      </c>
      <c r="D9" s="456"/>
      <c r="E9" s="456"/>
      <c r="F9" s="456"/>
      <c r="G9" s="173"/>
      <c r="H9" s="173"/>
      <c r="I9" s="173"/>
      <c r="J9" s="173"/>
      <c r="K9" s="173"/>
      <c r="L9" s="450" t="str">
        <f>Podatak_Ziro_racun_5</f>
        <v/>
      </c>
      <c r="M9" s="450"/>
    </row>
    <row r="10" spans="1:13" x14ac:dyDescent="0.2">
      <c r="A10" s="15"/>
      <c r="B10" s="15"/>
      <c r="C10" s="172" t="str">
        <f>Zaglavlje_Sjediste</f>
        <v>Sjedište:</v>
      </c>
      <c r="D10" s="452" t="str">
        <f>Podatak_Sjediste</f>
        <v>Svetog Save 71</v>
      </c>
      <c r="E10" s="452"/>
      <c r="F10" s="172"/>
      <c r="G10" s="173"/>
      <c r="H10" s="173"/>
      <c r="I10" s="173"/>
      <c r="J10" s="173"/>
      <c r="K10" s="173"/>
      <c r="L10" s="450" t="str">
        <f>Podatak_Ziro_racun_6</f>
        <v/>
      </c>
      <c r="M10" s="450"/>
    </row>
    <row r="11" spans="1:13" x14ac:dyDescent="0.2">
      <c r="C11" s="172" t="str">
        <f>Zaglavlje_JIB</f>
        <v>JIB:</v>
      </c>
      <c r="D11" s="452" t="str">
        <f>Podatak_JIB</f>
        <v>4400025960001</v>
      </c>
      <c r="E11" s="452"/>
      <c r="F11" s="177"/>
      <c r="G11" s="177"/>
      <c r="H11" s="177"/>
      <c r="I11" s="178"/>
      <c r="J11" s="178"/>
      <c r="K11" s="177"/>
      <c r="L11" s="179"/>
      <c r="M11" s="179"/>
    </row>
    <row r="12" spans="1:13" ht="15.75" x14ac:dyDescent="0.2">
      <c r="C12" s="457" t="str">
        <f>IF( Id_Konsolidovani, Nazivi_bilansa_Konsolidovani_naziv &amp; LOWER( Nazivi_bilansa_BS), Nazivi_bilansa_BS)</f>
        <v>Bilans stanja</v>
      </c>
      <c r="D12" s="457"/>
      <c r="E12" s="457"/>
      <c r="F12" s="457"/>
      <c r="G12" s="457"/>
      <c r="H12" s="457"/>
      <c r="I12" s="457"/>
      <c r="J12" s="457"/>
      <c r="K12" s="457"/>
      <c r="L12" s="457"/>
      <c r="M12" s="457"/>
    </row>
    <row r="13" spans="1:13" x14ac:dyDescent="0.2">
      <c r="C13" s="454" t="str">
        <f>Nazivi_bilansa_BS1</f>
        <v>(Izvještaj o finansijskom položaju)</v>
      </c>
      <c r="D13" s="454"/>
      <c r="E13" s="454"/>
      <c r="F13" s="454"/>
      <c r="G13" s="454"/>
      <c r="H13" s="454"/>
      <c r="I13" s="454"/>
      <c r="J13" s="454"/>
      <c r="K13" s="454"/>
      <c r="L13" s="454"/>
      <c r="M13" s="454"/>
    </row>
    <row r="14" spans="1:13" x14ac:dyDescent="0.2">
      <c r="C14" s="454" t="str">
        <f>Datumi_Datum_BS</f>
        <v>na dan 30.06.2021. godine</v>
      </c>
      <c r="D14" s="454"/>
      <c r="E14" s="454"/>
      <c r="F14" s="454"/>
      <c r="G14" s="454"/>
      <c r="H14" s="454"/>
      <c r="I14" s="454"/>
      <c r="J14" s="454"/>
      <c r="K14" s="454"/>
      <c r="L14" s="454"/>
      <c r="M14" s="454"/>
    </row>
    <row r="15" spans="1:13" x14ac:dyDescent="0.2"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3" t="str">
        <f>Tabele_zaglavlje_Valuta</f>
        <v>- u konvertibilnim markama -</v>
      </c>
    </row>
    <row r="16" spans="1:13" x14ac:dyDescent="0.2">
      <c r="C16" s="405" t="str">
        <f>Tabele_zaglavlje_Grupa_racuna</f>
        <v>Grupa računa, račun</v>
      </c>
      <c r="D16" s="444" t="str">
        <f>Tabele_zaglavlje_Pozicija</f>
        <v>POZICIJA</v>
      </c>
      <c r="E16" s="445"/>
      <c r="F16" s="445"/>
      <c r="G16" s="445"/>
      <c r="H16" s="446"/>
      <c r="I16" s="407" t="str">
        <f>Tabele_zaglavlje_Oznaka_aop</f>
        <v>Oznaka za AOP</v>
      </c>
      <c r="J16" s="453" t="str">
        <f>Tabele_zaglavlje_BS_iznos_tekuca</f>
        <v>Iznos na dan bilansa tekuće godine</v>
      </c>
      <c r="K16" s="453"/>
      <c r="L16" s="453"/>
      <c r="M16" s="451" t="str">
        <f>Tabele_zaglavlje_BS_iznos_prethodna</f>
        <v>Iznos na dan bilansa prethodne godine (PS)</v>
      </c>
    </row>
    <row r="17" spans="2:15" ht="38.25" customHeight="1" x14ac:dyDescent="0.2">
      <c r="C17" s="406"/>
      <c r="D17" s="447"/>
      <c r="E17" s="448"/>
      <c r="F17" s="448"/>
      <c r="G17" s="448"/>
      <c r="H17" s="449"/>
      <c r="I17" s="408"/>
      <c r="J17" s="24" t="str">
        <f>Tabele_zaglavlje_BS_bruto</f>
        <v>Bruto</v>
      </c>
      <c r="K17" s="25" t="str">
        <f>Tabele_zaglavlje_BS_ispravka</f>
        <v>Ispravka vrijednosti</v>
      </c>
      <c r="L17" s="25" t="str">
        <f>Tabele_zaglavlje_BS_neto</f>
        <v>Neto (4-5)</v>
      </c>
      <c r="M17" s="432"/>
      <c r="O17" s="185" t="s">
        <v>824</v>
      </c>
    </row>
    <row r="18" spans="2:15" x14ac:dyDescent="0.2">
      <c r="B18" s="17" t="s">
        <v>408</v>
      </c>
      <c r="C18" s="26">
        <v>1</v>
      </c>
      <c r="D18" s="403">
        <v>2</v>
      </c>
      <c r="E18" s="419"/>
      <c r="F18" s="419"/>
      <c r="G18" s="419"/>
      <c r="H18" s="404"/>
      <c r="I18" s="27">
        <v>3</v>
      </c>
      <c r="J18" s="27">
        <v>4</v>
      </c>
      <c r="K18" s="27">
        <v>5</v>
      </c>
      <c r="L18" s="27">
        <v>6</v>
      </c>
      <c r="M18" s="28">
        <v>7</v>
      </c>
    </row>
    <row r="19" spans="2:15" x14ac:dyDescent="0.2">
      <c r="B19" s="17">
        <v>1</v>
      </c>
      <c r="C19" s="165">
        <f>VLOOKUP( $B19, T_Aop[], 5, 1)</f>
        <v>0</v>
      </c>
      <c r="D19" s="455" t="str">
        <f>VLOOKUP( $B19, T_Aop[], 6, 1)</f>
        <v>AKTIVA</v>
      </c>
      <c r="E19" s="455"/>
      <c r="F19" s="455"/>
      <c r="G19" s="455"/>
      <c r="H19" s="455"/>
      <c r="I19" s="244"/>
      <c r="J19" s="244"/>
      <c r="K19" s="244"/>
      <c r="L19" s="244"/>
      <c r="M19" s="245"/>
    </row>
    <row r="20" spans="2:15" x14ac:dyDescent="0.2">
      <c r="B20" s="17">
        <v>2</v>
      </c>
      <c r="C20" s="234">
        <f>VLOOKUP( $B20, T_Aop[], 5, 1)</f>
        <v>0</v>
      </c>
      <c r="D20" s="428" t="str">
        <f>VLOOKUP( $B20, T_Aop[], 6, 1)</f>
        <v xml:space="preserve">  A. STALNA SREDSTVA (002 + 008 + 015 + 021 + 030)</v>
      </c>
      <c r="E20" s="429"/>
      <c r="F20" s="429"/>
      <c r="G20" s="429"/>
      <c r="H20" s="430"/>
      <c r="I20" s="235">
        <f>VLOOKUP( $B20, T_Aop[], 4, 1)</f>
        <v>1</v>
      </c>
      <c r="J20" s="32">
        <f>SUBTOTAL( 9, J21:J49)</f>
        <v>1972811720</v>
      </c>
      <c r="K20" s="32">
        <f>SUBTOTAL( 9, K21:K49)</f>
        <v>1552617823</v>
      </c>
      <c r="L20" s="33">
        <f>SUM(J20,-K20)</f>
        <v>420193897</v>
      </c>
      <c r="M20" s="34">
        <f>SUBTOTAL( 9, M21:M49)</f>
        <v>423688779</v>
      </c>
      <c r="O20" s="60"/>
    </row>
    <row r="21" spans="2:15" x14ac:dyDescent="0.2">
      <c r="B21" s="17">
        <v>3</v>
      </c>
      <c r="C21" s="236" t="str">
        <f>VLOOKUP( $B21, T_Aop[], 5, 1)</f>
        <v>01</v>
      </c>
      <c r="D21" s="420" t="str">
        <f>VLOOKUP( $B21, T_Aop[], 6, 1)</f>
        <v xml:space="preserve">    I - NEMATERIJALNA SREDSTVA (003 do 007)</v>
      </c>
      <c r="E21" s="421"/>
      <c r="F21" s="421"/>
      <c r="G21" s="421"/>
      <c r="H21" s="422"/>
      <c r="I21" s="237">
        <f>VLOOKUP( $B21, T_Aop[], 4, 1)</f>
        <v>2</v>
      </c>
      <c r="J21" s="35">
        <f>SUBTOTAL(9,J22:J26)</f>
        <v>224412</v>
      </c>
      <c r="K21" s="35">
        <f>SUBTOTAL(9,K22:K26)</f>
        <v>222591</v>
      </c>
      <c r="L21" s="36">
        <f t="shared" ref="L21:L84" si="0">SUM(J21,-K21)</f>
        <v>1821</v>
      </c>
      <c r="M21" s="37">
        <f>SUBTOTAL(9,M22:M26)</f>
        <v>2428</v>
      </c>
      <c r="O21" s="60"/>
    </row>
    <row r="22" spans="2:15" x14ac:dyDescent="0.2">
      <c r="B22" s="17">
        <v>4</v>
      </c>
      <c r="C22" s="168" t="str">
        <f>VLOOKUP( $B22, T_Aop[], 5, 1)</f>
        <v>010, dio 019</v>
      </c>
      <c r="D22" s="410" t="str">
        <f>VLOOKUP( $B22, T_Aop[], 6, 1)</f>
        <v xml:space="preserve">      1. Ulaganja u razvoj</v>
      </c>
      <c r="E22" s="411"/>
      <c r="F22" s="411"/>
      <c r="G22" s="411"/>
      <c r="H22" s="412"/>
      <c r="I22" s="169">
        <f>VLOOKUP( $B22, T_Aop[], 4, 1)</f>
        <v>3</v>
      </c>
      <c r="J22" s="215"/>
      <c r="K22" s="215"/>
      <c r="L22" s="201">
        <f t="shared" si="0"/>
        <v>0</v>
      </c>
      <c r="M22" s="323"/>
      <c r="O22" s="60"/>
    </row>
    <row r="23" spans="2:15" x14ac:dyDescent="0.2">
      <c r="B23" s="17">
        <v>5</v>
      </c>
      <c r="C23" s="166" t="str">
        <f>VLOOKUP( $B23, T_Aop[], 5, 1)</f>
        <v>011, dio 019</v>
      </c>
      <c r="D23" s="413" t="str">
        <f>VLOOKUP( $B23, T_Aop[], 6, 1)</f>
        <v xml:space="preserve">      2. Koncesije, patenti, licence i ostala prava</v>
      </c>
      <c r="E23" s="414"/>
      <c r="F23" s="414"/>
      <c r="G23" s="414"/>
      <c r="H23" s="415"/>
      <c r="I23" s="167">
        <f>VLOOKUP( $B23, T_Aop[], 4, 1)</f>
        <v>4</v>
      </c>
      <c r="J23" s="217"/>
      <c r="K23" s="217"/>
      <c r="L23" s="202">
        <f t="shared" si="0"/>
        <v>0</v>
      </c>
      <c r="M23" s="324"/>
      <c r="O23" s="60"/>
    </row>
    <row r="24" spans="2:15" x14ac:dyDescent="0.2">
      <c r="B24" s="17">
        <v>6</v>
      </c>
      <c r="C24" s="168" t="str">
        <f>VLOOKUP( $B24, T_Aop[], 5, 1)</f>
        <v>012, dio 019</v>
      </c>
      <c r="D24" s="410" t="str">
        <f>VLOOKUP( $B24, T_Aop[], 6, 1)</f>
        <v xml:space="preserve">      3. Goodwill</v>
      </c>
      <c r="E24" s="411"/>
      <c r="F24" s="411"/>
      <c r="G24" s="411"/>
      <c r="H24" s="412"/>
      <c r="I24" s="169">
        <f>VLOOKUP( $B24, T_Aop[], 4, 1)</f>
        <v>5</v>
      </c>
      <c r="J24" s="215"/>
      <c r="K24" s="215"/>
      <c r="L24" s="203">
        <f t="shared" si="0"/>
        <v>0</v>
      </c>
      <c r="M24" s="323"/>
      <c r="O24" s="60"/>
    </row>
    <row r="25" spans="2:15" x14ac:dyDescent="0.2">
      <c r="B25" s="17">
        <v>7</v>
      </c>
      <c r="C25" s="166" t="str">
        <f>VLOOKUP( $B25, T_Aop[], 5, 1)</f>
        <v>014, dio 019</v>
      </c>
      <c r="D25" s="413" t="str">
        <f>VLOOKUP( $B25, T_Aop[], 6, 1)</f>
        <v xml:space="preserve">      4. Ostala nematerijalna sredstva</v>
      </c>
      <c r="E25" s="414"/>
      <c r="F25" s="414"/>
      <c r="G25" s="414"/>
      <c r="H25" s="415"/>
      <c r="I25" s="167">
        <f>VLOOKUP( $B25, T_Aop[], 4, 1)</f>
        <v>6</v>
      </c>
      <c r="J25" s="217">
        <v>224412</v>
      </c>
      <c r="K25" s="217">
        <v>222591</v>
      </c>
      <c r="L25" s="202">
        <f t="shared" si="0"/>
        <v>1821</v>
      </c>
      <c r="M25" s="324">
        <v>2428</v>
      </c>
      <c r="O25" s="60"/>
    </row>
    <row r="26" spans="2:15" x14ac:dyDescent="0.2">
      <c r="B26" s="17">
        <v>8</v>
      </c>
      <c r="C26" s="168" t="str">
        <f>VLOOKUP( $B26, T_Aop[], 5, 1)</f>
        <v>015, 016, dio 019</v>
      </c>
      <c r="D26" s="410" t="str">
        <f>VLOOKUP( $B26, T_Aop[], 6, 1)</f>
        <v xml:space="preserve">      5. Avansi i nematerijalna sredstva u pripremi</v>
      </c>
      <c r="E26" s="411"/>
      <c r="F26" s="411"/>
      <c r="G26" s="411"/>
      <c r="H26" s="412"/>
      <c r="I26" s="169">
        <f>VLOOKUP( $B26, T_Aop[], 4, 1)</f>
        <v>7</v>
      </c>
      <c r="J26" s="215"/>
      <c r="K26" s="215"/>
      <c r="L26" s="203">
        <f t="shared" si="0"/>
        <v>0</v>
      </c>
      <c r="M26" s="323"/>
      <c r="O26" s="60"/>
    </row>
    <row r="27" spans="2:15" x14ac:dyDescent="0.2">
      <c r="B27" s="17">
        <v>9</v>
      </c>
      <c r="C27" s="236" t="str">
        <f>VLOOKUP( $B27, T_Aop[], 5, 1)</f>
        <v>02</v>
      </c>
      <c r="D27" s="420" t="str">
        <f>VLOOKUP( $B27, T_Aop[], 6, 1)</f>
        <v xml:space="preserve">    II - NEKRETNINE, POSTROJENJA, OPREMA I INVESTICIONE NEKRETNINE (009 do 014)</v>
      </c>
      <c r="E27" s="421"/>
      <c r="F27" s="421"/>
      <c r="G27" s="421"/>
      <c r="H27" s="422"/>
      <c r="I27" s="237">
        <f>VLOOKUP( $B27, T_Aop[], 4, 1)</f>
        <v>8</v>
      </c>
      <c r="J27" s="35">
        <f>SUBTOTAL(9,J28:J33)</f>
        <v>1972540919</v>
      </c>
      <c r="K27" s="35">
        <f>SUBTOTAL(9,K28:K33)</f>
        <v>1552395232</v>
      </c>
      <c r="L27" s="35">
        <f t="shared" si="0"/>
        <v>420145687</v>
      </c>
      <c r="M27" s="37">
        <f>SUBTOTAL(9,M28:M33)</f>
        <v>423639962</v>
      </c>
      <c r="O27" s="60"/>
    </row>
    <row r="28" spans="2:15" x14ac:dyDescent="0.2">
      <c r="B28" s="17">
        <v>10</v>
      </c>
      <c r="C28" s="168" t="str">
        <f>VLOOKUP( $B28, T_Aop[], 5, 1)</f>
        <v>020, dio 029</v>
      </c>
      <c r="D28" s="410" t="str">
        <f>VLOOKUP( $B28, T_Aop[], 6, 1)</f>
        <v xml:space="preserve">      1. Zemljište</v>
      </c>
      <c r="E28" s="411"/>
      <c r="F28" s="411"/>
      <c r="G28" s="411"/>
      <c r="H28" s="412"/>
      <c r="I28" s="169">
        <f>VLOOKUP( $B28, T_Aop[], 4, 1)</f>
        <v>9</v>
      </c>
      <c r="J28" s="215">
        <v>91872475</v>
      </c>
      <c r="K28" s="215"/>
      <c r="L28" s="203">
        <f t="shared" si="0"/>
        <v>91872475</v>
      </c>
      <c r="M28" s="323">
        <v>91872475</v>
      </c>
      <c r="O28" s="60"/>
    </row>
    <row r="29" spans="2:15" x14ac:dyDescent="0.2">
      <c r="B29" s="17">
        <v>11</v>
      </c>
      <c r="C29" s="166" t="str">
        <f>VLOOKUP( $B29, T_Aop[], 5, 1)</f>
        <v>021, dio 029</v>
      </c>
      <c r="D29" s="413" t="str">
        <f>VLOOKUP( $B29, T_Aop[], 6, 1)</f>
        <v xml:space="preserve">      2. Građevinski objekti</v>
      </c>
      <c r="E29" s="414"/>
      <c r="F29" s="414"/>
      <c r="G29" s="414"/>
      <c r="H29" s="415"/>
      <c r="I29" s="167">
        <f>VLOOKUP( $B29, T_Aop[], 4, 1)</f>
        <v>10</v>
      </c>
      <c r="J29" s="217">
        <v>1017873178</v>
      </c>
      <c r="K29" s="217">
        <v>782681422</v>
      </c>
      <c r="L29" s="202">
        <f t="shared" si="0"/>
        <v>235191756</v>
      </c>
      <c r="M29" s="324">
        <v>237915912</v>
      </c>
      <c r="O29" s="60"/>
    </row>
    <row r="30" spans="2:15" x14ac:dyDescent="0.2">
      <c r="B30" s="17">
        <v>12</v>
      </c>
      <c r="C30" s="168" t="str">
        <f>VLOOKUP( $B30, T_Aop[], 5, 1)</f>
        <v>022, dio 029</v>
      </c>
      <c r="D30" s="410" t="str">
        <f>VLOOKUP( $B30, T_Aop[], 6, 1)</f>
        <v xml:space="preserve">      3. Postrojenja i oprema</v>
      </c>
      <c r="E30" s="411"/>
      <c r="F30" s="411"/>
      <c r="G30" s="411"/>
      <c r="H30" s="412"/>
      <c r="I30" s="169">
        <f>VLOOKUP( $B30, T_Aop[], 4, 1)</f>
        <v>11</v>
      </c>
      <c r="J30" s="215">
        <v>854384373</v>
      </c>
      <c r="K30" s="215">
        <v>769122239</v>
      </c>
      <c r="L30" s="203">
        <f t="shared" si="0"/>
        <v>85262134</v>
      </c>
      <c r="M30" s="323">
        <v>86685035</v>
      </c>
      <c r="O30" s="60"/>
    </row>
    <row r="31" spans="2:15" x14ac:dyDescent="0.2">
      <c r="B31" s="17">
        <v>13</v>
      </c>
      <c r="C31" s="166" t="str">
        <f>VLOOKUP( $B31, T_Aop[], 5, 1)</f>
        <v>023, dio 029</v>
      </c>
      <c r="D31" s="413" t="str">
        <f>VLOOKUP( $B31, T_Aop[], 6, 1)</f>
        <v xml:space="preserve">      4. Investicione nekretnine</v>
      </c>
      <c r="E31" s="414"/>
      <c r="F31" s="414"/>
      <c r="G31" s="414"/>
      <c r="H31" s="415"/>
      <c r="I31" s="167">
        <f>VLOOKUP( $B31, T_Aop[], 4, 1)</f>
        <v>12</v>
      </c>
      <c r="J31" s="217">
        <v>1268839</v>
      </c>
      <c r="K31" s="217">
        <v>65316</v>
      </c>
      <c r="L31" s="202">
        <f t="shared" si="0"/>
        <v>1203523</v>
      </c>
      <c r="M31" s="324">
        <v>1207521</v>
      </c>
      <c r="O31" s="60"/>
    </row>
    <row r="32" spans="2:15" x14ac:dyDescent="0.2">
      <c r="B32" s="17">
        <v>14</v>
      </c>
      <c r="C32" s="168" t="str">
        <f>VLOOKUP( $B32, T_Aop[], 5, 1)</f>
        <v>024, dio 029</v>
      </c>
      <c r="D32" s="410" t="str">
        <f>VLOOKUP( $B32, T_Aop[], 6, 1)</f>
        <v xml:space="preserve">      5. Ulaganje na tuđim nekretninama, postrojenjima i opremi</v>
      </c>
      <c r="E32" s="411"/>
      <c r="F32" s="411"/>
      <c r="G32" s="411"/>
      <c r="H32" s="412"/>
      <c r="I32" s="169">
        <f>VLOOKUP( $B32, T_Aop[], 4, 1)</f>
        <v>13</v>
      </c>
      <c r="J32" s="215"/>
      <c r="K32" s="215"/>
      <c r="L32" s="203">
        <f t="shared" si="0"/>
        <v>0</v>
      </c>
      <c r="M32" s="323"/>
      <c r="O32" s="60"/>
    </row>
    <row r="33" spans="2:15" x14ac:dyDescent="0.2">
      <c r="B33" s="17">
        <v>15</v>
      </c>
      <c r="C33" s="166" t="str">
        <f>VLOOKUP( $B33, T_Aop[], 5, 1)</f>
        <v>027, 028, dio 029</v>
      </c>
      <c r="D33" s="413" t="str">
        <f>VLOOKUP( $B33, T_Aop[], 6, 1)</f>
        <v xml:space="preserve">      6. Avansi i nekretnine, postrojenja, oprema i investicione nekretnine u pripremi</v>
      </c>
      <c r="E33" s="414"/>
      <c r="F33" s="414"/>
      <c r="G33" s="414"/>
      <c r="H33" s="415"/>
      <c r="I33" s="167">
        <f>VLOOKUP( $B33, T_Aop[], 4, 1)</f>
        <v>14</v>
      </c>
      <c r="J33" s="217">
        <v>7142054</v>
      </c>
      <c r="K33" s="217">
        <v>526255</v>
      </c>
      <c r="L33" s="202">
        <f t="shared" si="0"/>
        <v>6615799</v>
      </c>
      <c r="M33" s="324">
        <v>5959019</v>
      </c>
      <c r="O33" s="60"/>
    </row>
    <row r="34" spans="2:15" x14ac:dyDescent="0.2">
      <c r="B34" s="17">
        <v>16</v>
      </c>
      <c r="C34" s="238" t="str">
        <f>VLOOKUP( $B34, T_Aop[], 5, 1)</f>
        <v>03</v>
      </c>
      <c r="D34" s="416" t="str">
        <f>VLOOKUP( $B34, T_Aop[], 6, 1)</f>
        <v xml:space="preserve">    III - BIOLOŠKA SREDSTVA I SREDSTVA KULTURE (016 do 020)</v>
      </c>
      <c r="E34" s="417"/>
      <c r="F34" s="417"/>
      <c r="G34" s="417"/>
      <c r="H34" s="418"/>
      <c r="I34" s="239">
        <f>VLOOKUP( $B34, T_Aop[], 4, 1)</f>
        <v>15</v>
      </c>
      <c r="J34" s="33">
        <f>SUBTOTAL(9,J35:J39)</f>
        <v>46389</v>
      </c>
      <c r="K34" s="33">
        <f>SUBTOTAL(9,K35:K39)</f>
        <v>0</v>
      </c>
      <c r="L34" s="33">
        <f t="shared" si="0"/>
        <v>46389</v>
      </c>
      <c r="M34" s="38">
        <f>SUBTOTAL(9,M35:M39)</f>
        <v>46389</v>
      </c>
      <c r="O34" s="60"/>
    </row>
    <row r="35" spans="2:15" x14ac:dyDescent="0.2">
      <c r="B35" s="17">
        <v>17</v>
      </c>
      <c r="C35" s="166" t="str">
        <f>VLOOKUP( $B35, T_Aop[], 5, 1)</f>
        <v>030, dio 039</v>
      </c>
      <c r="D35" s="413" t="str">
        <f>VLOOKUP( $B35, T_Aop[], 6, 1)</f>
        <v xml:space="preserve">      1. Šume</v>
      </c>
      <c r="E35" s="414"/>
      <c r="F35" s="414"/>
      <c r="G35" s="414"/>
      <c r="H35" s="415"/>
      <c r="I35" s="167">
        <f>VLOOKUP( $B35, T_Aop[], 4, 1)</f>
        <v>16</v>
      </c>
      <c r="J35" s="217"/>
      <c r="K35" s="217"/>
      <c r="L35" s="202">
        <f t="shared" si="0"/>
        <v>0</v>
      </c>
      <c r="M35" s="324"/>
      <c r="O35" s="60"/>
    </row>
    <row r="36" spans="2:15" x14ac:dyDescent="0.2">
      <c r="B36" s="17">
        <v>18</v>
      </c>
      <c r="C36" s="168" t="str">
        <f>VLOOKUP( $B36, T_Aop[], 5, 1)</f>
        <v>031, dio 039</v>
      </c>
      <c r="D36" s="410" t="str">
        <f>VLOOKUP( $B36, T_Aop[], 6, 1)</f>
        <v xml:space="preserve">      2. Višegodišnji zasadi</v>
      </c>
      <c r="E36" s="411"/>
      <c r="F36" s="411"/>
      <c r="G36" s="411"/>
      <c r="H36" s="412"/>
      <c r="I36" s="169">
        <f>VLOOKUP( $B36, T_Aop[], 4, 1)</f>
        <v>17</v>
      </c>
      <c r="J36" s="215"/>
      <c r="K36" s="215"/>
      <c r="L36" s="203">
        <f t="shared" si="0"/>
        <v>0</v>
      </c>
      <c r="M36" s="323"/>
      <c r="O36" s="60"/>
    </row>
    <row r="37" spans="2:15" x14ac:dyDescent="0.2">
      <c r="B37" s="17">
        <v>19</v>
      </c>
      <c r="C37" s="166" t="str">
        <f>VLOOKUP( $B37, T_Aop[], 5, 1)</f>
        <v>032, dio 039</v>
      </c>
      <c r="D37" s="413" t="str">
        <f>VLOOKUP( $B37, T_Aop[], 6, 1)</f>
        <v xml:space="preserve">      3. Osnovno stado</v>
      </c>
      <c r="E37" s="414"/>
      <c r="F37" s="414"/>
      <c r="G37" s="414"/>
      <c r="H37" s="415"/>
      <c r="I37" s="167">
        <f>VLOOKUP( $B37, T_Aop[], 4, 1)</f>
        <v>18</v>
      </c>
      <c r="J37" s="217"/>
      <c r="K37" s="217"/>
      <c r="L37" s="202">
        <f t="shared" si="0"/>
        <v>0</v>
      </c>
      <c r="M37" s="324"/>
      <c r="O37" s="60"/>
    </row>
    <row r="38" spans="2:15" x14ac:dyDescent="0.2">
      <c r="B38" s="17">
        <v>20</v>
      </c>
      <c r="C38" s="168" t="str">
        <f>VLOOKUP( $B38, T_Aop[], 5, 1)</f>
        <v>033, dio 039</v>
      </c>
      <c r="D38" s="410" t="str">
        <f>VLOOKUP( $B38, T_Aop[], 6, 1)</f>
        <v xml:space="preserve">      4. Sredstva kulture</v>
      </c>
      <c r="E38" s="411"/>
      <c r="F38" s="411"/>
      <c r="G38" s="411"/>
      <c r="H38" s="412"/>
      <c r="I38" s="169">
        <f>VLOOKUP( $B38, T_Aop[], 4, 1)</f>
        <v>19</v>
      </c>
      <c r="J38" s="215">
        <v>46389</v>
      </c>
      <c r="K38" s="215"/>
      <c r="L38" s="203">
        <f t="shared" si="0"/>
        <v>46389</v>
      </c>
      <c r="M38" s="323">
        <v>46389</v>
      </c>
      <c r="O38" s="60"/>
    </row>
    <row r="39" spans="2:15" x14ac:dyDescent="0.2">
      <c r="B39" s="17">
        <v>21</v>
      </c>
      <c r="C39" s="166" t="str">
        <f>VLOOKUP( $B39, T_Aop[], 5, 1)</f>
        <v>037, 038, dio 039</v>
      </c>
      <c r="D39" s="413" t="str">
        <f>VLOOKUP( $B39, T_Aop[], 6, 1)</f>
        <v xml:space="preserve">      5. Avansi i biološka sredstva i sredstva kulture u pripremi</v>
      </c>
      <c r="E39" s="414"/>
      <c r="F39" s="414"/>
      <c r="G39" s="414"/>
      <c r="H39" s="415"/>
      <c r="I39" s="167">
        <f>VLOOKUP( $B39, T_Aop[], 4, 1)</f>
        <v>20</v>
      </c>
      <c r="J39" s="217"/>
      <c r="K39" s="217"/>
      <c r="L39" s="202">
        <f t="shared" si="0"/>
        <v>0</v>
      </c>
      <c r="M39" s="324"/>
      <c r="O39" s="60"/>
    </row>
    <row r="40" spans="2:15" x14ac:dyDescent="0.2">
      <c r="B40" s="17">
        <v>22</v>
      </c>
      <c r="C40" s="238" t="str">
        <f>VLOOKUP( $B40, T_Aop[], 5, 1)</f>
        <v>04</v>
      </c>
      <c r="D40" s="416" t="str">
        <f>VLOOKUP( $B40, T_Aop[], 6, 1)</f>
        <v xml:space="preserve">    IV - DUGOROČNI FINANSIJSKI PLASMANI (022 do 029)</v>
      </c>
      <c r="E40" s="417"/>
      <c r="F40" s="417"/>
      <c r="G40" s="417"/>
      <c r="H40" s="418"/>
      <c r="I40" s="239">
        <f>VLOOKUP( $B40, T_Aop[], 4, 1)</f>
        <v>21</v>
      </c>
      <c r="J40" s="33">
        <f>SUBTOTAL(9,J41:J48)</f>
        <v>0</v>
      </c>
      <c r="K40" s="33">
        <f>SUBTOTAL(9,K41:K48)</f>
        <v>0</v>
      </c>
      <c r="L40" s="33">
        <f t="shared" si="0"/>
        <v>0</v>
      </c>
      <c r="M40" s="38">
        <f>SUBTOTAL(9,M41:M48)</f>
        <v>0</v>
      </c>
      <c r="O40" s="60"/>
    </row>
    <row r="41" spans="2:15" x14ac:dyDescent="0.2">
      <c r="B41" s="17">
        <v>23</v>
      </c>
      <c r="C41" s="166" t="str">
        <f>VLOOKUP( $B41, T_Aop[], 5, 1)</f>
        <v>040, dio 049</v>
      </c>
      <c r="D41" s="413" t="str">
        <f>VLOOKUP( $B41, T_Aop[], 6, 1)</f>
        <v xml:space="preserve">      1. Učešće u kapitalu zavisnih pravnih lica</v>
      </c>
      <c r="E41" s="414"/>
      <c r="F41" s="414"/>
      <c r="G41" s="414"/>
      <c r="H41" s="415"/>
      <c r="I41" s="167">
        <f>VLOOKUP( $B41, T_Aop[], 4, 1)</f>
        <v>22</v>
      </c>
      <c r="J41" s="217"/>
      <c r="K41" s="217"/>
      <c r="L41" s="202">
        <f t="shared" si="0"/>
        <v>0</v>
      </c>
      <c r="M41" s="324"/>
      <c r="O41" s="60"/>
    </row>
    <row r="42" spans="2:15" x14ac:dyDescent="0.2">
      <c r="B42" s="17">
        <v>24</v>
      </c>
      <c r="C42" s="168" t="str">
        <f>VLOOKUP( $B42, T_Aop[], 5, 1)</f>
        <v>041, dio 049</v>
      </c>
      <c r="D42" s="410" t="str">
        <f>VLOOKUP( $B42, T_Aop[], 6, 1)</f>
        <v xml:space="preserve">      2. Učešće u kapitalu drugih pravnih lica</v>
      </c>
      <c r="E42" s="411"/>
      <c r="F42" s="411"/>
      <c r="G42" s="411"/>
      <c r="H42" s="412"/>
      <c r="I42" s="169">
        <f>VLOOKUP( $B42, T_Aop[], 4, 1)</f>
        <v>23</v>
      </c>
      <c r="J42" s="215"/>
      <c r="K42" s="215"/>
      <c r="L42" s="203">
        <f t="shared" si="0"/>
        <v>0</v>
      </c>
      <c r="M42" s="323"/>
      <c r="O42" s="60"/>
    </row>
    <row r="43" spans="2:15" x14ac:dyDescent="0.2">
      <c r="B43" s="17">
        <v>25</v>
      </c>
      <c r="C43" s="166" t="str">
        <f>VLOOKUP( $B43, T_Aop[], 5, 1)</f>
        <v>042, dio 049</v>
      </c>
      <c r="D43" s="413" t="str">
        <f>VLOOKUP( $B43, T_Aop[], 6, 1)</f>
        <v xml:space="preserve">      3. Dugoročni krediti povezanim pravnim licima</v>
      </c>
      <c r="E43" s="414"/>
      <c r="F43" s="414"/>
      <c r="G43" s="414"/>
      <c r="H43" s="415"/>
      <c r="I43" s="167">
        <f>VLOOKUP( $B43, T_Aop[], 4, 1)</f>
        <v>24</v>
      </c>
      <c r="J43" s="217"/>
      <c r="K43" s="217"/>
      <c r="L43" s="202">
        <f t="shared" si="0"/>
        <v>0</v>
      </c>
      <c r="M43" s="324"/>
      <c r="O43" s="60"/>
    </row>
    <row r="44" spans="2:15" x14ac:dyDescent="0.2">
      <c r="B44" s="17">
        <v>26</v>
      </c>
      <c r="C44" s="168" t="str">
        <f>VLOOKUP( $B44, T_Aop[], 5, 1)</f>
        <v>043, dio 049</v>
      </c>
      <c r="D44" s="410" t="str">
        <f>VLOOKUP( $B44, T_Aop[], 6, 1)</f>
        <v xml:space="preserve">      4. Dugoročni krediti u zemlji</v>
      </c>
      <c r="E44" s="411"/>
      <c r="F44" s="411"/>
      <c r="G44" s="411"/>
      <c r="H44" s="412"/>
      <c r="I44" s="169">
        <f>VLOOKUP( $B44, T_Aop[], 4, 1)</f>
        <v>25</v>
      </c>
      <c r="J44" s="215"/>
      <c r="K44" s="215"/>
      <c r="L44" s="203">
        <f t="shared" si="0"/>
        <v>0</v>
      </c>
      <c r="M44" s="323"/>
      <c r="O44" s="60"/>
    </row>
    <row r="45" spans="2:15" x14ac:dyDescent="0.2">
      <c r="B45" s="17">
        <v>27</v>
      </c>
      <c r="C45" s="166" t="str">
        <f>VLOOKUP( $B45, T_Aop[], 5, 1)</f>
        <v>044, dio 049</v>
      </c>
      <c r="D45" s="413" t="str">
        <f>VLOOKUP( $B45, T_Aop[], 6, 1)</f>
        <v xml:space="preserve">      5. Dugoročni krediti u inostranstvu</v>
      </c>
      <c r="E45" s="414"/>
      <c r="F45" s="414"/>
      <c r="G45" s="414"/>
      <c r="H45" s="415"/>
      <c r="I45" s="167">
        <f>VLOOKUP( $B45, T_Aop[], 4, 1)</f>
        <v>26</v>
      </c>
      <c r="J45" s="217"/>
      <c r="K45" s="217"/>
      <c r="L45" s="202">
        <f t="shared" si="0"/>
        <v>0</v>
      </c>
      <c r="M45" s="324"/>
      <c r="O45" s="60"/>
    </row>
    <row r="46" spans="2:15" x14ac:dyDescent="0.2">
      <c r="B46" s="17">
        <v>28</v>
      </c>
      <c r="C46" s="168" t="str">
        <f>VLOOKUP( $B46, T_Aop[], 5, 1)</f>
        <v>045, dio 049</v>
      </c>
      <c r="D46" s="410" t="str">
        <f>VLOOKUP( $B46, T_Aop[], 6, 1)</f>
        <v xml:space="preserve">      6. Finansijska sredstva raspoloživa za prodaju</v>
      </c>
      <c r="E46" s="411"/>
      <c r="F46" s="411"/>
      <c r="G46" s="411"/>
      <c r="H46" s="412"/>
      <c r="I46" s="169">
        <f>VLOOKUP( $B46, T_Aop[], 4, 1)</f>
        <v>27</v>
      </c>
      <c r="J46" s="215"/>
      <c r="K46" s="215"/>
      <c r="L46" s="203">
        <f t="shared" si="0"/>
        <v>0</v>
      </c>
      <c r="M46" s="323"/>
      <c r="O46" s="60"/>
    </row>
    <row r="47" spans="2:15" x14ac:dyDescent="0.2">
      <c r="B47" s="17">
        <v>29</v>
      </c>
      <c r="C47" s="166" t="str">
        <f>VLOOKUP( $B47, T_Aop[], 5, 1)</f>
        <v>046, dio 049</v>
      </c>
      <c r="D47" s="413" t="str">
        <f>VLOOKUP( $B47, T_Aop[], 6, 1)</f>
        <v xml:space="preserve">      7. Finansijska sredstva koja se drže do roka dospijeća</v>
      </c>
      <c r="E47" s="414"/>
      <c r="F47" s="414"/>
      <c r="G47" s="414"/>
      <c r="H47" s="415"/>
      <c r="I47" s="167">
        <f>VLOOKUP( $B47, T_Aop[], 4, 1)</f>
        <v>28</v>
      </c>
      <c r="J47" s="217"/>
      <c r="K47" s="217"/>
      <c r="L47" s="202">
        <f t="shared" si="0"/>
        <v>0</v>
      </c>
      <c r="M47" s="324"/>
      <c r="O47" s="60"/>
    </row>
    <row r="48" spans="2:15" x14ac:dyDescent="0.2">
      <c r="B48" s="17">
        <v>30</v>
      </c>
      <c r="C48" s="168" t="str">
        <f>VLOOKUP( $B48, T_Aop[], 5, 1)</f>
        <v>048, dio 049</v>
      </c>
      <c r="D48" s="410" t="str">
        <f>VLOOKUP( $B48, T_Aop[], 6, 1)</f>
        <v xml:space="preserve">      8. Ostali dugoročni finansijski plasmani</v>
      </c>
      <c r="E48" s="411"/>
      <c r="F48" s="411"/>
      <c r="G48" s="411"/>
      <c r="H48" s="412"/>
      <c r="I48" s="169">
        <f>VLOOKUP( $B48, T_Aop[], 4, 1)</f>
        <v>29</v>
      </c>
      <c r="J48" s="215"/>
      <c r="K48" s="215"/>
      <c r="L48" s="203">
        <f t="shared" si="0"/>
        <v>0</v>
      </c>
      <c r="M48" s="323"/>
      <c r="O48" s="60"/>
    </row>
    <row r="49" spans="2:15" x14ac:dyDescent="0.2">
      <c r="B49" s="17">
        <v>31</v>
      </c>
      <c r="C49" s="236" t="str">
        <f>VLOOKUP( $B49, T_Aop[], 5, 1)</f>
        <v>050</v>
      </c>
      <c r="D49" s="420" t="str">
        <f>VLOOKUP( $B49, T_Aop[], 6, 1)</f>
        <v xml:space="preserve">    V - ODLOŽENA PORESKA SREDSTVA</v>
      </c>
      <c r="E49" s="421"/>
      <c r="F49" s="421"/>
      <c r="G49" s="421"/>
      <c r="H49" s="422"/>
      <c r="I49" s="237">
        <f>VLOOKUP( $B49, T_Aop[], 4, 1)</f>
        <v>30</v>
      </c>
      <c r="J49" s="325"/>
      <c r="K49" s="325"/>
      <c r="L49" s="35">
        <f t="shared" si="0"/>
        <v>0</v>
      </c>
      <c r="M49" s="326"/>
      <c r="O49" s="60"/>
    </row>
    <row r="50" spans="2:15" x14ac:dyDescent="0.2">
      <c r="B50" s="17">
        <v>32</v>
      </c>
      <c r="C50" s="238">
        <f>VLOOKUP( $B50, T_Aop[], 5, 1)</f>
        <v>0</v>
      </c>
      <c r="D50" s="416" t="str">
        <f>VLOOKUP( $B50, T_Aop[], 6, 1)</f>
        <v xml:space="preserve">  B. TEKUĆA SREDSTVA (032 + 039 + 061)</v>
      </c>
      <c r="E50" s="417"/>
      <c r="F50" s="417"/>
      <c r="G50" s="417"/>
      <c r="H50" s="418"/>
      <c r="I50" s="239">
        <f>VLOOKUP( $B50, T_Aop[], 4, 1)</f>
        <v>31</v>
      </c>
      <c r="J50" s="33">
        <f>SUBTOTAL( 9, J51:J80)</f>
        <v>81695765</v>
      </c>
      <c r="K50" s="33">
        <f>SUBTOTAL( 9, K51:K80)</f>
        <v>23796205</v>
      </c>
      <c r="L50" s="33">
        <f t="shared" si="0"/>
        <v>57899560</v>
      </c>
      <c r="M50" s="38">
        <f>SUBTOTAL( 9, M51:M80)</f>
        <v>58599170</v>
      </c>
      <c r="O50" s="60"/>
    </row>
    <row r="51" spans="2:15" x14ac:dyDescent="0.2">
      <c r="B51" s="17">
        <v>33</v>
      </c>
      <c r="C51" s="236" t="str">
        <f>VLOOKUP( $B51, T_Aop[], 5, 1)</f>
        <v>10 do 15</v>
      </c>
      <c r="D51" s="420" t="str">
        <f>VLOOKUP( $B51, T_Aop[], 6, 1)</f>
        <v xml:space="preserve">    I - ZALIHE, STALNA SREDSTVA I SREDSTVA OBUSTAVLJENOG POSLOVANJA NAMIJENJENA PRODAJI (033 do 038)</v>
      </c>
      <c r="E51" s="421"/>
      <c r="F51" s="421"/>
      <c r="G51" s="421"/>
      <c r="H51" s="422"/>
      <c r="I51" s="237">
        <f>VLOOKUP( $B51, T_Aop[], 4, 1)</f>
        <v>32</v>
      </c>
      <c r="J51" s="35">
        <f>SUBTOTAL(9,J52:J57)</f>
        <v>38126255</v>
      </c>
      <c r="K51" s="35">
        <f>SUBTOTAL(9,K52:K57)</f>
        <v>16846321</v>
      </c>
      <c r="L51" s="35">
        <f t="shared" si="0"/>
        <v>21279934</v>
      </c>
      <c r="M51" s="37">
        <f>SUBTOTAL(9,M52:M57)</f>
        <v>20236738</v>
      </c>
      <c r="O51" s="60"/>
    </row>
    <row r="52" spans="2:15" x14ac:dyDescent="0.2">
      <c r="B52" s="17">
        <v>34</v>
      </c>
      <c r="C52" s="168" t="str">
        <f>VLOOKUP( $B52, T_Aop[], 5, 1)</f>
        <v>100 do 109</v>
      </c>
      <c r="D52" s="410" t="str">
        <f>VLOOKUP( $B52, T_Aop[], 6, 1)</f>
        <v xml:space="preserve">      1. Zalihe materijala</v>
      </c>
      <c r="E52" s="411"/>
      <c r="F52" s="411"/>
      <c r="G52" s="411"/>
      <c r="H52" s="412"/>
      <c r="I52" s="169">
        <f>VLOOKUP( $B52, T_Aop[], 4, 1)</f>
        <v>33</v>
      </c>
      <c r="J52" s="215">
        <v>35321217</v>
      </c>
      <c r="K52" s="215">
        <v>14041674</v>
      </c>
      <c r="L52" s="203">
        <f t="shared" si="0"/>
        <v>21279543</v>
      </c>
      <c r="M52" s="323">
        <v>20229361</v>
      </c>
      <c r="O52" s="60"/>
    </row>
    <row r="53" spans="2:15" x14ac:dyDescent="0.2">
      <c r="B53" s="17">
        <v>35</v>
      </c>
      <c r="C53" s="166" t="str">
        <f>VLOOKUP( $B53, T_Aop[], 5, 1)</f>
        <v>110 do 119</v>
      </c>
      <c r="D53" s="413" t="str">
        <f>VLOOKUP( $B53, T_Aop[], 6, 1)</f>
        <v xml:space="preserve">      2. Zalihe nedovršene proizvodnje, poluproizvoda i nedovršenih usluga</v>
      </c>
      <c r="E53" s="414"/>
      <c r="F53" s="414"/>
      <c r="G53" s="414"/>
      <c r="H53" s="415"/>
      <c r="I53" s="167">
        <f>VLOOKUP( $B53, T_Aop[], 4, 1)</f>
        <v>34</v>
      </c>
      <c r="J53" s="217"/>
      <c r="K53" s="217"/>
      <c r="L53" s="202">
        <f t="shared" si="0"/>
        <v>0</v>
      </c>
      <c r="M53" s="324"/>
      <c r="O53" s="60"/>
    </row>
    <row r="54" spans="2:15" x14ac:dyDescent="0.2">
      <c r="B54" s="17">
        <v>36</v>
      </c>
      <c r="C54" s="168" t="str">
        <f>VLOOKUP( $B54, T_Aop[], 5, 1)</f>
        <v>120 do 129</v>
      </c>
      <c r="D54" s="410" t="str">
        <f>VLOOKUP( $B54, T_Aop[], 6, 1)</f>
        <v xml:space="preserve">      3. Zalihe gotovih proizvoda</v>
      </c>
      <c r="E54" s="411"/>
      <c r="F54" s="411"/>
      <c r="G54" s="411"/>
      <c r="H54" s="412"/>
      <c r="I54" s="169">
        <f>VLOOKUP( $B54, T_Aop[], 4, 1)</f>
        <v>35</v>
      </c>
      <c r="J54" s="215"/>
      <c r="K54" s="215"/>
      <c r="L54" s="203">
        <f t="shared" si="0"/>
        <v>0</v>
      </c>
      <c r="M54" s="323"/>
      <c r="O54" s="60"/>
    </row>
    <row r="55" spans="2:15" x14ac:dyDescent="0.2">
      <c r="B55" s="17">
        <v>37</v>
      </c>
      <c r="C55" s="166" t="str">
        <f>VLOOKUP( $B55, T_Aop[], 5, 1)</f>
        <v>130 do 139</v>
      </c>
      <c r="D55" s="413" t="str">
        <f>VLOOKUP( $B55, T_Aop[], 6, 1)</f>
        <v xml:space="preserve">      4. Zalihe robe</v>
      </c>
      <c r="E55" s="414"/>
      <c r="F55" s="414"/>
      <c r="G55" s="414"/>
      <c r="H55" s="415"/>
      <c r="I55" s="167">
        <f>VLOOKUP( $B55, T_Aop[], 4, 1)</f>
        <v>36</v>
      </c>
      <c r="J55" s="217"/>
      <c r="K55" s="217"/>
      <c r="L55" s="202">
        <f t="shared" si="0"/>
        <v>0</v>
      </c>
      <c r="M55" s="324"/>
      <c r="O55" s="60"/>
    </row>
    <row r="56" spans="2:15" x14ac:dyDescent="0.2">
      <c r="B56" s="17">
        <v>38</v>
      </c>
      <c r="C56" s="168" t="str">
        <f>VLOOKUP( $B56, T_Aop[], 5, 1)</f>
        <v>140 do 149</v>
      </c>
      <c r="D56" s="410" t="str">
        <f>VLOOKUP( $B56, T_Aop[], 6, 1)</f>
        <v xml:space="preserve">      5. Stalna sredstva i sredstva obustavljenog poslovanja namijenjena prodaji</v>
      </c>
      <c r="E56" s="411"/>
      <c r="F56" s="411"/>
      <c r="G56" s="411"/>
      <c r="H56" s="412"/>
      <c r="I56" s="169">
        <f>VLOOKUP( $B56, T_Aop[], 4, 1)</f>
        <v>37</v>
      </c>
      <c r="J56" s="215"/>
      <c r="K56" s="215"/>
      <c r="L56" s="203">
        <f t="shared" si="0"/>
        <v>0</v>
      </c>
      <c r="M56" s="323"/>
      <c r="O56" s="60"/>
    </row>
    <row r="57" spans="2:15" x14ac:dyDescent="0.2">
      <c r="B57" s="17">
        <v>39</v>
      </c>
      <c r="C57" s="166" t="str">
        <f>VLOOKUP( $B57, T_Aop[], 5, 1)</f>
        <v>150 do 159</v>
      </c>
      <c r="D57" s="413" t="str">
        <f>VLOOKUP( $B57, T_Aop[], 6, 1)</f>
        <v xml:space="preserve">      6. Dati avansi</v>
      </c>
      <c r="E57" s="414"/>
      <c r="F57" s="414"/>
      <c r="G57" s="414"/>
      <c r="H57" s="415"/>
      <c r="I57" s="167">
        <f>VLOOKUP( $B57, T_Aop[], 4, 1)</f>
        <v>38</v>
      </c>
      <c r="J57" s="217">
        <v>2805038</v>
      </c>
      <c r="K57" s="217">
        <v>2804647</v>
      </c>
      <c r="L57" s="202">
        <f t="shared" si="0"/>
        <v>391</v>
      </c>
      <c r="M57" s="324">
        <v>7377</v>
      </c>
      <c r="O57" s="60"/>
    </row>
    <row r="58" spans="2:15" x14ac:dyDescent="0.2">
      <c r="B58" s="17">
        <v>40</v>
      </c>
      <c r="C58" s="238">
        <f>VLOOKUP( $B58, T_Aop[], 5, 1)</f>
        <v>0</v>
      </c>
      <c r="D58" s="416" t="str">
        <f>VLOOKUP( $B58, T_Aop[], 6, 1)</f>
        <v xml:space="preserve">    II - KRATKOROČNA POTRAŽIVANJA, KRATKOROČNI PLASMANI I GOTOVINA (040 + 047 + 056 + 059 + 060)</v>
      </c>
      <c r="E58" s="417"/>
      <c r="F58" s="417"/>
      <c r="G58" s="417"/>
      <c r="H58" s="418"/>
      <c r="I58" s="239">
        <f>VLOOKUP( $B58, T_Aop[], 4, 1)</f>
        <v>39</v>
      </c>
      <c r="J58" s="33">
        <f>SUBTOTAL(9,J59:J79)</f>
        <v>43569510</v>
      </c>
      <c r="K58" s="33">
        <f>SUBTOTAL(9,K59:K79)</f>
        <v>6949884</v>
      </c>
      <c r="L58" s="33">
        <f t="shared" si="0"/>
        <v>36619626</v>
      </c>
      <c r="M58" s="38">
        <f>SUBTOTAL(9,M59:M79)</f>
        <v>38362432</v>
      </c>
      <c r="O58" s="60"/>
    </row>
    <row r="59" spans="2:15" s="29" customFormat="1" x14ac:dyDescent="0.2">
      <c r="B59" s="17">
        <v>41</v>
      </c>
      <c r="C59" s="166" t="str">
        <f>VLOOKUP( $B59, T_Aop[], 5, 1)</f>
        <v>20, 21, 22</v>
      </c>
      <c r="D59" s="413" t="str">
        <f>VLOOKUP( $B59, T_Aop[], 6, 1)</f>
        <v xml:space="preserve">      1. Kratkoročna potraživanja (041 do 046)</v>
      </c>
      <c r="E59" s="414"/>
      <c r="F59" s="414"/>
      <c r="G59" s="414"/>
      <c r="H59" s="415"/>
      <c r="I59" s="167">
        <f>VLOOKUP( $B59, T_Aop[], 4, 1)</f>
        <v>40</v>
      </c>
      <c r="J59" s="202">
        <f>SUBTOTAL(9,J60:J65)</f>
        <v>23407560</v>
      </c>
      <c r="K59" s="202">
        <f>SUBTOTAL(9,K60:K65)</f>
        <v>6949884</v>
      </c>
      <c r="L59" s="202">
        <f t="shared" si="0"/>
        <v>16457676</v>
      </c>
      <c r="M59" s="208">
        <f>SUBTOTAL(9,M60:M65)</f>
        <v>16882268</v>
      </c>
      <c r="O59" s="259"/>
    </row>
    <row r="60" spans="2:15" x14ac:dyDescent="0.2">
      <c r="B60" s="17">
        <v>42</v>
      </c>
      <c r="C60" s="168" t="str">
        <f>VLOOKUP( $B60, T_Aop[], 5, 1)</f>
        <v>200, dio 209</v>
      </c>
      <c r="D60" s="410" t="str">
        <f>VLOOKUP( $B60, T_Aop[], 6, 1)</f>
        <v xml:space="preserve">        a) Kupci - povezana pravna lica</v>
      </c>
      <c r="E60" s="411"/>
      <c r="F60" s="411"/>
      <c r="G60" s="411"/>
      <c r="H60" s="412"/>
      <c r="I60" s="169">
        <f>VLOOKUP( $B60, T_Aop[], 4, 1)</f>
        <v>41</v>
      </c>
      <c r="J60" s="215"/>
      <c r="K60" s="215"/>
      <c r="L60" s="203">
        <f t="shared" si="0"/>
        <v>0</v>
      </c>
      <c r="M60" s="323"/>
      <c r="O60" s="60"/>
    </row>
    <row r="61" spans="2:15" x14ac:dyDescent="0.2">
      <c r="B61" s="17">
        <v>43</v>
      </c>
      <c r="C61" s="166" t="str">
        <f>VLOOKUP( $B61, T_Aop[], 5, 1)</f>
        <v>201, 202, 203, dio 209</v>
      </c>
      <c r="D61" s="413" t="str">
        <f>VLOOKUP( $B61, T_Aop[], 6, 1)</f>
        <v xml:space="preserve">        b) Kupci u zemlji</v>
      </c>
      <c r="E61" s="414"/>
      <c r="F61" s="414"/>
      <c r="G61" s="414"/>
      <c r="H61" s="415"/>
      <c r="I61" s="167">
        <f>VLOOKUP( $B61, T_Aop[], 4, 1)</f>
        <v>42</v>
      </c>
      <c r="J61" s="217">
        <v>10805335</v>
      </c>
      <c r="K61" s="217">
        <v>2835536</v>
      </c>
      <c r="L61" s="202">
        <f t="shared" si="0"/>
        <v>7969799</v>
      </c>
      <c r="M61" s="324">
        <v>9274163</v>
      </c>
      <c r="O61" s="60"/>
    </row>
    <row r="62" spans="2:15" x14ac:dyDescent="0.2">
      <c r="B62" s="17">
        <v>44</v>
      </c>
      <c r="C62" s="168" t="str">
        <f>VLOOKUP( $B62, T_Aop[], 5, 1)</f>
        <v>204, dio 209</v>
      </c>
      <c r="D62" s="410" t="str">
        <f>VLOOKUP( $B62, T_Aop[], 6, 1)</f>
        <v xml:space="preserve">        v) Kupci iz inostranstva</v>
      </c>
      <c r="E62" s="411"/>
      <c r="F62" s="411"/>
      <c r="G62" s="411"/>
      <c r="H62" s="412"/>
      <c r="I62" s="169">
        <f>VLOOKUP( $B62, T_Aop[], 4, 1)</f>
        <v>43</v>
      </c>
      <c r="J62" s="215">
        <v>1784763</v>
      </c>
      <c r="K62" s="215">
        <v>1625497</v>
      </c>
      <c r="L62" s="203">
        <f t="shared" si="0"/>
        <v>159266</v>
      </c>
      <c r="M62" s="323">
        <v>155901</v>
      </c>
      <c r="O62" s="60"/>
    </row>
    <row r="63" spans="2:15" x14ac:dyDescent="0.2">
      <c r="B63" s="17">
        <v>45</v>
      </c>
      <c r="C63" s="166" t="str">
        <f>VLOOKUP( $B63, T_Aop[], 5, 1)</f>
        <v>208, dio 209</v>
      </c>
      <c r="D63" s="413" t="str">
        <f>VLOOKUP( $B63, T_Aop[], 6, 1)</f>
        <v xml:space="preserve">        g) Sumnjiva i sporna potraživanja</v>
      </c>
      <c r="E63" s="414"/>
      <c r="F63" s="414"/>
      <c r="G63" s="414"/>
      <c r="H63" s="415"/>
      <c r="I63" s="167">
        <f>VLOOKUP( $B63, T_Aop[], 4, 1)</f>
        <v>44</v>
      </c>
      <c r="J63" s="217">
        <v>2635306</v>
      </c>
      <c r="K63" s="217"/>
      <c r="L63" s="202">
        <f t="shared" si="0"/>
        <v>2635306</v>
      </c>
      <c r="M63" s="324">
        <v>2635337</v>
      </c>
      <c r="O63" s="60"/>
    </row>
    <row r="64" spans="2:15" x14ac:dyDescent="0.2">
      <c r="B64" s="17">
        <v>46</v>
      </c>
      <c r="C64" s="168" t="str">
        <f>VLOOKUP( $B64, T_Aop[], 5, 1)</f>
        <v>210 do 219</v>
      </c>
      <c r="D64" s="410" t="str">
        <f>VLOOKUP( $B64, T_Aop[], 6, 1)</f>
        <v xml:space="preserve">        d) Potraživanja iz specifičnih poslova</v>
      </c>
      <c r="E64" s="411"/>
      <c r="F64" s="411"/>
      <c r="G64" s="411"/>
      <c r="H64" s="412"/>
      <c r="I64" s="169">
        <f>VLOOKUP( $B64, T_Aop[], 4, 1)</f>
        <v>45</v>
      </c>
      <c r="J64" s="215"/>
      <c r="K64" s="215"/>
      <c r="L64" s="203">
        <f t="shared" si="0"/>
        <v>0</v>
      </c>
      <c r="M64" s="323"/>
      <c r="O64" s="60"/>
    </row>
    <row r="65" spans="2:15" x14ac:dyDescent="0.2">
      <c r="B65" s="17">
        <v>47</v>
      </c>
      <c r="C65" s="166" t="str">
        <f>VLOOKUP( $B65, T_Aop[], 5, 1)</f>
        <v>220 do 229</v>
      </c>
      <c r="D65" s="413" t="str">
        <f>VLOOKUP( $B65, T_Aop[], 6, 1)</f>
        <v xml:space="preserve">        đ) Druga kratkoročna potraživanja</v>
      </c>
      <c r="E65" s="414"/>
      <c r="F65" s="414"/>
      <c r="G65" s="414"/>
      <c r="H65" s="415"/>
      <c r="I65" s="167">
        <f>VLOOKUP( $B65, T_Aop[], 4, 1)</f>
        <v>46</v>
      </c>
      <c r="J65" s="217">
        <v>8182156</v>
      </c>
      <c r="K65" s="217">
        <v>2488851</v>
      </c>
      <c r="L65" s="202">
        <f t="shared" si="0"/>
        <v>5693305</v>
      </c>
      <c r="M65" s="324">
        <v>4816867</v>
      </c>
      <c r="O65" s="60"/>
    </row>
    <row r="66" spans="2:15" x14ac:dyDescent="0.2">
      <c r="B66" s="17">
        <v>48</v>
      </c>
      <c r="C66" s="168">
        <f>VLOOKUP( $B66, T_Aop[], 5, 1)</f>
        <v>23</v>
      </c>
      <c r="D66" s="410" t="str">
        <f>VLOOKUP( $B66, T_Aop[], 6, 1)</f>
        <v xml:space="preserve">      2. Kratkoročni finansijski plasmani (048 do 055)</v>
      </c>
      <c r="E66" s="411"/>
      <c r="F66" s="411"/>
      <c r="G66" s="411"/>
      <c r="H66" s="412"/>
      <c r="I66" s="169">
        <f>VLOOKUP( $B66, T_Aop[], 4, 1)</f>
        <v>47</v>
      </c>
      <c r="J66" s="203">
        <f>SUBTOTAL(9,J67:J74)</f>
        <v>0</v>
      </c>
      <c r="K66" s="203">
        <f>SUBTOTAL(9,K67:K74)</f>
        <v>0</v>
      </c>
      <c r="L66" s="203">
        <f t="shared" si="0"/>
        <v>0</v>
      </c>
      <c r="M66" s="209">
        <f>SUBTOTAL(9,M67:M74)</f>
        <v>0</v>
      </c>
      <c r="O66" s="60"/>
    </row>
    <row r="67" spans="2:15" x14ac:dyDescent="0.2">
      <c r="B67" s="17">
        <v>49</v>
      </c>
      <c r="C67" s="166" t="str">
        <f>VLOOKUP( $B67, T_Aop[], 5, 1)</f>
        <v>230, dio 239</v>
      </c>
      <c r="D67" s="413" t="str">
        <f>VLOOKUP( $B67, T_Aop[], 6, 1)</f>
        <v xml:space="preserve">        a) Kratkoročni krediti povezanim pravnim licima</v>
      </c>
      <c r="E67" s="414"/>
      <c r="F67" s="414"/>
      <c r="G67" s="414"/>
      <c r="H67" s="415"/>
      <c r="I67" s="167">
        <f>VLOOKUP( $B67, T_Aop[], 4, 1)</f>
        <v>48</v>
      </c>
      <c r="J67" s="217"/>
      <c r="K67" s="217"/>
      <c r="L67" s="202">
        <f t="shared" si="0"/>
        <v>0</v>
      </c>
      <c r="M67" s="324"/>
      <c r="O67" s="60"/>
    </row>
    <row r="68" spans="2:15" x14ac:dyDescent="0.2">
      <c r="B68" s="17">
        <v>50</v>
      </c>
      <c r="C68" s="168" t="str">
        <f>VLOOKUP( $B68, T_Aop[], 5, 1)</f>
        <v>231, dio 239</v>
      </c>
      <c r="D68" s="410" t="str">
        <f>VLOOKUP( $B68, T_Aop[], 6, 1)</f>
        <v xml:space="preserve">        b) Kratkoročni krediti u zemlji</v>
      </c>
      <c r="E68" s="411"/>
      <c r="F68" s="411"/>
      <c r="G68" s="411"/>
      <c r="H68" s="412"/>
      <c r="I68" s="169">
        <f>VLOOKUP( $B68, T_Aop[], 4, 1)</f>
        <v>49</v>
      </c>
      <c r="J68" s="215"/>
      <c r="K68" s="215"/>
      <c r="L68" s="203">
        <f t="shared" si="0"/>
        <v>0</v>
      </c>
      <c r="M68" s="323"/>
      <c r="O68" s="60"/>
    </row>
    <row r="69" spans="2:15" x14ac:dyDescent="0.2">
      <c r="B69" s="17">
        <v>51</v>
      </c>
      <c r="C69" s="166" t="str">
        <f>VLOOKUP( $B69, T_Aop[], 5, 1)</f>
        <v>232, dio 239</v>
      </c>
      <c r="D69" s="413" t="str">
        <f>VLOOKUP( $B69, T_Aop[], 6, 1)</f>
        <v xml:space="preserve">        v) Kratkoročni krediti u inostranstvu</v>
      </c>
      <c r="E69" s="414"/>
      <c r="F69" s="414"/>
      <c r="G69" s="414"/>
      <c r="H69" s="415"/>
      <c r="I69" s="167">
        <f>VLOOKUP( $B69, T_Aop[], 4, 1)</f>
        <v>50</v>
      </c>
      <c r="J69" s="217"/>
      <c r="K69" s="217"/>
      <c r="L69" s="202">
        <f t="shared" si="0"/>
        <v>0</v>
      </c>
      <c r="M69" s="324"/>
      <c r="O69" s="60"/>
    </row>
    <row r="70" spans="2:15" x14ac:dyDescent="0.2">
      <c r="B70" s="17">
        <v>52</v>
      </c>
      <c r="C70" s="168" t="str">
        <f>VLOOKUP( $B70, T_Aop[], 5, 1)</f>
        <v>233, 234, dio 239</v>
      </c>
      <c r="D70" s="410" t="str">
        <f>VLOOKUP( $B70, T_Aop[], 6, 1)</f>
        <v xml:space="preserve">        g) Dio dugoročnih finansijskih plasmana koji dospijeva za naplatu u periodu do godinu dana</v>
      </c>
      <c r="E70" s="411"/>
      <c r="F70" s="411"/>
      <c r="G70" s="411"/>
      <c r="H70" s="412"/>
      <c r="I70" s="169">
        <f>VLOOKUP( $B70, T_Aop[], 4, 1)</f>
        <v>51</v>
      </c>
      <c r="J70" s="215"/>
      <c r="K70" s="215"/>
      <c r="L70" s="203">
        <f t="shared" si="0"/>
        <v>0</v>
      </c>
      <c r="M70" s="323"/>
      <c r="O70" s="60"/>
    </row>
    <row r="71" spans="2:15" x14ac:dyDescent="0.2">
      <c r="B71" s="17">
        <v>53</v>
      </c>
      <c r="C71" s="166" t="str">
        <f>VLOOKUP( $B71, T_Aop[], 5, 1)</f>
        <v>235, dio 239</v>
      </c>
      <c r="D71" s="413" t="str">
        <f>VLOOKUP( $B71, T_Aop[], 6, 1)</f>
        <v xml:space="preserve">        d) Finansijska sredstva po fer vrijednosti kroz bilans uspjeha namijenjena trgovanju</v>
      </c>
      <c r="E71" s="414"/>
      <c r="F71" s="414"/>
      <c r="G71" s="414"/>
      <c r="H71" s="415"/>
      <c r="I71" s="167">
        <f>VLOOKUP( $B71, T_Aop[], 4, 1)</f>
        <v>52</v>
      </c>
      <c r="J71" s="217"/>
      <c r="K71" s="217"/>
      <c r="L71" s="202">
        <f t="shared" si="0"/>
        <v>0</v>
      </c>
      <c r="M71" s="324"/>
      <c r="O71" s="60"/>
    </row>
    <row r="72" spans="2:15" x14ac:dyDescent="0.2">
      <c r="B72" s="17">
        <v>54</v>
      </c>
      <c r="C72" s="168" t="str">
        <f>VLOOKUP( $B72, T_Aop[], 5, 1)</f>
        <v>236, dio 239</v>
      </c>
      <c r="D72" s="410" t="str">
        <f>VLOOKUP( $B72, T_Aop[], 6, 1)</f>
        <v xml:space="preserve">        đ) Finansijska sredstva označena po fer vrijednosti kroz bilans uspjeha</v>
      </c>
      <c r="E72" s="411"/>
      <c r="F72" s="411"/>
      <c r="G72" s="411"/>
      <c r="H72" s="412"/>
      <c r="I72" s="169">
        <f>VLOOKUP( $B72, T_Aop[], 4, 1)</f>
        <v>53</v>
      </c>
      <c r="J72" s="215"/>
      <c r="K72" s="215"/>
      <c r="L72" s="203">
        <f t="shared" si="0"/>
        <v>0</v>
      </c>
      <c r="M72" s="323"/>
      <c r="O72" s="60"/>
    </row>
    <row r="73" spans="2:15" x14ac:dyDescent="0.2">
      <c r="B73" s="17">
        <v>55</v>
      </c>
      <c r="C73" s="166">
        <f>VLOOKUP( $B73, T_Aop[], 5, 1)</f>
        <v>237</v>
      </c>
      <c r="D73" s="413" t="str">
        <f>VLOOKUP( $B73, T_Aop[], 6, 1)</f>
        <v xml:space="preserve">        e) Otkupljene sopstvene akcije i otkupljeni sopstveni udjeli namijenjeni prodaji ili poništavanju</v>
      </c>
      <c r="E73" s="414"/>
      <c r="F73" s="414"/>
      <c r="G73" s="414"/>
      <c r="H73" s="415"/>
      <c r="I73" s="167">
        <f>VLOOKUP( $B73, T_Aop[], 4, 1)</f>
        <v>54</v>
      </c>
      <c r="J73" s="217"/>
      <c r="K73" s="217"/>
      <c r="L73" s="202">
        <f t="shared" si="0"/>
        <v>0</v>
      </c>
      <c r="M73" s="324"/>
      <c r="O73" s="60"/>
    </row>
    <row r="74" spans="2:15" x14ac:dyDescent="0.2">
      <c r="B74" s="17">
        <v>56</v>
      </c>
      <c r="C74" s="168" t="str">
        <f>VLOOKUP( $B74, T_Aop[], 5, 1)</f>
        <v>238, dio 239</v>
      </c>
      <c r="D74" s="410" t="str">
        <f>VLOOKUP( $B74, T_Aop[], 6, 1)</f>
        <v xml:space="preserve">        ž) Ostali kratkoročni plasmani</v>
      </c>
      <c r="E74" s="411"/>
      <c r="F74" s="411"/>
      <c r="G74" s="411"/>
      <c r="H74" s="412"/>
      <c r="I74" s="169">
        <f>VLOOKUP( $B74, T_Aop[], 4, 1)</f>
        <v>55</v>
      </c>
      <c r="J74" s="215"/>
      <c r="K74" s="215"/>
      <c r="L74" s="203">
        <f t="shared" si="0"/>
        <v>0</v>
      </c>
      <c r="M74" s="323"/>
      <c r="O74" s="60"/>
    </row>
    <row r="75" spans="2:15" x14ac:dyDescent="0.2">
      <c r="B75" s="17">
        <v>57</v>
      </c>
      <c r="C75" s="166">
        <f>VLOOKUP( $B75, T_Aop[], 5, 1)</f>
        <v>24</v>
      </c>
      <c r="D75" s="413" t="str">
        <f>VLOOKUP( $B75, T_Aop[], 6, 1)</f>
        <v xml:space="preserve">      3. Gotovinski ekvivalenti i gotovina (057 + 058)</v>
      </c>
      <c r="E75" s="414"/>
      <c r="F75" s="414"/>
      <c r="G75" s="414"/>
      <c r="H75" s="415"/>
      <c r="I75" s="167">
        <f>VLOOKUP( $B75, T_Aop[], 4, 1)</f>
        <v>56</v>
      </c>
      <c r="J75" s="202">
        <f>SUBTOTAL(9,J76:J77)</f>
        <v>19496831</v>
      </c>
      <c r="K75" s="202">
        <f>SUBTOTAL(9,K76:K77)</f>
        <v>0</v>
      </c>
      <c r="L75" s="202">
        <f t="shared" si="0"/>
        <v>19496831</v>
      </c>
      <c r="M75" s="208">
        <f>SUBTOTAL(9,M76:M77)</f>
        <v>20733130</v>
      </c>
      <c r="O75" s="60"/>
    </row>
    <row r="76" spans="2:15" x14ac:dyDescent="0.2">
      <c r="B76" s="17">
        <v>58</v>
      </c>
      <c r="C76" s="168">
        <f>VLOOKUP( $B76, T_Aop[], 5, 1)</f>
        <v>240</v>
      </c>
      <c r="D76" s="410" t="str">
        <f>VLOOKUP( $B76, T_Aop[], 6, 1)</f>
        <v xml:space="preserve">        a) Gotovinski ekvivalenti - hartije od vrijednosti</v>
      </c>
      <c r="E76" s="411"/>
      <c r="F76" s="411"/>
      <c r="G76" s="411"/>
      <c r="H76" s="412"/>
      <c r="I76" s="169">
        <f>VLOOKUP( $B76, T_Aop[], 4, 1)</f>
        <v>57</v>
      </c>
      <c r="J76" s="215"/>
      <c r="K76" s="215"/>
      <c r="L76" s="203">
        <f t="shared" si="0"/>
        <v>0</v>
      </c>
      <c r="M76" s="323"/>
      <c r="O76" s="60"/>
    </row>
    <row r="77" spans="2:15" x14ac:dyDescent="0.2">
      <c r="B77" s="17">
        <v>59</v>
      </c>
      <c r="C77" s="166" t="str">
        <f>VLOOKUP( $B77, T_Aop[], 5, 1)</f>
        <v>241 do 249</v>
      </c>
      <c r="D77" s="413" t="str">
        <f>VLOOKUP( $B77, T_Aop[], 6, 1)</f>
        <v xml:space="preserve">        b) Gotovina</v>
      </c>
      <c r="E77" s="414"/>
      <c r="F77" s="414"/>
      <c r="G77" s="414"/>
      <c r="H77" s="415"/>
      <c r="I77" s="167">
        <f>VLOOKUP( $B77, T_Aop[], 4, 1)</f>
        <v>58</v>
      </c>
      <c r="J77" s="217">
        <v>19496831</v>
      </c>
      <c r="K77" s="217"/>
      <c r="L77" s="202">
        <f t="shared" si="0"/>
        <v>19496831</v>
      </c>
      <c r="M77" s="324">
        <v>20733130</v>
      </c>
      <c r="O77" s="60"/>
    </row>
    <row r="78" spans="2:15" x14ac:dyDescent="0.2">
      <c r="B78" s="17">
        <v>60</v>
      </c>
      <c r="C78" s="168" t="str">
        <f>VLOOKUP( $B78, T_Aop[], 5, 1)</f>
        <v>270 do 279</v>
      </c>
      <c r="D78" s="410" t="str">
        <f>VLOOKUP( $B78, T_Aop[], 6, 1)</f>
        <v xml:space="preserve">      4. Porez na dodatu vrijednost</v>
      </c>
      <c r="E78" s="411"/>
      <c r="F78" s="411"/>
      <c r="G78" s="411"/>
      <c r="H78" s="412"/>
      <c r="I78" s="169">
        <f>VLOOKUP( $B78, T_Aop[], 4, 1)</f>
        <v>59</v>
      </c>
      <c r="J78" s="215">
        <v>258524</v>
      </c>
      <c r="K78" s="215"/>
      <c r="L78" s="203">
        <f t="shared" si="0"/>
        <v>258524</v>
      </c>
      <c r="M78" s="323">
        <v>269037</v>
      </c>
      <c r="O78" s="60"/>
    </row>
    <row r="79" spans="2:15" x14ac:dyDescent="0.2">
      <c r="B79" s="17">
        <v>61</v>
      </c>
      <c r="C79" s="166" t="str">
        <f>VLOOKUP( $B79, T_Aop[], 5, 1)</f>
        <v>280 do 289, osim 288</v>
      </c>
      <c r="D79" s="413" t="str">
        <f>VLOOKUP( $B79, T_Aop[], 6, 1)</f>
        <v xml:space="preserve">      5. Aktivna vremenska razgraničenja</v>
      </c>
      <c r="E79" s="414"/>
      <c r="F79" s="414"/>
      <c r="G79" s="414"/>
      <c r="H79" s="415"/>
      <c r="I79" s="167">
        <f>VLOOKUP( $B79, T_Aop[], 4, 1)</f>
        <v>60</v>
      </c>
      <c r="J79" s="217">
        <v>406595</v>
      </c>
      <c r="K79" s="217"/>
      <c r="L79" s="202">
        <f t="shared" si="0"/>
        <v>406595</v>
      </c>
      <c r="M79" s="324">
        <v>477997</v>
      </c>
      <c r="O79" s="60"/>
    </row>
    <row r="80" spans="2:15" x14ac:dyDescent="0.2">
      <c r="B80" s="17">
        <v>62</v>
      </c>
      <c r="C80" s="238">
        <f>VLOOKUP( $B80, T_Aop[], 5, 1)</f>
        <v>288</v>
      </c>
      <c r="D80" s="416" t="str">
        <f>VLOOKUP( $B80, T_Aop[], 6, 1)</f>
        <v xml:space="preserve">    III - ODLOŽENA PORESKA SREDSTVA</v>
      </c>
      <c r="E80" s="417"/>
      <c r="F80" s="417"/>
      <c r="G80" s="417"/>
      <c r="H80" s="418"/>
      <c r="I80" s="239">
        <f>VLOOKUP( $B80, T_Aop[], 4, 1)</f>
        <v>61</v>
      </c>
      <c r="J80" s="327"/>
      <c r="K80" s="122"/>
      <c r="L80" s="33">
        <f t="shared" si="0"/>
        <v>0</v>
      </c>
      <c r="M80" s="328"/>
      <c r="O80" s="60"/>
    </row>
    <row r="81" spans="2:15" x14ac:dyDescent="0.2">
      <c r="B81" s="17">
        <v>63</v>
      </c>
      <c r="C81" s="236">
        <f>VLOOKUP( $B81, T_Aop[], 5, 1)</f>
        <v>0</v>
      </c>
      <c r="D81" s="420" t="str">
        <f>VLOOKUP( $B81, T_Aop[], 6, 1)</f>
        <v xml:space="preserve">  V. POSLOVNA SREDSTVA (001 + 031)</v>
      </c>
      <c r="E81" s="421"/>
      <c r="F81" s="421"/>
      <c r="G81" s="421"/>
      <c r="H81" s="422"/>
      <c r="I81" s="237">
        <f>VLOOKUP( $B81, T_Aop[], 4, 1)</f>
        <v>62</v>
      </c>
      <c r="J81" s="35">
        <f>SUBTOTAL( 9, J20:J80)</f>
        <v>2054507485</v>
      </c>
      <c r="K81" s="35">
        <f>SUBTOTAL( 9, K20:K80)</f>
        <v>1576414028</v>
      </c>
      <c r="L81" s="35">
        <f t="shared" si="0"/>
        <v>478093457</v>
      </c>
      <c r="M81" s="37">
        <f>SUBTOTAL( 9, M20:M80)</f>
        <v>482287949</v>
      </c>
      <c r="O81" s="60"/>
    </row>
    <row r="82" spans="2:15" x14ac:dyDescent="0.2">
      <c r="B82" s="17">
        <v>64</v>
      </c>
      <c r="C82" s="238">
        <f>VLOOKUP( $B82, T_Aop[], 5, 1)</f>
        <v>29</v>
      </c>
      <c r="D82" s="416" t="str">
        <f>VLOOKUP( $B82, T_Aop[], 6, 1)</f>
        <v xml:space="preserve">  G. GUBITAK IZNAD VISINE KAPITALA</v>
      </c>
      <c r="E82" s="417"/>
      <c r="F82" s="417"/>
      <c r="G82" s="417"/>
      <c r="H82" s="418"/>
      <c r="I82" s="239">
        <f>VLOOKUP( $B82, T_Aop[], 4, 1)</f>
        <v>63</v>
      </c>
      <c r="J82" s="122"/>
      <c r="K82" s="122"/>
      <c r="L82" s="33">
        <f t="shared" si="0"/>
        <v>0</v>
      </c>
      <c r="M82" s="329"/>
      <c r="O82" s="60"/>
    </row>
    <row r="83" spans="2:15" x14ac:dyDescent="0.2">
      <c r="B83" s="17">
        <v>65</v>
      </c>
      <c r="C83" s="236">
        <f>VLOOKUP( $B83, T_Aop[], 5, 1)</f>
        <v>0</v>
      </c>
      <c r="D83" s="420" t="str">
        <f>VLOOKUP( $B83, T_Aop[], 6, 1)</f>
        <v xml:space="preserve">  D. POSLOVNA AKTIVA (062 + 063)</v>
      </c>
      <c r="E83" s="421"/>
      <c r="F83" s="421"/>
      <c r="G83" s="421"/>
      <c r="H83" s="422"/>
      <c r="I83" s="237">
        <f>VLOOKUP( $B83, T_Aop[], 4, 1)</f>
        <v>64</v>
      </c>
      <c r="J83" s="35">
        <f>SUBTOTAL( 9, J20:J82)</f>
        <v>2054507485</v>
      </c>
      <c r="K83" s="35">
        <f>SUBTOTAL( 9, K20:K82)</f>
        <v>1576414028</v>
      </c>
      <c r="L83" s="35">
        <f t="shared" si="0"/>
        <v>478093457</v>
      </c>
      <c r="M83" s="37">
        <f>SUBTOTAL( 9, M20:M82)</f>
        <v>482287949</v>
      </c>
      <c r="O83" s="60"/>
    </row>
    <row r="84" spans="2:15" x14ac:dyDescent="0.2">
      <c r="B84" s="17">
        <v>66</v>
      </c>
      <c r="C84" s="240" t="str">
        <f>VLOOKUP( $B84, T_Aop[], 5, 1)</f>
        <v>880 do 888</v>
      </c>
      <c r="D84" s="416" t="str">
        <f>VLOOKUP( $B84, T_Aop[], 6, 1)</f>
        <v xml:space="preserve">  Đ. VANBILANSNA AKTIVA</v>
      </c>
      <c r="E84" s="417"/>
      <c r="F84" s="417"/>
      <c r="G84" s="417"/>
      <c r="H84" s="418"/>
      <c r="I84" s="241">
        <f>VLOOKUP( $B84, T_Aop[], 4, 1)</f>
        <v>65</v>
      </c>
      <c r="J84" s="330">
        <v>80802875</v>
      </c>
      <c r="K84" s="330"/>
      <c r="L84" s="230">
        <f t="shared" si="0"/>
        <v>80802875</v>
      </c>
      <c r="M84" s="331">
        <v>80658561</v>
      </c>
      <c r="O84" s="60"/>
    </row>
    <row r="85" spans="2:15" x14ac:dyDescent="0.2">
      <c r="B85" s="17">
        <v>67</v>
      </c>
      <c r="C85" s="242">
        <f>VLOOKUP( $B85, T_Aop[], 5, 1)</f>
        <v>0</v>
      </c>
      <c r="D85" s="423" t="str">
        <f>VLOOKUP( $B85, T_Aop[], 6, 1)</f>
        <v xml:space="preserve">  E. UKUPNA AKTIVA (064 + 065)</v>
      </c>
      <c r="E85" s="424"/>
      <c r="F85" s="424"/>
      <c r="G85" s="424"/>
      <c r="H85" s="425"/>
      <c r="I85" s="243">
        <f>VLOOKUP( $B85, T_Aop[], 4, 1)</f>
        <v>66</v>
      </c>
      <c r="J85" s="39">
        <f>SUBTOTAL( 9, J20:J84)</f>
        <v>2135310360</v>
      </c>
      <c r="K85" s="39">
        <f>SUBTOTAL( 9, K20:K84)</f>
        <v>1576414028</v>
      </c>
      <c r="L85" s="39">
        <f>SUM(J85,-K85)</f>
        <v>558896332</v>
      </c>
      <c r="M85" s="40">
        <f>SUBTOTAL( 9, M20:M84)</f>
        <v>562946510</v>
      </c>
      <c r="O85" s="60"/>
    </row>
    <row r="86" spans="2:15" x14ac:dyDescent="0.2">
      <c r="B86" s="17"/>
      <c r="C86" s="170"/>
      <c r="D86" s="170"/>
      <c r="E86" s="170"/>
      <c r="F86" s="170"/>
      <c r="G86" s="170"/>
      <c r="H86" s="170"/>
      <c r="I86" s="170"/>
      <c r="J86" s="170"/>
      <c r="K86" s="170"/>
      <c r="L86" s="171"/>
      <c r="M86" s="170"/>
      <c r="O86" s="60"/>
    </row>
    <row r="87" spans="2:15" x14ac:dyDescent="0.2">
      <c r="B87" s="17"/>
      <c r="C87" s="405" t="str">
        <f>Tabele_zaglavlje_Grupa_racuna</f>
        <v>Grupa računa, račun</v>
      </c>
      <c r="D87" s="433" t="str">
        <f>Tabele_zaglavlje_Pozicija</f>
        <v>POZICIJA</v>
      </c>
      <c r="E87" s="434"/>
      <c r="F87" s="434"/>
      <c r="G87" s="434"/>
      <c r="H87" s="435"/>
      <c r="I87" s="407" t="str">
        <f>Tabele_zaglavlje_Oznaka_aop</f>
        <v>Oznaka za AOP</v>
      </c>
      <c r="J87" s="439"/>
      <c r="K87" s="440"/>
      <c r="L87" s="409" t="str">
        <f>Tabele_zaglavlje_BS_iznos_tekuca</f>
        <v>Iznos na dan bilansa tekuće godine</v>
      </c>
      <c r="M87" s="431" t="str">
        <f>Tabele_zaglavlje_BS_iznos_prethodna</f>
        <v>Iznos na dan bilansa prethodne godine (PS)</v>
      </c>
      <c r="O87" s="60"/>
    </row>
    <row r="88" spans="2:15" ht="39.75" customHeight="1" x14ac:dyDescent="0.2">
      <c r="B88" s="17"/>
      <c r="C88" s="406"/>
      <c r="D88" s="436"/>
      <c r="E88" s="437"/>
      <c r="F88" s="437"/>
      <c r="G88" s="437"/>
      <c r="H88" s="438"/>
      <c r="I88" s="408"/>
      <c r="J88" s="441"/>
      <c r="K88" s="442"/>
      <c r="L88" s="408"/>
      <c r="M88" s="432"/>
      <c r="O88" s="60"/>
    </row>
    <row r="89" spans="2:15" x14ac:dyDescent="0.2">
      <c r="B89" s="17"/>
      <c r="C89" s="48">
        <v>1</v>
      </c>
      <c r="D89" s="403">
        <v>2</v>
      </c>
      <c r="E89" s="419"/>
      <c r="F89" s="419"/>
      <c r="G89" s="419"/>
      <c r="H89" s="404"/>
      <c r="I89" s="307">
        <v>3</v>
      </c>
      <c r="J89" s="403"/>
      <c r="K89" s="404"/>
      <c r="L89" s="161">
        <v>4</v>
      </c>
      <c r="M89" s="49">
        <v>5</v>
      </c>
      <c r="O89" s="60"/>
    </row>
    <row r="90" spans="2:15" x14ac:dyDescent="0.2">
      <c r="B90" s="17">
        <v>68</v>
      </c>
      <c r="C90" s="233">
        <f>VLOOKUP( $B90, T_Aop[], 5, 1)</f>
        <v>0</v>
      </c>
      <c r="D90" s="426" t="str">
        <f>VLOOKUP( $B90, T_Aop[], 6, 1)</f>
        <v>PASIVA</v>
      </c>
      <c r="E90" s="426"/>
      <c r="F90" s="426"/>
      <c r="G90" s="426"/>
      <c r="H90" s="427"/>
      <c r="I90" s="246"/>
      <c r="J90" s="247"/>
      <c r="K90" s="248"/>
      <c r="L90" s="249"/>
      <c r="M90" s="250"/>
      <c r="O90" s="60"/>
    </row>
    <row r="91" spans="2:15" x14ac:dyDescent="0.2">
      <c r="B91" s="17">
        <v>69</v>
      </c>
      <c r="C91" s="238">
        <f>VLOOKUP( $B91, T_Aop[], 5, 1)</f>
        <v>0</v>
      </c>
      <c r="D91" s="428" t="str">
        <f>VLOOKUP( $B91, T_Aop[], 6, 1)</f>
        <v xml:space="preserve">  A. KAPITAL (102 - 109 + 110 - 111 + 112 + 116 + 117 - 118 + 119 - 123)</v>
      </c>
      <c r="E91" s="429"/>
      <c r="F91" s="429"/>
      <c r="G91" s="429"/>
      <c r="H91" s="430"/>
      <c r="I91" s="239">
        <f>VLOOKUP( $B91, T_Aop[], 4, 1)</f>
        <v>101</v>
      </c>
      <c r="J91" s="41"/>
      <c r="K91" s="42"/>
      <c r="L91" s="319">
        <f>SUBTOTAL( 9, L92:L98, L100, L102:L107, L109:L112) - SUBTOTAL( 9, L99, L101, L108, L113:L115)</f>
        <v>120480632</v>
      </c>
      <c r="M91" s="320">
        <f>SUBTOTAL( 9, M92:M98, M100, M102:M107, M109:M112) - SUBTOTAL( 9, M99, M101, M108, M113:M115)</f>
        <v>124938595</v>
      </c>
      <c r="O91" s="60"/>
    </row>
    <row r="92" spans="2:15" x14ac:dyDescent="0.2">
      <c r="B92" s="17">
        <v>70</v>
      </c>
      <c r="C92" s="236">
        <f>VLOOKUP( $B92, T_Aop[], 5, 1)</f>
        <v>30</v>
      </c>
      <c r="D92" s="420" t="str">
        <f>VLOOKUP( $B92, T_Aop[], 6, 1)</f>
        <v xml:space="preserve">    I - OSNOVNI KAPITAL (103 do 108)</v>
      </c>
      <c r="E92" s="421"/>
      <c r="F92" s="421"/>
      <c r="G92" s="421"/>
      <c r="H92" s="422"/>
      <c r="I92" s="237">
        <f>VLOOKUP( $B92, T_Aop[], 4, 1)</f>
        <v>102</v>
      </c>
      <c r="J92" s="43"/>
      <c r="K92" s="44"/>
      <c r="L92" s="70">
        <f>SUBTOTAL( 9, L93:L98)</f>
        <v>50000</v>
      </c>
      <c r="M92" s="71">
        <f>SUBTOTAL( 9, M93:M98)</f>
        <v>50000</v>
      </c>
      <c r="O92" s="60"/>
    </row>
    <row r="93" spans="2:15" x14ac:dyDescent="0.2">
      <c r="B93" s="17">
        <v>71</v>
      </c>
      <c r="C93" s="168">
        <f>VLOOKUP( $B93, T_Aop[], 5, 1)</f>
        <v>300</v>
      </c>
      <c r="D93" s="410" t="str">
        <f>VLOOKUP( $B93, T_Aop[], 6, 1)</f>
        <v xml:space="preserve">      1. Akcijski kapital</v>
      </c>
      <c r="E93" s="411"/>
      <c r="F93" s="411"/>
      <c r="G93" s="411"/>
      <c r="H93" s="412"/>
      <c r="I93" s="169">
        <f>VLOOKUP( $B93, T_Aop[], 4, 1)</f>
        <v>103</v>
      </c>
      <c r="J93" s="255"/>
      <c r="K93" s="256"/>
      <c r="L93" s="332">
        <v>50000</v>
      </c>
      <c r="M93" s="333">
        <v>50000</v>
      </c>
      <c r="O93" s="60"/>
    </row>
    <row r="94" spans="2:15" x14ac:dyDescent="0.2">
      <c r="B94" s="17">
        <v>72</v>
      </c>
      <c r="C94" s="166">
        <f>VLOOKUP( $B94, T_Aop[], 5, 1)</f>
        <v>302</v>
      </c>
      <c r="D94" s="413" t="str">
        <f>VLOOKUP( $B94, T_Aop[], 6, 1)</f>
        <v xml:space="preserve">      2. Udjeli društva sa ograničenom odgovornošću</v>
      </c>
      <c r="E94" s="414"/>
      <c r="F94" s="414"/>
      <c r="G94" s="414"/>
      <c r="H94" s="415"/>
      <c r="I94" s="167">
        <f>VLOOKUP( $B94, T_Aop[], 4, 1)</f>
        <v>104</v>
      </c>
      <c r="J94" s="253"/>
      <c r="K94" s="254"/>
      <c r="L94" s="334"/>
      <c r="M94" s="335"/>
      <c r="O94" s="60"/>
    </row>
    <row r="95" spans="2:15" x14ac:dyDescent="0.2">
      <c r="B95" s="17">
        <v>73</v>
      </c>
      <c r="C95" s="168">
        <f>VLOOKUP( $B95, T_Aop[], 5, 1)</f>
        <v>303</v>
      </c>
      <c r="D95" s="410" t="str">
        <f>VLOOKUP( $B95, T_Aop[], 6, 1)</f>
        <v xml:space="preserve">      3. Zadružni udjeli</v>
      </c>
      <c r="E95" s="411"/>
      <c r="F95" s="411"/>
      <c r="G95" s="411"/>
      <c r="H95" s="412"/>
      <c r="I95" s="169">
        <f>VLOOKUP( $B95, T_Aop[], 4, 1)</f>
        <v>105</v>
      </c>
      <c r="J95" s="255"/>
      <c r="K95" s="256"/>
      <c r="L95" s="332"/>
      <c r="M95" s="333"/>
      <c r="O95" s="60"/>
    </row>
    <row r="96" spans="2:15" x14ac:dyDescent="0.2">
      <c r="B96" s="17">
        <v>74</v>
      </c>
      <c r="C96" s="166">
        <f>VLOOKUP( $B96, T_Aop[], 5, 1)</f>
        <v>304</v>
      </c>
      <c r="D96" s="413" t="str">
        <f>VLOOKUP( $B96, T_Aop[], 6, 1)</f>
        <v xml:space="preserve">      4. Ulozi</v>
      </c>
      <c r="E96" s="414"/>
      <c r="F96" s="414"/>
      <c r="G96" s="414"/>
      <c r="H96" s="415"/>
      <c r="I96" s="167">
        <f>VLOOKUP( $B96, T_Aop[], 4, 1)</f>
        <v>106</v>
      </c>
      <c r="J96" s="253"/>
      <c r="K96" s="254"/>
      <c r="L96" s="334"/>
      <c r="M96" s="335"/>
      <c r="O96" s="60"/>
    </row>
    <row r="97" spans="2:15" x14ac:dyDescent="0.2">
      <c r="B97" s="17">
        <v>75</v>
      </c>
      <c r="C97" s="168">
        <f>VLOOKUP( $B97, T_Aop[], 5, 1)</f>
        <v>305</v>
      </c>
      <c r="D97" s="410" t="str">
        <f>VLOOKUP( $B97, T_Aop[], 6, 1)</f>
        <v xml:space="preserve">      5. Državni kapital</v>
      </c>
      <c r="E97" s="411"/>
      <c r="F97" s="411"/>
      <c r="G97" s="411"/>
      <c r="H97" s="412"/>
      <c r="I97" s="169">
        <f>VLOOKUP( $B97, T_Aop[], 4, 1)</f>
        <v>107</v>
      </c>
      <c r="J97" s="255"/>
      <c r="K97" s="256"/>
      <c r="L97" s="332"/>
      <c r="M97" s="333"/>
      <c r="O97" s="60"/>
    </row>
    <row r="98" spans="2:15" x14ac:dyDescent="0.2">
      <c r="B98" s="17">
        <v>76</v>
      </c>
      <c r="C98" s="166" t="str">
        <f>VLOOKUP( $B98, T_Aop[], 5, 1)</f>
        <v>309</v>
      </c>
      <c r="D98" s="413" t="str">
        <f>VLOOKUP( $B98, T_Aop[], 6, 1)</f>
        <v xml:space="preserve">      6. Ostali osnovni kapital</v>
      </c>
      <c r="E98" s="414"/>
      <c r="F98" s="414"/>
      <c r="G98" s="414"/>
      <c r="H98" s="415"/>
      <c r="I98" s="167">
        <f>VLOOKUP( $B98, T_Aop[], 4, 1)</f>
        <v>108</v>
      </c>
      <c r="J98" s="253"/>
      <c r="K98" s="254"/>
      <c r="L98" s="334"/>
      <c r="M98" s="335"/>
      <c r="O98" s="60"/>
    </row>
    <row r="99" spans="2:15" x14ac:dyDescent="0.2">
      <c r="B99" s="17">
        <v>77</v>
      </c>
      <c r="C99" s="238">
        <f>VLOOKUP( $B99, T_Aop[], 5, 1)</f>
        <v>31</v>
      </c>
      <c r="D99" s="416" t="str">
        <f>VLOOKUP( $B99, T_Aop[], 6, 1)</f>
        <v xml:space="preserve">    II - UPISANI NEUPLAĆENI KAPITAL</v>
      </c>
      <c r="E99" s="417"/>
      <c r="F99" s="417"/>
      <c r="G99" s="417"/>
      <c r="H99" s="418"/>
      <c r="I99" s="239">
        <f>VLOOKUP( $B99, T_Aop[], 4, 1)</f>
        <v>109</v>
      </c>
      <c r="J99" s="45"/>
      <c r="K99" s="46"/>
      <c r="L99" s="336"/>
      <c r="M99" s="337"/>
      <c r="O99" s="60"/>
    </row>
    <row r="100" spans="2:15" x14ac:dyDescent="0.2">
      <c r="B100" s="17">
        <v>78</v>
      </c>
      <c r="C100" s="236">
        <f>VLOOKUP( $B100, T_Aop[], 5, 1)</f>
        <v>320</v>
      </c>
      <c r="D100" s="420" t="str">
        <f>VLOOKUP( $B100, T_Aop[], 6, 1)</f>
        <v xml:space="preserve">    III - EMISIONA PREMIJA </v>
      </c>
      <c r="E100" s="421"/>
      <c r="F100" s="421"/>
      <c r="G100" s="421"/>
      <c r="H100" s="422"/>
      <c r="I100" s="237">
        <f>VLOOKUP( $B100, T_Aop[], 4, 1)</f>
        <v>110</v>
      </c>
      <c r="J100" s="43"/>
      <c r="K100" s="44"/>
      <c r="L100" s="338"/>
      <c r="M100" s="339"/>
      <c r="O100" s="60"/>
    </row>
    <row r="101" spans="2:15" x14ac:dyDescent="0.2">
      <c r="B101" s="17">
        <v>79</v>
      </c>
      <c r="C101" s="238">
        <f>VLOOKUP( $B101, T_Aop[], 5, 1)</f>
        <v>321</v>
      </c>
      <c r="D101" s="416" t="str">
        <f>VLOOKUP( $B101, T_Aop[], 6, 1)</f>
        <v xml:space="preserve">    IV - EMISIONI GUBITAK</v>
      </c>
      <c r="E101" s="417"/>
      <c r="F101" s="417"/>
      <c r="G101" s="417"/>
      <c r="H101" s="418"/>
      <c r="I101" s="239">
        <f>VLOOKUP( $B101, T_Aop[], 4, 1)</f>
        <v>111</v>
      </c>
      <c r="J101" s="45"/>
      <c r="K101" s="46"/>
      <c r="L101" s="336"/>
      <c r="M101" s="337"/>
      <c r="O101" s="60"/>
    </row>
    <row r="102" spans="2:15" x14ac:dyDescent="0.2">
      <c r="B102" s="17">
        <v>80</v>
      </c>
      <c r="C102" s="236" t="str">
        <f>VLOOKUP( $B102, T_Aop[], 5, 1)</f>
        <v>dio 32</v>
      </c>
      <c r="D102" s="420" t="str">
        <f>VLOOKUP( $B102, T_Aop[], 6, 1)</f>
        <v xml:space="preserve">    V - REZERVE (113 do 115)</v>
      </c>
      <c r="E102" s="421"/>
      <c r="F102" s="421"/>
      <c r="G102" s="421"/>
      <c r="H102" s="422"/>
      <c r="I102" s="237">
        <f>VLOOKUP( $B102, T_Aop[], 4, 1)</f>
        <v>112</v>
      </c>
      <c r="J102" s="43"/>
      <c r="K102" s="44"/>
      <c r="L102" s="70">
        <f>SUBTOTAL( 9, L103:L105)</f>
        <v>0</v>
      </c>
      <c r="M102" s="71">
        <f>SUBTOTAL( 9, M103:M105)</f>
        <v>0</v>
      </c>
      <c r="O102" s="60"/>
    </row>
    <row r="103" spans="2:15" x14ac:dyDescent="0.2">
      <c r="B103" s="17">
        <v>81</v>
      </c>
      <c r="C103" s="168">
        <f>VLOOKUP( $B103, T_Aop[], 5, 1)</f>
        <v>322</v>
      </c>
      <c r="D103" s="410" t="str">
        <f>VLOOKUP( $B103, T_Aop[], 6, 1)</f>
        <v xml:space="preserve">      1. Zakonske rezerve</v>
      </c>
      <c r="E103" s="411"/>
      <c r="F103" s="411"/>
      <c r="G103" s="411"/>
      <c r="H103" s="412"/>
      <c r="I103" s="169">
        <f>VLOOKUP( $B103, T_Aop[], 4, 1)</f>
        <v>113</v>
      </c>
      <c r="J103" s="255"/>
      <c r="K103" s="256"/>
      <c r="L103" s="332"/>
      <c r="M103" s="333"/>
      <c r="O103" s="60"/>
    </row>
    <row r="104" spans="2:15" x14ac:dyDescent="0.2">
      <c r="B104" s="17">
        <v>82</v>
      </c>
      <c r="C104" s="166">
        <f>VLOOKUP( $B104, T_Aop[], 5, 1)</f>
        <v>323</v>
      </c>
      <c r="D104" s="413" t="str">
        <f>VLOOKUP( $B104, T_Aop[], 6, 1)</f>
        <v xml:space="preserve">      2. Statutarne rezerve</v>
      </c>
      <c r="E104" s="414"/>
      <c r="F104" s="414"/>
      <c r="G104" s="414"/>
      <c r="H104" s="415"/>
      <c r="I104" s="167">
        <f>VLOOKUP( $B104, T_Aop[], 4, 1)</f>
        <v>114</v>
      </c>
      <c r="J104" s="253"/>
      <c r="K104" s="254"/>
      <c r="L104" s="334"/>
      <c r="M104" s="335"/>
      <c r="O104" s="60"/>
    </row>
    <row r="105" spans="2:15" x14ac:dyDescent="0.2">
      <c r="B105" s="17">
        <v>83</v>
      </c>
      <c r="C105" s="168">
        <f>VLOOKUP( $B105, T_Aop[], 5, 1)</f>
        <v>329</v>
      </c>
      <c r="D105" s="410" t="str">
        <f>VLOOKUP( $B105, T_Aop[], 6, 1)</f>
        <v xml:space="preserve">      3. Ostale rezerve</v>
      </c>
      <c r="E105" s="411"/>
      <c r="F105" s="411"/>
      <c r="G105" s="411"/>
      <c r="H105" s="412"/>
      <c r="I105" s="169">
        <f>VLOOKUP( $B105, T_Aop[], 4, 1)</f>
        <v>115</v>
      </c>
      <c r="J105" s="255"/>
      <c r="K105" s="256"/>
      <c r="L105" s="332"/>
      <c r="M105" s="333"/>
      <c r="O105" s="60"/>
    </row>
    <row r="106" spans="2:15" x14ac:dyDescent="0.2">
      <c r="B106" s="17">
        <v>84</v>
      </c>
      <c r="C106" s="236" t="str">
        <f>VLOOKUP( $B106, T_Aop[], 5, 1)</f>
        <v>330, 331, 334</v>
      </c>
      <c r="D106" s="420" t="str">
        <f>VLOOKUP( $B106, T_Aop[], 6, 1)</f>
        <v xml:space="preserve">    VI - REVALORIZACIONE REZERVE</v>
      </c>
      <c r="E106" s="421"/>
      <c r="F106" s="421"/>
      <c r="G106" s="421"/>
      <c r="H106" s="422"/>
      <c r="I106" s="237">
        <f>VLOOKUP( $B106, T_Aop[], 4, 1)</f>
        <v>116</v>
      </c>
      <c r="J106" s="43"/>
      <c r="K106" s="44"/>
      <c r="L106" s="338">
        <v>225286778</v>
      </c>
      <c r="M106" s="339">
        <v>225286778</v>
      </c>
      <c r="O106" s="60"/>
    </row>
    <row r="107" spans="2:15" x14ac:dyDescent="0.2">
      <c r="B107" s="17">
        <v>85</v>
      </c>
      <c r="C107" s="238">
        <f>VLOOKUP( $B107, T_Aop[], 5, 1)</f>
        <v>332</v>
      </c>
      <c r="D107" s="416" t="str">
        <f>VLOOKUP( $B107, T_Aop[], 6, 1)</f>
        <v xml:space="preserve">    VII - NEREALIZOVANI DOBICI PO OSNOVU FINANSIJSKIH SREDSTAVA RASPOLOŽIVIH ZA PRODAJU</v>
      </c>
      <c r="E107" s="417"/>
      <c r="F107" s="417"/>
      <c r="G107" s="417"/>
      <c r="H107" s="418"/>
      <c r="I107" s="239">
        <f>VLOOKUP( $B107, T_Aop[], 4, 1)</f>
        <v>117</v>
      </c>
      <c r="J107" s="45"/>
      <c r="K107" s="46"/>
      <c r="L107" s="336"/>
      <c r="M107" s="337"/>
      <c r="O107" s="60"/>
    </row>
    <row r="108" spans="2:15" x14ac:dyDescent="0.2">
      <c r="B108" s="17">
        <v>86</v>
      </c>
      <c r="C108" s="236">
        <f>VLOOKUP( $B108, T_Aop[], 5, 1)</f>
        <v>333</v>
      </c>
      <c r="D108" s="420" t="str">
        <f>VLOOKUP( $B108, T_Aop[], 6, 1)</f>
        <v xml:space="preserve">    VIII - NEREALIZOVANI GUBICI PO OSNOVU FINANSIJSKIH SREDSTAVA RASPOLOŽIVIH ZA PRODAJU </v>
      </c>
      <c r="E108" s="421"/>
      <c r="F108" s="421"/>
      <c r="G108" s="421"/>
      <c r="H108" s="422"/>
      <c r="I108" s="237">
        <f>VLOOKUP( $B108, T_Aop[], 4, 1)</f>
        <v>118</v>
      </c>
      <c r="J108" s="43"/>
      <c r="K108" s="44"/>
      <c r="L108" s="338"/>
      <c r="M108" s="339"/>
      <c r="O108" s="60"/>
    </row>
    <row r="109" spans="2:15" x14ac:dyDescent="0.2">
      <c r="B109" s="17">
        <v>87</v>
      </c>
      <c r="C109" s="238">
        <f>VLOOKUP( $B109, T_Aop[], 5, 1)</f>
        <v>34</v>
      </c>
      <c r="D109" s="416" t="str">
        <f>VLOOKUP( $B109, T_Aop[], 6, 1)</f>
        <v xml:space="preserve">    IX - NERASPOREĐENI DOBITAK (120 do 122)</v>
      </c>
      <c r="E109" s="417"/>
      <c r="F109" s="417"/>
      <c r="G109" s="417"/>
      <c r="H109" s="418"/>
      <c r="I109" s="239">
        <f>VLOOKUP( $B109, T_Aop[], 4, 1)</f>
        <v>119</v>
      </c>
      <c r="J109" s="45"/>
      <c r="K109" s="46"/>
      <c r="L109" s="72">
        <f>SUBTOTAL( 9, L110:L112)</f>
        <v>0</v>
      </c>
      <c r="M109" s="73">
        <f>SUBTOTAL( 9, M110:M112)</f>
        <v>0</v>
      </c>
      <c r="O109" s="60"/>
    </row>
    <row r="110" spans="2:15" x14ac:dyDescent="0.2">
      <c r="B110" s="17">
        <v>88</v>
      </c>
      <c r="C110" s="166" t="str">
        <f>VLOOKUP( $B110, T_Aop[], 5, 1)</f>
        <v>340 ili 342</v>
      </c>
      <c r="D110" s="413" t="str">
        <f>VLOOKUP( $B110, T_Aop[], 6, 1)</f>
        <v xml:space="preserve">      1. Neraspoređeni dobitak ranijih godina / Neraspoređeni višak prihoda nad rashodima ranijih godina</v>
      </c>
      <c r="E110" s="414"/>
      <c r="F110" s="414"/>
      <c r="G110" s="414"/>
      <c r="H110" s="415"/>
      <c r="I110" s="167">
        <f>VLOOKUP( $B110, T_Aop[], 4, 1)</f>
        <v>120</v>
      </c>
      <c r="J110" s="253"/>
      <c r="K110" s="254"/>
      <c r="L110" s="334"/>
      <c r="M110" s="335"/>
      <c r="O110" s="60"/>
    </row>
    <row r="111" spans="2:15" x14ac:dyDescent="0.2">
      <c r="B111" s="17">
        <v>89</v>
      </c>
      <c r="C111" s="168" t="str">
        <f>VLOOKUP( $B111, T_Aop[], 5, 1)</f>
        <v>341 ili 343</v>
      </c>
      <c r="D111" s="410" t="str">
        <f>VLOOKUP( $B111, T_Aop[], 6, 1)</f>
        <v xml:space="preserve">      2. Neraspoređeni dobitak tekuće godine / Neraspoređeni višak prihoda nad rashodima tekuće godine</v>
      </c>
      <c r="E111" s="411"/>
      <c r="F111" s="411"/>
      <c r="G111" s="411"/>
      <c r="H111" s="412"/>
      <c r="I111" s="169">
        <f>VLOOKUP( $B111, T_Aop[], 4, 1)</f>
        <v>121</v>
      </c>
      <c r="J111" s="255"/>
      <c r="K111" s="256"/>
      <c r="L111" s="332"/>
      <c r="M111" s="333"/>
      <c r="O111" s="60"/>
    </row>
    <row r="112" spans="2:15" x14ac:dyDescent="0.2">
      <c r="B112" s="17">
        <v>90</v>
      </c>
      <c r="C112" s="166">
        <f>VLOOKUP( $B112, T_Aop[], 5, 1)</f>
        <v>344</v>
      </c>
      <c r="D112" s="413" t="str">
        <f>VLOOKUP( $B112, T_Aop[], 6, 1)</f>
        <v xml:space="preserve">      3. Neto prihod od samostalne djelatnosti</v>
      </c>
      <c r="E112" s="414"/>
      <c r="F112" s="414"/>
      <c r="G112" s="414"/>
      <c r="H112" s="415"/>
      <c r="I112" s="167">
        <f>VLOOKUP( $B112, T_Aop[], 4, 1)</f>
        <v>122</v>
      </c>
      <c r="J112" s="253"/>
      <c r="K112" s="254"/>
      <c r="L112" s="334"/>
      <c r="M112" s="335"/>
      <c r="O112" s="60"/>
    </row>
    <row r="113" spans="2:15" x14ac:dyDescent="0.2">
      <c r="B113" s="17">
        <v>91</v>
      </c>
      <c r="C113" s="238" t="str">
        <f>VLOOKUP( $B113, T_Aop[], 5, 1)</f>
        <v>35</v>
      </c>
      <c r="D113" s="416" t="str">
        <f>VLOOKUP( $B113, T_Aop[], 6, 1)</f>
        <v xml:space="preserve">    X - GUBITAK DO VISINE KAPITALA (124 + 125)</v>
      </c>
      <c r="E113" s="417"/>
      <c r="F113" s="417"/>
      <c r="G113" s="417"/>
      <c r="H113" s="418"/>
      <c r="I113" s="239">
        <f>VLOOKUP( $B113, T_Aop[], 4, 1)</f>
        <v>123</v>
      </c>
      <c r="J113" s="45"/>
      <c r="K113" s="46"/>
      <c r="L113" s="72">
        <f>SUBTOTAL( 9, L114:L115)</f>
        <v>104856146</v>
      </c>
      <c r="M113" s="73">
        <f>SUBTOTAL( 9, M114:M115)</f>
        <v>100398183</v>
      </c>
      <c r="O113" s="60"/>
    </row>
    <row r="114" spans="2:15" x14ac:dyDescent="0.2">
      <c r="B114" s="17">
        <v>92</v>
      </c>
      <c r="C114" s="166">
        <f>VLOOKUP( $B114, T_Aop[], 5, 1)</f>
        <v>350</v>
      </c>
      <c r="D114" s="413" t="str">
        <f>VLOOKUP( $B114, T_Aop[], 6, 1)</f>
        <v xml:space="preserve">      1. Gubitak ranijih godina</v>
      </c>
      <c r="E114" s="414"/>
      <c r="F114" s="414"/>
      <c r="G114" s="414"/>
      <c r="H114" s="415"/>
      <c r="I114" s="167">
        <f>VLOOKUP( $B114, T_Aop[], 4, 1)</f>
        <v>124</v>
      </c>
      <c r="J114" s="253"/>
      <c r="K114" s="254"/>
      <c r="L114" s="334">
        <v>100398183</v>
      </c>
      <c r="M114" s="335">
        <v>81872254</v>
      </c>
      <c r="O114" s="60"/>
    </row>
    <row r="115" spans="2:15" x14ac:dyDescent="0.2">
      <c r="B115" s="17">
        <v>93</v>
      </c>
      <c r="C115" s="168">
        <f>VLOOKUP( $B115, T_Aop[], 5, 1)</f>
        <v>351</v>
      </c>
      <c r="D115" s="410" t="str">
        <f>VLOOKUP( $B115, T_Aop[], 6, 1)</f>
        <v xml:space="preserve">      2. Gubitak tekuće godine</v>
      </c>
      <c r="E115" s="411"/>
      <c r="F115" s="411"/>
      <c r="G115" s="411"/>
      <c r="H115" s="412"/>
      <c r="I115" s="169">
        <f>VLOOKUP( $B115, T_Aop[], 4, 1)</f>
        <v>125</v>
      </c>
      <c r="J115" s="255"/>
      <c r="K115" s="256"/>
      <c r="L115" s="332">
        <v>4457963</v>
      </c>
      <c r="M115" s="333">
        <v>18525929</v>
      </c>
      <c r="O115" s="60"/>
    </row>
    <row r="116" spans="2:15" x14ac:dyDescent="0.2">
      <c r="B116" s="17">
        <v>94</v>
      </c>
      <c r="C116" s="236">
        <f>VLOOKUP( $B116, T_Aop[], 5, 1)</f>
        <v>40</v>
      </c>
      <c r="D116" s="420" t="str">
        <f>VLOOKUP( $B116, T_Aop[], 6, 1)</f>
        <v xml:space="preserve">  B. REZERVISANJA, ODLOŽENE PORESKE OBAVEZE I RAZGRANIČENI PRIHODI (127 do 134)</v>
      </c>
      <c r="E116" s="421"/>
      <c r="F116" s="421"/>
      <c r="G116" s="421"/>
      <c r="H116" s="422"/>
      <c r="I116" s="237">
        <f>VLOOKUP( $B116, T_Aop[], 4, 1)</f>
        <v>126</v>
      </c>
      <c r="J116" s="43"/>
      <c r="K116" s="44"/>
      <c r="L116" s="70">
        <f>SUBTOTAL( 9, L117:L124)</f>
        <v>13086792</v>
      </c>
      <c r="M116" s="71">
        <f>SUBTOTAL( 9, M117:M124)</f>
        <v>13537034</v>
      </c>
      <c r="O116" s="60"/>
    </row>
    <row r="117" spans="2:15" x14ac:dyDescent="0.2">
      <c r="B117" s="17">
        <v>95</v>
      </c>
      <c r="C117" s="168">
        <f>VLOOKUP( $B117, T_Aop[], 5, 1)</f>
        <v>400</v>
      </c>
      <c r="D117" s="410" t="str">
        <f>VLOOKUP( $B117, T_Aop[], 6, 1)</f>
        <v xml:space="preserve">    1. Rezervisanja za troškove u garantnom roku</v>
      </c>
      <c r="E117" s="411"/>
      <c r="F117" s="411"/>
      <c r="G117" s="411"/>
      <c r="H117" s="412"/>
      <c r="I117" s="169">
        <f>VLOOKUP( $B117, T_Aop[], 4, 1)</f>
        <v>127</v>
      </c>
      <c r="J117" s="255"/>
      <c r="K117" s="256"/>
      <c r="L117" s="332"/>
      <c r="M117" s="333"/>
      <c r="O117" s="60"/>
    </row>
    <row r="118" spans="2:15" x14ac:dyDescent="0.2">
      <c r="B118" s="17">
        <v>96</v>
      </c>
      <c r="C118" s="166">
        <f>VLOOKUP( $B118, T_Aop[], 5, 1)</f>
        <v>401</v>
      </c>
      <c r="D118" s="413" t="str">
        <f>VLOOKUP( $B118, T_Aop[], 6, 1)</f>
        <v xml:space="preserve">    2. Rezervisanja za troškove obnavljanja prirodnih bogatstava</v>
      </c>
      <c r="E118" s="414"/>
      <c r="F118" s="414"/>
      <c r="G118" s="414"/>
      <c r="H118" s="415"/>
      <c r="I118" s="167">
        <f>VLOOKUP( $B118, T_Aop[], 4, 1)</f>
        <v>128</v>
      </c>
      <c r="J118" s="253"/>
      <c r="K118" s="254"/>
      <c r="L118" s="334"/>
      <c r="M118" s="335"/>
      <c r="O118" s="60"/>
    </row>
    <row r="119" spans="2:15" x14ac:dyDescent="0.2">
      <c r="B119" s="17">
        <v>97</v>
      </c>
      <c r="C119" s="168">
        <f>VLOOKUP( $B119, T_Aop[], 5, 1)</f>
        <v>402</v>
      </c>
      <c r="D119" s="410" t="str">
        <f>VLOOKUP( $B119, T_Aop[], 6, 1)</f>
        <v xml:space="preserve">    3. Rezervisanja za zadržane kaucije i depozite</v>
      </c>
      <c r="E119" s="411"/>
      <c r="F119" s="411"/>
      <c r="G119" s="411"/>
      <c r="H119" s="412"/>
      <c r="I119" s="169">
        <f>VLOOKUP( $B119, T_Aop[], 4, 1)</f>
        <v>129</v>
      </c>
      <c r="J119" s="255"/>
      <c r="K119" s="256"/>
      <c r="L119" s="332"/>
      <c r="M119" s="333"/>
      <c r="O119" s="60"/>
    </row>
    <row r="120" spans="2:15" x14ac:dyDescent="0.2">
      <c r="B120" s="17">
        <v>98</v>
      </c>
      <c r="C120" s="166">
        <f>VLOOKUP( $B120, T_Aop[], 5, 1)</f>
        <v>403</v>
      </c>
      <c r="D120" s="413" t="str">
        <f>VLOOKUP( $B120, T_Aop[], 6, 1)</f>
        <v xml:space="preserve">    4. Rezervisanja za troškove restrukturisanja</v>
      </c>
      <c r="E120" s="414"/>
      <c r="F120" s="414"/>
      <c r="G120" s="414"/>
      <c r="H120" s="415"/>
      <c r="I120" s="167">
        <f>VLOOKUP( $B120, T_Aop[], 4, 1)</f>
        <v>130</v>
      </c>
      <c r="J120" s="253"/>
      <c r="K120" s="254"/>
      <c r="L120" s="334"/>
      <c r="M120" s="335"/>
      <c r="O120" s="60"/>
    </row>
    <row r="121" spans="2:15" x14ac:dyDescent="0.2">
      <c r="B121" s="17">
        <v>99</v>
      </c>
      <c r="C121" s="168">
        <f>VLOOKUP( $B121, T_Aop[], 5, 1)</f>
        <v>404</v>
      </c>
      <c r="D121" s="410" t="str">
        <f>VLOOKUP( $B121, T_Aop[], 6, 1)</f>
        <v xml:space="preserve">    5. Rezervisanja za naknade i beneficije zaposlenih</v>
      </c>
      <c r="E121" s="411"/>
      <c r="F121" s="411"/>
      <c r="G121" s="411"/>
      <c r="H121" s="412"/>
      <c r="I121" s="169">
        <f>VLOOKUP( $B121, T_Aop[], 4, 1)</f>
        <v>131</v>
      </c>
      <c r="J121" s="255"/>
      <c r="K121" s="256"/>
      <c r="L121" s="332">
        <v>1635569</v>
      </c>
      <c r="M121" s="333">
        <v>1635569</v>
      </c>
      <c r="O121" s="60"/>
    </row>
    <row r="122" spans="2:15" x14ac:dyDescent="0.2">
      <c r="B122" s="17">
        <v>100</v>
      </c>
      <c r="C122" s="166">
        <f>VLOOKUP( $B122, T_Aop[], 5, 1)</f>
        <v>407</v>
      </c>
      <c r="D122" s="413" t="str">
        <f>VLOOKUP( $B122, T_Aop[], 6, 1)</f>
        <v xml:space="preserve">    6. Odložene poreske obaveze</v>
      </c>
      <c r="E122" s="414"/>
      <c r="F122" s="414"/>
      <c r="G122" s="414"/>
      <c r="H122" s="415"/>
      <c r="I122" s="167">
        <f>VLOOKUP( $B122, T_Aop[], 4, 1)</f>
        <v>132</v>
      </c>
      <c r="J122" s="253"/>
      <c r="K122" s="254"/>
      <c r="L122" s="334"/>
      <c r="M122" s="335"/>
      <c r="O122" s="60"/>
    </row>
    <row r="123" spans="2:15" x14ac:dyDescent="0.2">
      <c r="B123" s="17">
        <v>101</v>
      </c>
      <c r="C123" s="168">
        <f>VLOOKUP( $B123, T_Aop[], 5, 1)</f>
        <v>408</v>
      </c>
      <c r="D123" s="410" t="str">
        <f>VLOOKUP( $B123, T_Aop[], 6, 1)</f>
        <v xml:space="preserve">    7. Razgraničeni prihodi i primljene donacije</v>
      </c>
      <c r="E123" s="411"/>
      <c r="F123" s="411"/>
      <c r="G123" s="411"/>
      <c r="H123" s="412"/>
      <c r="I123" s="169">
        <f>VLOOKUP( $B123, T_Aop[], 4, 1)</f>
        <v>133</v>
      </c>
      <c r="J123" s="255"/>
      <c r="K123" s="256"/>
      <c r="L123" s="332">
        <v>5128122</v>
      </c>
      <c r="M123" s="333">
        <v>5266089</v>
      </c>
      <c r="O123" s="60"/>
    </row>
    <row r="124" spans="2:15" x14ac:dyDescent="0.2">
      <c r="B124" s="17">
        <v>102</v>
      </c>
      <c r="C124" s="166">
        <f>VLOOKUP( $B124, T_Aop[], 5, 1)</f>
        <v>409</v>
      </c>
      <c r="D124" s="413" t="str">
        <f>VLOOKUP( $B124, T_Aop[], 6, 1)</f>
        <v xml:space="preserve">    8. Ostala dugoročna rezervisanja</v>
      </c>
      <c r="E124" s="414"/>
      <c r="F124" s="414"/>
      <c r="G124" s="414"/>
      <c r="H124" s="415"/>
      <c r="I124" s="167">
        <f>VLOOKUP( $B124, T_Aop[], 4, 1)</f>
        <v>134</v>
      </c>
      <c r="J124" s="253"/>
      <c r="K124" s="254"/>
      <c r="L124" s="334">
        <v>6323101</v>
      </c>
      <c r="M124" s="335">
        <v>6635376</v>
      </c>
      <c r="O124" s="60"/>
    </row>
    <row r="125" spans="2:15" x14ac:dyDescent="0.2">
      <c r="B125" s="17">
        <v>103</v>
      </c>
      <c r="C125" s="238">
        <f>VLOOKUP( $B125, T_Aop[], 5, 1)</f>
        <v>0</v>
      </c>
      <c r="D125" s="416" t="str">
        <f>VLOOKUP( $B125, T_Aop[], 6, 1)</f>
        <v xml:space="preserve">  V. OBAVEZE (136 + 144)</v>
      </c>
      <c r="E125" s="417"/>
      <c r="F125" s="417"/>
      <c r="G125" s="417"/>
      <c r="H125" s="418"/>
      <c r="I125" s="239">
        <f>VLOOKUP( $B125, T_Aop[], 4, 1)</f>
        <v>135</v>
      </c>
      <c r="J125" s="45"/>
      <c r="K125" s="46"/>
      <c r="L125" s="72">
        <f>SUBTOTAL( 9, L126:L153)</f>
        <v>344526033</v>
      </c>
      <c r="M125" s="73">
        <f>SUBTOTAL( 9, M126:M153)</f>
        <v>343812320</v>
      </c>
      <c r="O125" s="60"/>
    </row>
    <row r="126" spans="2:15" x14ac:dyDescent="0.2">
      <c r="B126" s="17">
        <v>104</v>
      </c>
      <c r="C126" s="236">
        <f>VLOOKUP( $B126, T_Aop[], 5, 1)</f>
        <v>41</v>
      </c>
      <c r="D126" s="420" t="str">
        <f>VLOOKUP( $B126, T_Aop[], 6, 1)</f>
        <v xml:space="preserve">    I - DUGOROČNE OBAVEZE (137 do 143)</v>
      </c>
      <c r="E126" s="421"/>
      <c r="F126" s="421"/>
      <c r="G126" s="421"/>
      <c r="H126" s="422"/>
      <c r="I126" s="237">
        <f>VLOOKUP( $B126, T_Aop[], 4, 1)</f>
        <v>136</v>
      </c>
      <c r="J126" s="43"/>
      <c r="K126" s="44"/>
      <c r="L126" s="70">
        <f>SUBTOTAL( 9, L127:L133)</f>
        <v>81599342</v>
      </c>
      <c r="M126" s="71">
        <f>SUBTOTAL( 9, M127:M133)</f>
        <v>81266263</v>
      </c>
      <c r="O126" s="60"/>
    </row>
    <row r="127" spans="2:15" x14ac:dyDescent="0.2">
      <c r="B127" s="17">
        <v>105</v>
      </c>
      <c r="C127" s="168">
        <f>VLOOKUP( $B127, T_Aop[], 5, 1)</f>
        <v>410</v>
      </c>
      <c r="D127" s="410" t="str">
        <f>VLOOKUP( $B127, T_Aop[], 6, 1)</f>
        <v xml:space="preserve">      1. Obaveze koje se mogu konvertovati u kapital</v>
      </c>
      <c r="E127" s="411"/>
      <c r="F127" s="411"/>
      <c r="G127" s="411"/>
      <c r="H127" s="412"/>
      <c r="I127" s="169">
        <f>VLOOKUP( $B127, T_Aop[], 4, 1)</f>
        <v>137</v>
      </c>
      <c r="J127" s="255"/>
      <c r="K127" s="256"/>
      <c r="L127" s="332"/>
      <c r="M127" s="333"/>
      <c r="O127" s="60"/>
    </row>
    <row r="128" spans="2:15" x14ac:dyDescent="0.2">
      <c r="B128" s="17">
        <v>106</v>
      </c>
      <c r="C128" s="166">
        <f>VLOOKUP( $B128, T_Aop[], 5, 1)</f>
        <v>411</v>
      </c>
      <c r="D128" s="413" t="str">
        <f>VLOOKUP( $B128, T_Aop[], 6, 1)</f>
        <v xml:space="preserve">      2. Obaveze prema povezanim pravnim licima</v>
      </c>
      <c r="E128" s="414"/>
      <c r="F128" s="414"/>
      <c r="G128" s="414"/>
      <c r="H128" s="415"/>
      <c r="I128" s="167">
        <f>VLOOKUP( $B128, T_Aop[], 4, 1)</f>
        <v>138</v>
      </c>
      <c r="J128" s="253"/>
      <c r="K128" s="254"/>
      <c r="L128" s="334"/>
      <c r="M128" s="335"/>
      <c r="O128" s="60"/>
    </row>
    <row r="129" spans="2:15" x14ac:dyDescent="0.2">
      <c r="B129" s="17">
        <v>107</v>
      </c>
      <c r="C129" s="168">
        <f>VLOOKUP( $B129, T_Aop[], 5, 1)</f>
        <v>412</v>
      </c>
      <c r="D129" s="410" t="str">
        <f>VLOOKUP( $B129, T_Aop[], 6, 1)</f>
        <v xml:space="preserve">      3. Obaveze po emitovanim dugoročnim hartijama od vrijednosti</v>
      </c>
      <c r="E129" s="411"/>
      <c r="F129" s="411"/>
      <c r="G129" s="411"/>
      <c r="H129" s="412"/>
      <c r="I129" s="169">
        <f>VLOOKUP( $B129, T_Aop[], 4, 1)</f>
        <v>139</v>
      </c>
      <c r="J129" s="255"/>
      <c r="K129" s="256"/>
      <c r="L129" s="332"/>
      <c r="M129" s="333"/>
      <c r="O129" s="60"/>
    </row>
    <row r="130" spans="2:15" x14ac:dyDescent="0.2">
      <c r="B130" s="17">
        <v>108</v>
      </c>
      <c r="C130" s="166" t="str">
        <f>VLOOKUP( $B130, T_Aop[], 5, 1)</f>
        <v>413, 414</v>
      </c>
      <c r="D130" s="413" t="str">
        <f>VLOOKUP( $B130, T_Aop[], 6, 1)</f>
        <v xml:space="preserve">      4. Dugoročni krediti</v>
      </c>
      <c r="E130" s="414"/>
      <c r="F130" s="414"/>
      <c r="G130" s="414"/>
      <c r="H130" s="415"/>
      <c r="I130" s="167">
        <f>VLOOKUP( $B130, T_Aop[], 4, 1)</f>
        <v>140</v>
      </c>
      <c r="J130" s="253"/>
      <c r="K130" s="254"/>
      <c r="L130" s="334">
        <v>81599342</v>
      </c>
      <c r="M130" s="335">
        <v>81266263</v>
      </c>
      <c r="O130" s="60"/>
    </row>
    <row r="131" spans="2:15" x14ac:dyDescent="0.2">
      <c r="B131" s="17">
        <v>109</v>
      </c>
      <c r="C131" s="168" t="str">
        <f>VLOOKUP( $B131, T_Aop[], 5, 1)</f>
        <v>415, 416</v>
      </c>
      <c r="D131" s="410" t="str">
        <f>VLOOKUP( $B131, T_Aop[], 6, 1)</f>
        <v xml:space="preserve">      5. Dugoročne obaveze po finansijskom lizingu</v>
      </c>
      <c r="E131" s="411"/>
      <c r="F131" s="411"/>
      <c r="G131" s="411"/>
      <c r="H131" s="412"/>
      <c r="I131" s="169">
        <f>VLOOKUP( $B131, T_Aop[], 4, 1)</f>
        <v>141</v>
      </c>
      <c r="J131" s="255"/>
      <c r="K131" s="256"/>
      <c r="L131" s="332"/>
      <c r="M131" s="333"/>
      <c r="O131" s="60"/>
    </row>
    <row r="132" spans="2:15" x14ac:dyDescent="0.2">
      <c r="B132" s="17">
        <v>110</v>
      </c>
      <c r="C132" s="166">
        <f>VLOOKUP( $B132, T_Aop[], 5, 1)</f>
        <v>417</v>
      </c>
      <c r="D132" s="413" t="str">
        <f>VLOOKUP( $B132, T_Aop[], 6, 1)</f>
        <v xml:space="preserve">      6. Dugoročne obaveze po fer vrijednosti kroz bilans uspjeha</v>
      </c>
      <c r="E132" s="414"/>
      <c r="F132" s="414"/>
      <c r="G132" s="414"/>
      <c r="H132" s="415"/>
      <c r="I132" s="167">
        <f>VLOOKUP( $B132, T_Aop[], 4, 1)</f>
        <v>142</v>
      </c>
      <c r="J132" s="253"/>
      <c r="K132" s="254"/>
      <c r="L132" s="334"/>
      <c r="M132" s="335"/>
      <c r="O132" s="60"/>
    </row>
    <row r="133" spans="2:15" x14ac:dyDescent="0.2">
      <c r="B133" s="17">
        <v>111</v>
      </c>
      <c r="C133" s="168">
        <f>VLOOKUP( $B133, T_Aop[], 5, 1)</f>
        <v>419</v>
      </c>
      <c r="D133" s="410" t="str">
        <f>VLOOKUP( $B133, T_Aop[], 6, 1)</f>
        <v xml:space="preserve">      7. Ostale dugoročne obaveze</v>
      </c>
      <c r="E133" s="411"/>
      <c r="F133" s="411"/>
      <c r="G133" s="411"/>
      <c r="H133" s="412"/>
      <c r="I133" s="169">
        <f>VLOOKUP( $B133, T_Aop[], 4, 1)</f>
        <v>143</v>
      </c>
      <c r="J133" s="255"/>
      <c r="K133" s="256"/>
      <c r="L133" s="332"/>
      <c r="M133" s="333"/>
      <c r="O133" s="60"/>
    </row>
    <row r="134" spans="2:15" x14ac:dyDescent="0.2">
      <c r="B134" s="17">
        <v>112</v>
      </c>
      <c r="C134" s="236" t="str">
        <f>VLOOKUP( $B134, T_Aop[], 5, 1)</f>
        <v>42 do 49</v>
      </c>
      <c r="D134" s="420" t="str">
        <f>VLOOKUP( $B134, T_Aop[], 6, 1)</f>
        <v xml:space="preserve">    II - KRATKOROČNE OBAVEZE (145 + 150 + 156 + 157 + 158 + 159 + 160 + 161 + 162 + 163)</v>
      </c>
      <c r="E134" s="421"/>
      <c r="F134" s="421"/>
      <c r="G134" s="421"/>
      <c r="H134" s="422"/>
      <c r="I134" s="237">
        <f>VLOOKUP( $B134, T_Aop[], 4, 1)</f>
        <v>144</v>
      </c>
      <c r="J134" s="43"/>
      <c r="K134" s="44"/>
      <c r="L134" s="70">
        <f>SUBTOTAL( 9, L135:L153)</f>
        <v>262926691</v>
      </c>
      <c r="M134" s="71">
        <f>SUBTOTAL( 9, M135:M153)</f>
        <v>262546057</v>
      </c>
      <c r="O134" s="60"/>
    </row>
    <row r="135" spans="2:15" x14ac:dyDescent="0.2">
      <c r="B135" s="17">
        <v>113</v>
      </c>
      <c r="C135" s="168">
        <f>VLOOKUP( $B135, T_Aop[], 5, 1)</f>
        <v>42</v>
      </c>
      <c r="D135" s="410" t="str">
        <f>VLOOKUP( $B135, T_Aop[], 6, 1)</f>
        <v xml:space="preserve">      1. Kratkoročne finansijske obaveze (146 do 149)</v>
      </c>
      <c r="E135" s="411"/>
      <c r="F135" s="411"/>
      <c r="G135" s="411"/>
      <c r="H135" s="412"/>
      <c r="I135" s="169">
        <f>VLOOKUP( $B135, T_Aop[], 4, 1)</f>
        <v>145</v>
      </c>
      <c r="J135" s="255"/>
      <c r="K135" s="256"/>
      <c r="L135" s="212">
        <f>SUBTOTAL( 9, L136:L139)</f>
        <v>252590492</v>
      </c>
      <c r="M135" s="213">
        <f>SUBTOTAL( 9, M136:M139)</f>
        <v>252555870</v>
      </c>
      <c r="O135" s="60"/>
    </row>
    <row r="136" spans="2:15" x14ac:dyDescent="0.2">
      <c r="B136" s="17">
        <v>114</v>
      </c>
      <c r="C136" s="166" t="str">
        <f>VLOOKUP( $B136, T_Aop[], 5, 1)</f>
        <v>420 do 423</v>
      </c>
      <c r="D136" s="413" t="str">
        <f>VLOOKUP( $B136, T_Aop[], 6, 1)</f>
        <v xml:space="preserve">        a) Kratkoročni krediti i obaveze po emitovanim kratkoročnim hartijama od vrijednosti</v>
      </c>
      <c r="E136" s="414"/>
      <c r="F136" s="414"/>
      <c r="G136" s="414"/>
      <c r="H136" s="415"/>
      <c r="I136" s="167">
        <f>VLOOKUP( $B136, T_Aop[], 4, 1)</f>
        <v>146</v>
      </c>
      <c r="J136" s="257"/>
      <c r="K136" s="258"/>
      <c r="L136" s="334"/>
      <c r="M136" s="335"/>
      <c r="O136" s="60"/>
    </row>
    <row r="137" spans="2:15" x14ac:dyDescent="0.2">
      <c r="B137" s="17">
        <v>115</v>
      </c>
      <c r="C137" s="168" t="str">
        <f>VLOOKUP( $B137, T_Aop[], 5, 1)</f>
        <v>424, 425</v>
      </c>
      <c r="D137" s="410" t="str">
        <f>VLOOKUP( $B137, T_Aop[], 6, 1)</f>
        <v xml:space="preserve">        b) Dio dugoročnih finansijskih obaveza koji za plaćanje dospijeva u periodu do godinu dana</v>
      </c>
      <c r="E137" s="411"/>
      <c r="F137" s="411"/>
      <c r="G137" s="411"/>
      <c r="H137" s="412"/>
      <c r="I137" s="169">
        <f>VLOOKUP( $B137, T_Aop[], 4, 1)</f>
        <v>147</v>
      </c>
      <c r="J137" s="255"/>
      <c r="K137" s="256"/>
      <c r="L137" s="332">
        <v>8737054</v>
      </c>
      <c r="M137" s="333">
        <v>15525561</v>
      </c>
      <c r="O137" s="60"/>
    </row>
    <row r="138" spans="2:15" x14ac:dyDescent="0.2">
      <c r="B138" s="17">
        <v>116</v>
      </c>
      <c r="C138" s="166">
        <f>VLOOKUP( $B138, T_Aop[], 5, 1)</f>
        <v>426</v>
      </c>
      <c r="D138" s="413" t="str">
        <f>VLOOKUP( $B138, T_Aop[], 6, 1)</f>
        <v xml:space="preserve">        v) Kratkoročne obaveze po fer vrijednosti kroz bilans uspjeha</v>
      </c>
      <c r="E138" s="414"/>
      <c r="F138" s="414"/>
      <c r="G138" s="414"/>
      <c r="H138" s="415"/>
      <c r="I138" s="167">
        <f>VLOOKUP( $B138, T_Aop[], 4, 1)</f>
        <v>148</v>
      </c>
      <c r="J138" s="253"/>
      <c r="K138" s="254"/>
      <c r="L138" s="334"/>
      <c r="M138" s="335"/>
      <c r="O138" s="60"/>
    </row>
    <row r="139" spans="2:15" x14ac:dyDescent="0.2">
      <c r="B139" s="17">
        <v>117</v>
      </c>
      <c r="C139" s="168">
        <f>VLOOKUP( $B139, T_Aop[], 5, 1)</f>
        <v>429</v>
      </c>
      <c r="D139" s="410" t="str">
        <f>VLOOKUP( $B139, T_Aop[], 6, 1)</f>
        <v xml:space="preserve">        g) Ostale kratkoročne finansijske obaveze</v>
      </c>
      <c r="E139" s="411"/>
      <c r="F139" s="411"/>
      <c r="G139" s="411"/>
      <c r="H139" s="412"/>
      <c r="I139" s="169">
        <f>VLOOKUP( $B139, T_Aop[], 4, 1)</f>
        <v>149</v>
      </c>
      <c r="J139" s="255"/>
      <c r="K139" s="256"/>
      <c r="L139" s="332">
        <v>243853438</v>
      </c>
      <c r="M139" s="333">
        <v>237030309</v>
      </c>
      <c r="O139" s="60"/>
    </row>
    <row r="140" spans="2:15" x14ac:dyDescent="0.2">
      <c r="B140" s="17">
        <v>118</v>
      </c>
      <c r="C140" s="166">
        <f>VLOOKUP( $B140, T_Aop[], 5, 1)</f>
        <v>43</v>
      </c>
      <c r="D140" s="413" t="str">
        <f>VLOOKUP( $B140, T_Aop[], 6, 1)</f>
        <v xml:space="preserve">      2. Obaveze iz poslovanja (151 do 155)</v>
      </c>
      <c r="E140" s="414"/>
      <c r="F140" s="414"/>
      <c r="G140" s="414"/>
      <c r="H140" s="415"/>
      <c r="I140" s="167">
        <f>VLOOKUP( $B140, T_Aop[], 4, 1)</f>
        <v>150</v>
      </c>
      <c r="J140" s="253"/>
      <c r="K140" s="254"/>
      <c r="L140" s="210">
        <f>SUBTOTAL( 9, L141:L145)</f>
        <v>6051946</v>
      </c>
      <c r="M140" s="211">
        <f>SUBTOTAL( 9, M141:M145)</f>
        <v>5458763</v>
      </c>
      <c r="O140" s="60"/>
    </row>
    <row r="141" spans="2:15" x14ac:dyDescent="0.2">
      <c r="B141" s="17">
        <v>119</v>
      </c>
      <c r="C141" s="168">
        <f>VLOOKUP( $B141, T_Aop[], 5, 1)</f>
        <v>430</v>
      </c>
      <c r="D141" s="410" t="str">
        <f>VLOOKUP( $B141, T_Aop[], 6, 1)</f>
        <v xml:space="preserve">        a) Primljeni avansi, depoziti i kaucije</v>
      </c>
      <c r="E141" s="411"/>
      <c r="F141" s="411"/>
      <c r="G141" s="411"/>
      <c r="H141" s="412"/>
      <c r="I141" s="169">
        <f>VLOOKUP( $B141, T_Aop[], 4, 1)</f>
        <v>151</v>
      </c>
      <c r="J141" s="255"/>
      <c r="K141" s="256"/>
      <c r="L141" s="332">
        <v>133748</v>
      </c>
      <c r="M141" s="333">
        <v>167853</v>
      </c>
      <c r="O141" s="60"/>
    </row>
    <row r="142" spans="2:15" x14ac:dyDescent="0.2">
      <c r="B142" s="17">
        <v>120</v>
      </c>
      <c r="C142" s="166">
        <f>VLOOKUP( $B142, T_Aop[], 5, 1)</f>
        <v>431</v>
      </c>
      <c r="D142" s="413" t="str">
        <f>VLOOKUP( $B142, T_Aop[], 6, 1)</f>
        <v xml:space="preserve">        b) Dobavljači - povezana pravna lica</v>
      </c>
      <c r="E142" s="414"/>
      <c r="F142" s="414"/>
      <c r="G142" s="414"/>
      <c r="H142" s="415"/>
      <c r="I142" s="167">
        <f>VLOOKUP( $B142, T_Aop[], 4, 1)</f>
        <v>152</v>
      </c>
      <c r="J142" s="253"/>
      <c r="K142" s="254"/>
      <c r="L142" s="334"/>
      <c r="M142" s="335"/>
      <c r="O142" s="60"/>
    </row>
    <row r="143" spans="2:15" x14ac:dyDescent="0.2">
      <c r="B143" s="17">
        <v>121</v>
      </c>
      <c r="C143" s="168" t="str">
        <f>VLOOKUP( $B143, T_Aop[], 5, 1)</f>
        <v>432, 433, 434</v>
      </c>
      <c r="D143" s="410" t="str">
        <f>VLOOKUP( $B143, T_Aop[], 6, 1)</f>
        <v xml:space="preserve">        v) Dobavljači u zemlji</v>
      </c>
      <c r="E143" s="411"/>
      <c r="F143" s="411"/>
      <c r="G143" s="411"/>
      <c r="H143" s="412"/>
      <c r="I143" s="169">
        <f>VLOOKUP( $B143, T_Aop[], 4, 1)</f>
        <v>153</v>
      </c>
      <c r="J143" s="255"/>
      <c r="K143" s="256"/>
      <c r="L143" s="332">
        <v>5500649</v>
      </c>
      <c r="M143" s="333">
        <v>4567302</v>
      </c>
      <c r="O143" s="60"/>
    </row>
    <row r="144" spans="2:15" x14ac:dyDescent="0.2">
      <c r="B144" s="17">
        <v>122</v>
      </c>
      <c r="C144" s="166">
        <f>VLOOKUP( $B144, T_Aop[], 5, 1)</f>
        <v>435</v>
      </c>
      <c r="D144" s="413" t="str">
        <f>VLOOKUP( $B144, T_Aop[], 6, 1)</f>
        <v xml:space="preserve">        g) Dobavljači iz inostranstva</v>
      </c>
      <c r="E144" s="414"/>
      <c r="F144" s="414"/>
      <c r="G144" s="414"/>
      <c r="H144" s="415"/>
      <c r="I144" s="167">
        <f>VLOOKUP( $B144, T_Aop[], 4, 1)</f>
        <v>154</v>
      </c>
      <c r="J144" s="253"/>
      <c r="K144" s="254"/>
      <c r="L144" s="334">
        <v>417549</v>
      </c>
      <c r="M144" s="335">
        <v>723608</v>
      </c>
      <c r="O144" s="60"/>
    </row>
    <row r="145" spans="2:15" x14ac:dyDescent="0.2">
      <c r="B145" s="17">
        <v>123</v>
      </c>
      <c r="C145" s="168">
        <f>VLOOKUP( $B145, T_Aop[], 5, 1)</f>
        <v>439</v>
      </c>
      <c r="D145" s="410" t="str">
        <f>VLOOKUP( $B145, T_Aop[], 6, 1)</f>
        <v xml:space="preserve">        d) Ostale obaveze iz poslovanja</v>
      </c>
      <c r="E145" s="411"/>
      <c r="F145" s="411"/>
      <c r="G145" s="411"/>
      <c r="H145" s="412"/>
      <c r="I145" s="169">
        <f>VLOOKUP( $B145, T_Aop[], 4, 1)</f>
        <v>155</v>
      </c>
      <c r="J145" s="255"/>
      <c r="K145" s="256"/>
      <c r="L145" s="332"/>
      <c r="M145" s="333"/>
      <c r="O145" s="60"/>
    </row>
    <row r="146" spans="2:15" x14ac:dyDescent="0.2">
      <c r="B146" s="17">
        <v>124</v>
      </c>
      <c r="C146" s="166" t="str">
        <f>VLOOKUP( $B146, T_Aop[], 5, 1)</f>
        <v>440 do 449</v>
      </c>
      <c r="D146" s="413" t="str">
        <f>VLOOKUP( $B146, T_Aop[], 6, 1)</f>
        <v xml:space="preserve">      3. Obaveze iz specifičnih poslova</v>
      </c>
      <c r="E146" s="414"/>
      <c r="F146" s="414"/>
      <c r="G146" s="414"/>
      <c r="H146" s="415"/>
      <c r="I146" s="167">
        <f>VLOOKUP( $B146, T_Aop[], 4, 1)</f>
        <v>156</v>
      </c>
      <c r="J146" s="253"/>
      <c r="K146" s="254"/>
      <c r="L146" s="334">
        <v>11940</v>
      </c>
      <c r="M146" s="335">
        <v>11940</v>
      </c>
      <c r="O146" s="60"/>
    </row>
    <row r="147" spans="2:15" x14ac:dyDescent="0.2">
      <c r="B147" s="17">
        <v>125</v>
      </c>
      <c r="C147" s="168" t="str">
        <f>VLOOKUP( $B147, T_Aop[], 5, 1)</f>
        <v>450 do 458</v>
      </c>
      <c r="D147" s="410" t="str">
        <f>VLOOKUP( $B147, T_Aop[], 6, 1)</f>
        <v xml:space="preserve">      4. Obaveze za zarade i naknade zarada</v>
      </c>
      <c r="E147" s="411"/>
      <c r="F147" s="411"/>
      <c r="G147" s="411"/>
      <c r="H147" s="412"/>
      <c r="I147" s="169">
        <f>VLOOKUP( $B147, T_Aop[], 4, 1)</f>
        <v>157</v>
      </c>
      <c r="J147" s="255"/>
      <c r="K147" s="256"/>
      <c r="L147" s="332">
        <v>3198228</v>
      </c>
      <c r="M147" s="333">
        <v>3197413</v>
      </c>
      <c r="O147" s="60"/>
    </row>
    <row r="148" spans="2:15" x14ac:dyDescent="0.2">
      <c r="B148" s="17">
        <v>126</v>
      </c>
      <c r="C148" s="166" t="str">
        <f>VLOOKUP( $B148, T_Aop[], 5, 1)</f>
        <v>460 do 469</v>
      </c>
      <c r="D148" s="413" t="str">
        <f>VLOOKUP( $B148, T_Aop[], 6, 1)</f>
        <v xml:space="preserve">      5. Druge obaveze</v>
      </c>
      <c r="E148" s="414"/>
      <c r="F148" s="414"/>
      <c r="G148" s="414"/>
      <c r="H148" s="415"/>
      <c r="I148" s="167">
        <f>VLOOKUP( $B148, T_Aop[], 4, 1)</f>
        <v>158</v>
      </c>
      <c r="J148" s="253"/>
      <c r="K148" s="254"/>
      <c r="L148" s="334">
        <v>174187</v>
      </c>
      <c r="M148" s="335">
        <v>187260</v>
      </c>
      <c r="O148" s="60"/>
    </row>
    <row r="149" spans="2:15" x14ac:dyDescent="0.2">
      <c r="B149" s="17">
        <v>127</v>
      </c>
      <c r="C149" s="168" t="str">
        <f>VLOOKUP( $B149, T_Aop[], 5, 1)</f>
        <v>470 do 479</v>
      </c>
      <c r="D149" s="410" t="str">
        <f>VLOOKUP( $B149, T_Aop[], 6, 1)</f>
        <v xml:space="preserve">      6. Porez na dodatu vrijednost</v>
      </c>
      <c r="E149" s="411"/>
      <c r="F149" s="411"/>
      <c r="G149" s="411"/>
      <c r="H149" s="412"/>
      <c r="I149" s="169">
        <f>VLOOKUP( $B149, T_Aop[], 4, 1)</f>
        <v>159</v>
      </c>
      <c r="J149" s="255"/>
      <c r="K149" s="256"/>
      <c r="L149" s="332">
        <v>69796</v>
      </c>
      <c r="M149" s="333">
        <v>346506</v>
      </c>
      <c r="O149" s="60"/>
    </row>
    <row r="150" spans="2:15" x14ac:dyDescent="0.2">
      <c r="B150" s="17">
        <v>128</v>
      </c>
      <c r="C150" s="166" t="str">
        <f>VLOOKUP( $B150, T_Aop[], 5, 1)</f>
        <v>48, osim 481</v>
      </c>
      <c r="D150" s="413" t="str">
        <f>VLOOKUP( $B150, T_Aop[], 6, 1)</f>
        <v xml:space="preserve">      7. Obaveze za ostale poreze, doprinose i druge dažbine</v>
      </c>
      <c r="E150" s="414"/>
      <c r="F150" s="414"/>
      <c r="G150" s="414"/>
      <c r="H150" s="415"/>
      <c r="I150" s="167">
        <f>VLOOKUP( $B150, T_Aop[], 4, 1)</f>
        <v>160</v>
      </c>
      <c r="J150" s="253"/>
      <c r="K150" s="254"/>
      <c r="L150" s="334">
        <v>69222</v>
      </c>
      <c r="M150" s="335">
        <v>77074</v>
      </c>
      <c r="O150" s="60"/>
    </row>
    <row r="151" spans="2:15" x14ac:dyDescent="0.2">
      <c r="B151" s="17">
        <v>129</v>
      </c>
      <c r="C151" s="168">
        <f>VLOOKUP( $B151, T_Aop[], 5, 1)</f>
        <v>481</v>
      </c>
      <c r="D151" s="410" t="str">
        <f>VLOOKUP( $B151, T_Aop[], 6, 1)</f>
        <v xml:space="preserve">      8. Obaveze za porez na dobitak</v>
      </c>
      <c r="E151" s="411"/>
      <c r="F151" s="411"/>
      <c r="G151" s="411"/>
      <c r="H151" s="412"/>
      <c r="I151" s="169">
        <f>VLOOKUP( $B151, T_Aop[], 4, 1)</f>
        <v>161</v>
      </c>
      <c r="J151" s="255"/>
      <c r="K151" s="256"/>
      <c r="L151" s="332"/>
      <c r="M151" s="333"/>
      <c r="O151" s="60"/>
    </row>
    <row r="152" spans="2:15" x14ac:dyDescent="0.2">
      <c r="B152" s="17">
        <v>130</v>
      </c>
      <c r="C152" s="166" t="str">
        <f>VLOOKUP( $B152, T_Aop[], 5, 1)</f>
        <v>49, osim 495</v>
      </c>
      <c r="D152" s="413" t="str">
        <f>VLOOKUP( $B152, T_Aop[], 6, 1)</f>
        <v xml:space="preserve">      9. Pasivna vremenska razgraničenja i kratkoročna rezervisanja</v>
      </c>
      <c r="E152" s="414"/>
      <c r="F152" s="414"/>
      <c r="G152" s="414"/>
      <c r="H152" s="415"/>
      <c r="I152" s="167">
        <f>VLOOKUP( $B152, T_Aop[], 4, 1)</f>
        <v>162</v>
      </c>
      <c r="J152" s="253"/>
      <c r="K152" s="254"/>
      <c r="L152" s="334">
        <v>760880</v>
      </c>
      <c r="M152" s="335">
        <v>711231</v>
      </c>
      <c r="O152" s="60"/>
    </row>
    <row r="153" spans="2:15" x14ac:dyDescent="0.2">
      <c r="B153" s="17">
        <v>131</v>
      </c>
      <c r="C153" s="168">
        <f>VLOOKUP( $B153, T_Aop[], 5, 1)</f>
        <v>495</v>
      </c>
      <c r="D153" s="410" t="str">
        <f>VLOOKUP( $B153, T_Aop[], 6, 1)</f>
        <v xml:space="preserve">      10. Odložene poreske obaveze</v>
      </c>
      <c r="E153" s="411"/>
      <c r="F153" s="411"/>
      <c r="G153" s="411"/>
      <c r="H153" s="412"/>
      <c r="I153" s="169">
        <f>VLOOKUP( $B153, T_Aop[], 4, 1)</f>
        <v>163</v>
      </c>
      <c r="J153" s="255"/>
      <c r="K153" s="256"/>
      <c r="L153" s="332"/>
      <c r="M153" s="333"/>
      <c r="O153" s="60"/>
    </row>
    <row r="154" spans="2:15" x14ac:dyDescent="0.2">
      <c r="B154" s="17">
        <v>132</v>
      </c>
      <c r="C154" s="236">
        <f>VLOOKUP( $B154, T_Aop[], 5, 1)</f>
        <v>0</v>
      </c>
      <c r="D154" s="420" t="str">
        <f>VLOOKUP( $B154, T_Aop[], 6, 1)</f>
        <v xml:space="preserve">  G. POSLOVNA PASIVA (101 + 126 + 135)</v>
      </c>
      <c r="E154" s="421"/>
      <c r="F154" s="421"/>
      <c r="G154" s="421"/>
      <c r="H154" s="422"/>
      <c r="I154" s="237">
        <f>VLOOKUP( $B154, T_Aop[], 4, 1)</f>
        <v>164</v>
      </c>
      <c r="J154" s="43"/>
      <c r="K154" s="44"/>
      <c r="L154" s="70">
        <f>SUBTOTAL( 9, L91:L98, L100, L102:L107, L109:L112, L116:L153) - SUBTOTAL( 9, L99, L101, L108, L113:L115)</f>
        <v>478093457</v>
      </c>
      <c r="M154" s="71">
        <f>SUBTOTAL( 9, M91:M98, M100, M102:M107, M109:M112, M116:M153) - SUBTOTAL( 9, M99, M101, M108, M113:M115)</f>
        <v>482287949</v>
      </c>
      <c r="O154" s="60"/>
    </row>
    <row r="155" spans="2:15" x14ac:dyDescent="0.2">
      <c r="B155" s="17">
        <v>133</v>
      </c>
      <c r="C155" s="238" t="str">
        <f>VLOOKUP( $B155, T_Aop[], 5, 1)</f>
        <v>890 do 898</v>
      </c>
      <c r="D155" s="416" t="str">
        <f>VLOOKUP( $B155, T_Aop[], 6, 1)</f>
        <v xml:space="preserve">  D. VANBILANSNA PASIVA</v>
      </c>
      <c r="E155" s="417"/>
      <c r="F155" s="417"/>
      <c r="G155" s="417"/>
      <c r="H155" s="418"/>
      <c r="I155" s="239">
        <f>VLOOKUP( $B155, T_Aop[], 4, 1)</f>
        <v>165</v>
      </c>
      <c r="J155" s="45"/>
      <c r="K155" s="46"/>
      <c r="L155" s="336">
        <v>80802875</v>
      </c>
      <c r="M155" s="337">
        <v>80658561</v>
      </c>
      <c r="O155" s="60"/>
    </row>
    <row r="156" spans="2:15" ht="12.75" customHeight="1" x14ac:dyDescent="0.2">
      <c r="B156" s="17">
        <v>134</v>
      </c>
      <c r="C156" s="242">
        <f>VLOOKUP( $B156, T_Aop[], 5, 1)</f>
        <v>0</v>
      </c>
      <c r="D156" s="423" t="str">
        <f>VLOOKUP( $B156, T_Aop[], 6, 1)</f>
        <v xml:space="preserve">  Đ. UKUPNA PASIVA (164 + 165)</v>
      </c>
      <c r="E156" s="424"/>
      <c r="F156" s="424"/>
      <c r="G156" s="424"/>
      <c r="H156" s="425"/>
      <c r="I156" s="243">
        <f>VLOOKUP( $B156, T_Aop[], 4, 1)</f>
        <v>166</v>
      </c>
      <c r="J156" s="251"/>
      <c r="K156" s="252"/>
      <c r="L156" s="267">
        <f>SUBTOTAL( 9, L91:L98, L100, L102:L107, L109:L112, L116:L155) - SUBTOTAL( 9, L99, L101, L108, L113:L115)</f>
        <v>558896332</v>
      </c>
      <c r="M156" s="268">
        <f>SUBTOTAL( 9, M91:M98, M100, M102:M107, M109:M112, M116:M155) - SUBTOTAL( 9, M99, M101, M108, M113:M115)</f>
        <v>562946510</v>
      </c>
      <c r="O156" s="60"/>
    </row>
    <row r="157" spans="2:15" x14ac:dyDescent="0.2">
      <c r="C157" s="180"/>
      <c r="D157" s="174"/>
      <c r="E157" s="174"/>
      <c r="F157" s="174"/>
      <c r="G157" s="174"/>
      <c r="H157" s="174"/>
      <c r="I157" s="173"/>
      <c r="J157" s="173"/>
    </row>
    <row r="158" spans="2:15" x14ac:dyDescent="0.2">
      <c r="C158" s="272" t="str">
        <f>Podnozje_U</f>
        <v>U:</v>
      </c>
      <c r="D158" s="269" t="str">
        <f>Podatak_U</f>
        <v>Doboju</v>
      </c>
      <c r="E158" s="280"/>
      <c r="F158" s="173"/>
      <c r="G158" s="173"/>
      <c r="H158" s="173"/>
      <c r="J158" s="154" t="str">
        <f>Podnozje_Lice_sa_licencom</f>
        <v>Lice sa licencom:</v>
      </c>
      <c r="K158" s="270" t="str">
        <f>Podatak_Lice_sa_licencom</f>
        <v>Mira Simić</v>
      </c>
      <c r="L158" s="271"/>
      <c r="M158" s="271"/>
    </row>
    <row r="159" spans="2:15" x14ac:dyDescent="0.2">
      <c r="D159" s="274"/>
      <c r="E159" s="280"/>
      <c r="F159" s="173"/>
      <c r="G159" s="181" t="str">
        <f>Podnozje_MP</f>
        <v>(M.P.)</v>
      </c>
      <c r="I159" s="15"/>
      <c r="J159"/>
      <c r="K159"/>
    </row>
    <row r="160" spans="2:15" x14ac:dyDescent="0.2">
      <c r="C160" s="272" t="str">
        <f>Podnozje_Dana</f>
        <v>Datum:</v>
      </c>
      <c r="D160" s="270" t="str">
        <f>Podatak_Dana</f>
        <v>30.06.2021.</v>
      </c>
      <c r="E160" s="175"/>
      <c r="F160" s="173"/>
      <c r="G160" s="173"/>
      <c r="H160" s="182"/>
      <c r="J160" s="154" t="str">
        <f>Podnozje_Direktor</f>
        <v>Lice ovlašćeno za zastupanje:</v>
      </c>
      <c r="K160" s="270" t="str">
        <f>Podatak_Direktor</f>
        <v>Željko Radić</v>
      </c>
      <c r="L160" s="271"/>
      <c r="M160" s="271"/>
    </row>
    <row r="161" spans="3:15" hidden="1" x14ac:dyDescent="0.2">
      <c r="C161" s="173"/>
      <c r="D161" s="173"/>
      <c r="E161" s="173"/>
      <c r="F161" s="173"/>
      <c r="G161" s="173"/>
      <c r="H161" s="173"/>
      <c r="I161" s="183"/>
      <c r="J161" s="181"/>
      <c r="O161" s="29"/>
    </row>
    <row r="162" spans="3:15" x14ac:dyDescent="0.2">
      <c r="C162" s="14"/>
      <c r="D162" s="8"/>
      <c r="E162" s="8"/>
      <c r="F162" s="8"/>
      <c r="G162" s="8"/>
      <c r="H162" s="53"/>
      <c r="I162" s="53"/>
      <c r="J162" s="53"/>
      <c r="K162" s="9"/>
      <c r="L162" s="50"/>
      <c r="M162" s="50"/>
    </row>
    <row r="163" spans="3:15" hidden="1" x14ac:dyDescent="0.2">
      <c r="C163" s="14"/>
      <c r="D163" s="8"/>
      <c r="E163" s="8"/>
      <c r="F163" s="8"/>
      <c r="G163" s="8"/>
      <c r="H163" s="8"/>
      <c r="I163" s="8"/>
    </row>
  </sheetData>
  <sheetProtection password="832E" sheet="1" objects="1" scenarios="1"/>
  <mergeCells count="163">
    <mergeCell ref="D150:H150"/>
    <mergeCell ref="D151:H151"/>
    <mergeCell ref="D140:H140"/>
    <mergeCell ref="D141:H141"/>
    <mergeCell ref="D142:H142"/>
    <mergeCell ref="D143:H143"/>
    <mergeCell ref="C9:F9"/>
    <mergeCell ref="D152:H152"/>
    <mergeCell ref="D156:H156"/>
    <mergeCell ref="D10:E10"/>
    <mergeCell ref="D11:E11"/>
    <mergeCell ref="C12:M12"/>
    <mergeCell ref="D148:H148"/>
    <mergeCell ref="D149:H149"/>
    <mergeCell ref="D144:H144"/>
    <mergeCell ref="D145:H145"/>
    <mergeCell ref="D146:H146"/>
    <mergeCell ref="D147:H147"/>
    <mergeCell ref="D126:H126"/>
    <mergeCell ref="D127:H127"/>
    <mergeCell ref="D138:H138"/>
    <mergeCell ref="D139:H139"/>
    <mergeCell ref="D128:H128"/>
    <mergeCell ref="D129:H129"/>
    <mergeCell ref="D135:H135"/>
    <mergeCell ref="D136:H136"/>
    <mergeCell ref="D137:H137"/>
    <mergeCell ref="D115:H115"/>
    <mergeCell ref="D116:H116"/>
    <mergeCell ref="D117:H117"/>
    <mergeCell ref="D118:H118"/>
    <mergeCell ref="D119:H119"/>
    <mergeCell ref="D130:H130"/>
    <mergeCell ref="D131:H131"/>
    <mergeCell ref="D132:H132"/>
    <mergeCell ref="D133:H133"/>
    <mergeCell ref="D120:H120"/>
    <mergeCell ref="D121:H121"/>
    <mergeCell ref="D122:H122"/>
    <mergeCell ref="D123:H123"/>
    <mergeCell ref="D124:H124"/>
    <mergeCell ref="D125:H125"/>
    <mergeCell ref="D107:H107"/>
    <mergeCell ref="D108:H108"/>
    <mergeCell ref="D109:H109"/>
    <mergeCell ref="D110:H110"/>
    <mergeCell ref="D111:H111"/>
    <mergeCell ref="D112:H112"/>
    <mergeCell ref="D113:H113"/>
    <mergeCell ref="D114:H114"/>
    <mergeCell ref="D134:H134"/>
    <mergeCell ref="D27:H27"/>
    <mergeCell ref="D28:H28"/>
    <mergeCell ref="D29:H29"/>
    <mergeCell ref="D30:H30"/>
    <mergeCell ref="D31:H31"/>
    <mergeCell ref="D32:H32"/>
    <mergeCell ref="D19:H19"/>
    <mergeCell ref="D20:H20"/>
    <mergeCell ref="D21:H21"/>
    <mergeCell ref="D22:H22"/>
    <mergeCell ref="D23:H23"/>
    <mergeCell ref="D24:H24"/>
    <mergeCell ref="D25:H25"/>
    <mergeCell ref="D26:H26"/>
    <mergeCell ref="C7:E8"/>
    <mergeCell ref="D16:H17"/>
    <mergeCell ref="D18:H18"/>
    <mergeCell ref="L5:M5"/>
    <mergeCell ref="L6:M6"/>
    <mergeCell ref="L7:M7"/>
    <mergeCell ref="L8:M8"/>
    <mergeCell ref="L9:M9"/>
    <mergeCell ref="L10:M10"/>
    <mergeCell ref="M16:M17"/>
    <mergeCell ref="D5:E5"/>
    <mergeCell ref="D6:E6"/>
    <mergeCell ref="C16:C17"/>
    <mergeCell ref="J16:L16"/>
    <mergeCell ref="C13:M13"/>
    <mergeCell ref="C14:M14"/>
    <mergeCell ref="D40:H40"/>
    <mergeCell ref="D41:H41"/>
    <mergeCell ref="D42:H42"/>
    <mergeCell ref="D43:H43"/>
    <mergeCell ref="D44:H44"/>
    <mergeCell ref="D33:H33"/>
    <mergeCell ref="D34:H34"/>
    <mergeCell ref="D35:H35"/>
    <mergeCell ref="D36:H36"/>
    <mergeCell ref="D37:H37"/>
    <mergeCell ref="D38:H38"/>
    <mergeCell ref="D39:H39"/>
    <mergeCell ref="D66:H66"/>
    <mergeCell ref="D67:H67"/>
    <mergeCell ref="M87:M88"/>
    <mergeCell ref="D79:H79"/>
    <mergeCell ref="D80:H80"/>
    <mergeCell ref="D81:H81"/>
    <mergeCell ref="D87:H88"/>
    <mergeCell ref="J87:K88"/>
    <mergeCell ref="D45:H45"/>
    <mergeCell ref="D46:H46"/>
    <mergeCell ref="D47:H47"/>
    <mergeCell ref="D48:H48"/>
    <mergeCell ref="D49:H49"/>
    <mergeCell ref="D60:H60"/>
    <mergeCell ref="D50:H50"/>
    <mergeCell ref="D51:H51"/>
    <mergeCell ref="D52:H52"/>
    <mergeCell ref="D53:H53"/>
    <mergeCell ref="D54:H54"/>
    <mergeCell ref="D55:H55"/>
    <mergeCell ref="D83:H83"/>
    <mergeCell ref="D84:H84"/>
    <mergeCell ref="D153:H153"/>
    <mergeCell ref="D154:H154"/>
    <mergeCell ref="D155:H155"/>
    <mergeCell ref="D82:H82"/>
    <mergeCell ref="D85:H85"/>
    <mergeCell ref="D90:H90"/>
    <mergeCell ref="D91:H91"/>
    <mergeCell ref="D72:H72"/>
    <mergeCell ref="D73:H73"/>
    <mergeCell ref="D93:H93"/>
    <mergeCell ref="D92:H92"/>
    <mergeCell ref="D94:H94"/>
    <mergeCell ref="D95:H95"/>
    <mergeCell ref="D96:H96"/>
    <mergeCell ref="D97:H97"/>
    <mergeCell ref="D98:H98"/>
    <mergeCell ref="D99:H99"/>
    <mergeCell ref="D100:H100"/>
    <mergeCell ref="D101:H101"/>
    <mergeCell ref="D102:H102"/>
    <mergeCell ref="D103:H103"/>
    <mergeCell ref="D104:H104"/>
    <mergeCell ref="D105:H105"/>
    <mergeCell ref="D106:H106"/>
    <mergeCell ref="J89:K89"/>
    <mergeCell ref="C87:C88"/>
    <mergeCell ref="I87:I88"/>
    <mergeCell ref="L87:L88"/>
    <mergeCell ref="I16:I17"/>
    <mergeCell ref="D68:H68"/>
    <mergeCell ref="D69:H69"/>
    <mergeCell ref="D70:H70"/>
    <mergeCell ref="D71:H71"/>
    <mergeCell ref="D56:H56"/>
    <mergeCell ref="D57:H57"/>
    <mergeCell ref="D58:H58"/>
    <mergeCell ref="D59:H59"/>
    <mergeCell ref="D61:H61"/>
    <mergeCell ref="D89:H89"/>
    <mergeCell ref="D74:H74"/>
    <mergeCell ref="D75:H75"/>
    <mergeCell ref="D76:H76"/>
    <mergeCell ref="D77:H77"/>
    <mergeCell ref="D78:H78"/>
    <mergeCell ref="D62:H62"/>
    <mergeCell ref="D63:H63"/>
    <mergeCell ref="D64:H64"/>
    <mergeCell ref="D65:H65"/>
  </mergeCells>
  <phoneticPr fontId="0" type="noConversion"/>
  <dataValidations xWindow="1187" yWindow="610" count="3">
    <dataValidation type="whole" operator="greaterThanOrEqual" allowBlank="1" showInputMessage="1" showErrorMessage="1" errorTitle="Greška" error="Unose se vrijednosti u konvertibilnim markama, bez decimalnih mjesta. Nije dozvoljen unos negativnih brojeva." sqref="J22:K22 J24:K26 M22:M26 J28:K33 M28:M33 J35:K39 M35:M39 J41:K49 M41:M49 J52:K57 M52:M57 J60:K65 M60:M65 J67:K74 M67:M74 J76:K80 M76:M80 J82:K82 M82 J84:K84 M84 L155:M155 L93:M101 L103:M108 L114:M115 L117:M124 L127:M133 L136:M139 L141:M153 L110:M112">
      <formula1>0</formula1>
    </dataValidation>
    <dataValidation type="whole" operator="greaterThanOrEqual" allowBlank="1" showInputMessage="1" showErrorMessage="1" errorTitle="Greška" error="Unose se vrijednosti u konvertibilnim markama, bez decimalnih mjesta. Nije dozvoljen unos negativnih brojeva." prompt="U ovo polje se ne unosi iznos._x000a_Polje se automatski računa u skladu sa formulom." sqref="J20:K21 M20:M21 J27:M27 J34:M34 J40:M40 J50:K51 M50:M51 J58:K59 M58:M59 J66:M66 J75:M75 J81:M81 J83:M83 L20:L26 L28:L33 L35:L39 L41:L65 L67:L74 L76:L80 L82 L84:L85 J85:K85 M85 L91:M92 L102:M102 L113:M113 L116:M116 L125:M126 L134:M135 L140:M140 L154:M154 L156:M156 L109:M109">
      <formula1>0</formula1>
    </dataValidation>
    <dataValidation allowBlank="1" showInputMessage="1" showErrorMessage="1" prompt="Podaci se popunjavaju u kolone 4 i 5, desno." sqref="J91:K156"/>
  </dataValidations>
  <pageMargins left="0.39370078740157483" right="0.39370078740157483" top="0.39370078740157483" bottom="0.39370078740157483" header="0.31496062992125984" footer="0.23622047244094491"/>
  <pageSetup paperSize="9" scale="60" fitToHeight="2" orientation="portrait" r:id="rId1"/>
  <headerFooter alignWithMargins="0">
    <oddFooter>&amp;R&amp;"Verdana,Regular"&amp;8Strana &amp;P od &amp;N</oddFooter>
  </headerFooter>
  <rowBreaks count="1" manualBreakCount="1">
    <brk id="85" min="2" max="1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308" r:id="rId4" name="Navigacija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0</xdr:row>
                    <xdr:rowOff>47625</xdr:rowOff>
                  </from>
                  <to>
                    <xdr:col>7</xdr:col>
                    <xdr:colOff>1095375</xdr:colOff>
                    <xdr:row>3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02a">
    <tabColor rgb="FFB2B2B2"/>
  </sheetPr>
  <dimension ref="A1:IU141"/>
  <sheetViews>
    <sheetView showGridLines="0" showRowColHeaders="0" zoomScaleNormal="100" zoomScaleSheetLayoutView="100" workbookViewId="0">
      <pane ySplit="4" topLeftCell="A5" activePane="bottomLeft" state="frozen"/>
      <selection activeCell="D15" sqref="D15"/>
      <selection pane="bottomLeft" activeCell="D46" sqref="D46:H46"/>
    </sheetView>
  </sheetViews>
  <sheetFormatPr defaultColWidth="0" defaultRowHeight="12.75" zeroHeight="1" x14ac:dyDescent="0.2"/>
  <cols>
    <col min="1" max="1" width="5.7109375" style="8" customWidth="1"/>
    <col min="2" max="2" width="5.7109375" style="8" hidden="1" customWidth="1"/>
    <col min="3" max="3" width="19.5703125" style="8" customWidth="1"/>
    <col min="4" max="8" width="18.5703125" style="8" customWidth="1"/>
    <col min="9" max="9" width="7.140625" style="8" customWidth="1"/>
    <col min="10" max="11" width="14.28515625" style="8" customWidth="1"/>
    <col min="12" max="13" width="14.28515625" style="8" hidden="1" customWidth="1"/>
    <col min="14" max="14" width="5.7109375" style="8" customWidth="1"/>
    <col min="15" max="15" width="11.42578125" style="8" hidden="1" customWidth="1"/>
    <col min="16" max="255" width="9.140625" style="8" hidden="1" customWidth="1"/>
    <col min="256" max="16384" width="2.85546875" style="8" hidden="1"/>
  </cols>
  <sheetData>
    <row r="1" spans="3:13" ht="12.75" customHeight="1" x14ac:dyDescent="0.2">
      <c r="C1" s="20"/>
      <c r="D1" s="20"/>
      <c r="E1" s="20"/>
      <c r="F1" s="20"/>
      <c r="G1" s="20"/>
      <c r="H1" s="20"/>
      <c r="I1" s="20"/>
      <c r="J1" s="20"/>
      <c r="K1" s="20"/>
    </row>
    <row r="2" spans="3:13" ht="12.75" customHeight="1" x14ac:dyDescent="0.2">
      <c r="C2" s="20"/>
      <c r="D2" s="20"/>
      <c r="E2" s="20"/>
      <c r="F2" s="20"/>
      <c r="G2" s="20"/>
      <c r="H2" s="20"/>
      <c r="I2" s="20"/>
      <c r="J2" s="20"/>
      <c r="K2" s="20"/>
    </row>
    <row r="3" spans="3:13" ht="12.75" customHeight="1" x14ac:dyDescent="0.2">
      <c r="C3" s="20"/>
      <c r="D3" s="20"/>
      <c r="E3" s="20"/>
      <c r="F3" s="20"/>
      <c r="G3" s="20"/>
      <c r="H3" s="20"/>
      <c r="I3" s="20"/>
      <c r="J3" s="20"/>
      <c r="K3" s="20"/>
    </row>
    <row r="4" spans="3:13" ht="12.75" customHeight="1" x14ac:dyDescent="0.2">
      <c r="C4" s="20"/>
      <c r="D4" s="20"/>
      <c r="E4" s="20"/>
      <c r="F4" s="20"/>
      <c r="G4" s="20"/>
      <c r="H4" s="20"/>
      <c r="I4" s="20"/>
      <c r="J4" s="20"/>
      <c r="K4" s="20"/>
    </row>
    <row r="5" spans="3:13" ht="12.75" customHeight="1" x14ac:dyDescent="0.2">
      <c r="C5" s="16" t="str">
        <f>Zaglavlje_MB</f>
        <v>Matični broj:</v>
      </c>
      <c r="D5" s="474" t="str">
        <f>Podatak_MB</f>
        <v>01494562</v>
      </c>
      <c r="E5" s="474"/>
      <c r="I5" s="17" t="str">
        <f>Zaglavlje_Ziro_racun</f>
        <v>Poslovni računi:</v>
      </c>
      <c r="J5" s="470" t="str">
        <f>Podatak_Ziro_racun_1</f>
        <v>562-005-00003035-69</v>
      </c>
      <c r="K5" s="470"/>
    </row>
    <row r="6" spans="3:13" ht="12.75" customHeight="1" x14ac:dyDescent="0.2">
      <c r="C6" s="16" t="str">
        <f>Zaglavlje_Sifra_djelatnosti</f>
        <v>Šifra djelatnosti:</v>
      </c>
      <c r="D6" s="474" t="str">
        <f>Podatak_Sifra_djelatnosti</f>
        <v>49.10</v>
      </c>
      <c r="E6" s="474"/>
      <c r="F6" s="9"/>
      <c r="J6" s="470" t="str">
        <f>Podatak_Ziro_racun_2</f>
        <v>551-004-00009770-60</v>
      </c>
      <c r="K6" s="470"/>
    </row>
    <row r="7" spans="3:13" ht="12.75" customHeight="1" x14ac:dyDescent="0.2">
      <c r="C7" s="475" t="str">
        <f>Zaglavlje_Naziv_preduzeca</f>
        <v>Naziv privrednog društva, zadruge, drugog pravnog lica ili preduzetnika:</v>
      </c>
      <c r="D7" s="475"/>
      <c r="E7" s="475"/>
      <c r="F7" s="19"/>
      <c r="J7" s="470" t="str">
        <f>Podatak_Ziro_racun_3</f>
        <v>562-005-80858186-91</v>
      </c>
      <c r="K7" s="470"/>
    </row>
    <row r="8" spans="3:13" ht="12.75" customHeight="1" x14ac:dyDescent="0.2">
      <c r="C8" s="475"/>
      <c r="D8" s="475"/>
      <c r="E8" s="475"/>
      <c r="F8" s="19"/>
      <c r="J8" s="470" t="str">
        <f>Podatak_Ziro_racun_4</f>
        <v/>
      </c>
      <c r="K8" s="470"/>
    </row>
    <row r="9" spans="3:13" ht="12.75" customHeight="1" x14ac:dyDescent="0.2">
      <c r="C9" s="477" t="str">
        <f>Podatak_Naziv_preduzeca</f>
        <v>Željeznice RS a.d. Doboj</v>
      </c>
      <c r="D9" s="477"/>
      <c r="E9" s="477"/>
      <c r="F9" s="477"/>
      <c r="J9" s="470" t="str">
        <f>Podatak_Ziro_racun_5</f>
        <v/>
      </c>
      <c r="K9" s="470"/>
    </row>
    <row r="10" spans="3:13" ht="12.75" customHeight="1" x14ac:dyDescent="0.2">
      <c r="C10" s="16" t="str">
        <f>Zaglavlje_Sjediste</f>
        <v>Sjedište:</v>
      </c>
      <c r="D10" s="474" t="str">
        <f>Podatak_Sjediste</f>
        <v>Svetog Save 71</v>
      </c>
      <c r="E10" s="474"/>
      <c r="F10" s="16"/>
      <c r="J10" s="470" t="str">
        <f>Podatak_Ziro_racun_6</f>
        <v/>
      </c>
      <c r="K10" s="470"/>
    </row>
    <row r="11" spans="3:13" ht="12.75" customHeight="1" x14ac:dyDescent="0.2">
      <c r="C11" s="16" t="str">
        <f>Zaglavlje_JIB</f>
        <v>JIB:</v>
      </c>
      <c r="D11" s="474" t="str">
        <f>Podatak_JIB</f>
        <v>4400025960001</v>
      </c>
      <c r="E11" s="474"/>
      <c r="F11" s="20"/>
      <c r="G11" s="20"/>
      <c r="H11" s="20"/>
      <c r="I11" s="20"/>
      <c r="J11"/>
      <c r="K11"/>
    </row>
    <row r="12" spans="3:13" ht="15.75" customHeight="1" x14ac:dyDescent="0.2">
      <c r="C12" s="457" t="str">
        <f>IF( Id_Konsolidovani, Nazivi_bilansa_Konsolidovani_naziv &amp; LOWER( Nazivi_bilansa_BUa), Nazivi_bilansa_BUa)</f>
        <v>Bilans uspjeha</v>
      </c>
      <c r="D12" s="457"/>
      <c r="E12" s="457"/>
      <c r="F12" s="457"/>
      <c r="G12" s="457"/>
      <c r="H12" s="457"/>
      <c r="I12" s="457"/>
      <c r="J12" s="457"/>
      <c r="K12" s="457"/>
      <c r="L12" s="54"/>
    </row>
    <row r="13" spans="3:13" ht="12.75" customHeight="1" x14ac:dyDescent="0.2">
      <c r="C13" s="473" t="str">
        <f>Nazivi_bilansa_BUa1</f>
        <v>(Izvještaj o ukupnom rezultatu u periodu)</v>
      </c>
      <c r="D13" s="473"/>
      <c r="E13" s="473"/>
      <c r="F13" s="473"/>
      <c r="G13" s="473"/>
      <c r="H13" s="473"/>
      <c r="I13" s="473"/>
      <c r="J13" s="473"/>
      <c r="K13" s="473"/>
      <c r="L13" s="54"/>
    </row>
    <row r="14" spans="3:13" ht="12.75" customHeight="1" x14ac:dyDescent="0.2">
      <c r="C14" s="473" t="str">
        <f>Datumi_Datum_BU</f>
        <v>za period od 01.01. do 30.06.2021. godine</v>
      </c>
      <c r="D14" s="473"/>
      <c r="E14" s="473"/>
      <c r="F14" s="473"/>
      <c r="G14" s="473"/>
      <c r="H14" s="473"/>
      <c r="I14" s="473"/>
      <c r="J14" s="473"/>
      <c r="K14" s="473"/>
    </row>
    <row r="15" spans="3:13" ht="12.75" customHeight="1" x14ac:dyDescent="0.2">
      <c r="C15" s="56"/>
      <c r="D15" s="56"/>
      <c r="E15" s="56"/>
      <c r="F15" s="56"/>
      <c r="G15" s="56"/>
      <c r="H15" s="56"/>
      <c r="I15" s="56"/>
      <c r="J15" s="56"/>
      <c r="K15" s="23" t="str">
        <f>Tabele_zaglavlje_Valuta</f>
        <v>- u konvertibilnim markama -</v>
      </c>
    </row>
    <row r="16" spans="3:13" ht="12.75" customHeight="1" x14ac:dyDescent="0.2">
      <c r="C16" s="471" t="str">
        <f>Tabele_zaglavlje_Grupa_racuna</f>
        <v>Grupa računa, račun</v>
      </c>
      <c r="D16" s="462" t="str">
        <f>Tabele_zaglavlje_Pozicija</f>
        <v>POZICIJA</v>
      </c>
      <c r="E16" s="462"/>
      <c r="F16" s="462"/>
      <c r="G16" s="462"/>
      <c r="H16" s="462"/>
      <c r="I16" s="460" t="str">
        <f>Tabele_zaglavlje_Oznaka_aop</f>
        <v>Oznaka za AOP</v>
      </c>
      <c r="J16" s="462" t="str">
        <f>Tabele_zaglavlje_Iznos</f>
        <v>Iznos</v>
      </c>
      <c r="K16" s="463"/>
      <c r="M16" s="57"/>
    </row>
    <row r="17" spans="2:15" ht="25.5" customHeight="1" x14ac:dyDescent="0.2">
      <c r="C17" s="472"/>
      <c r="D17" s="476"/>
      <c r="E17" s="476"/>
      <c r="F17" s="476"/>
      <c r="G17" s="476"/>
      <c r="H17" s="476"/>
      <c r="I17" s="461"/>
      <c r="J17" s="58" t="str">
        <f>Tabele_zaglavlje_Tekuca_godina</f>
        <v>Tekuća godina</v>
      </c>
      <c r="K17" s="59" t="str">
        <f>Tabele_zaglavlje_Prethodna_godina</f>
        <v>Prethodna godina</v>
      </c>
      <c r="M17" s="57"/>
      <c r="O17" s="185" t="s">
        <v>824</v>
      </c>
    </row>
    <row r="18" spans="2:15" ht="12.75" customHeight="1" x14ac:dyDescent="0.2">
      <c r="B18" s="60" t="s">
        <v>408</v>
      </c>
      <c r="C18" s="95">
        <v>1</v>
      </c>
      <c r="D18" s="478">
        <v>2</v>
      </c>
      <c r="E18" s="478"/>
      <c r="F18" s="478"/>
      <c r="G18" s="478"/>
      <c r="H18" s="478"/>
      <c r="I18" s="96">
        <v>3</v>
      </c>
      <c r="J18" s="96">
        <v>4</v>
      </c>
      <c r="K18" s="97">
        <v>5</v>
      </c>
    </row>
    <row r="19" spans="2:15" x14ac:dyDescent="0.2">
      <c r="B19" s="17">
        <v>135</v>
      </c>
      <c r="C19" s="281">
        <f>VLOOKUP( $B19, T_Aop[], 5, 1)</f>
        <v>0</v>
      </c>
      <c r="D19" s="479" t="str">
        <f>VLOOKUP( $B19, T_Aop[], 6, 1)</f>
        <v>A. POSLOVNI PRIHODI I RASHODI</v>
      </c>
      <c r="E19" s="479"/>
      <c r="F19" s="479"/>
      <c r="G19" s="479"/>
      <c r="H19" s="479"/>
      <c r="I19" s="282">
        <f>VLOOKUP( $B19, T_Aop[], 4, 1)</f>
        <v>0</v>
      </c>
      <c r="J19" s="99"/>
      <c r="K19" s="100"/>
      <c r="M19" s="60"/>
      <c r="O19" s="289"/>
    </row>
    <row r="20" spans="2:15" x14ac:dyDescent="0.2">
      <c r="B20" s="17">
        <v>136</v>
      </c>
      <c r="C20" s="283">
        <f>VLOOKUP( $B20, T_Aop[], 5, 1)</f>
        <v>0</v>
      </c>
      <c r="D20" s="464" t="str">
        <f>VLOOKUP( $B20, T_Aop[], 6, 1)</f>
        <v xml:space="preserve">    I - POSLOVNI PRIHODI (202 + 206 + 210 + 211 - 212 + 213 - 214 + 215)</v>
      </c>
      <c r="E20" s="464"/>
      <c r="F20" s="464"/>
      <c r="G20" s="464"/>
      <c r="H20" s="464"/>
      <c r="I20" s="265">
        <f>VLOOKUP( $B20, T_Aop[], 4, 1)</f>
        <v>201</v>
      </c>
      <c r="J20" s="84">
        <f>SUBTOTAL( 9, J21:J30, J32, J34) - SUBTOTAL( 9, J31, J33)</f>
        <v>12469693</v>
      </c>
      <c r="K20" s="85">
        <f>SUBTOTAL( 9, K21:K30, K32, K34) - SUBTOTAL( 9, K31, K33)</f>
        <v>15346437</v>
      </c>
      <c r="M20" s="60"/>
      <c r="O20" s="289"/>
    </row>
    <row r="21" spans="2:15" x14ac:dyDescent="0.2">
      <c r="B21" s="17">
        <v>137</v>
      </c>
      <c r="C21" s="287">
        <f>VLOOKUP( $B21, T_Aop[], 5, 1)</f>
        <v>60</v>
      </c>
      <c r="D21" s="458" t="str">
        <f>VLOOKUP( $B21, T_Aop[], 6, 1)</f>
        <v xml:space="preserve">      1. Prihodi od prodaje robe (203 do 205)</v>
      </c>
      <c r="E21" s="458"/>
      <c r="F21" s="458"/>
      <c r="G21" s="458"/>
      <c r="H21" s="458"/>
      <c r="I21" s="264">
        <f>VLOOKUP( $B21, T_Aop[], 4, 1)</f>
        <v>202</v>
      </c>
      <c r="J21" s="205">
        <f>SUBTOTAL( 9, J22:J24)</f>
        <v>0</v>
      </c>
      <c r="K21" s="207">
        <f>SUBTOTAL( 9, K22:K24)</f>
        <v>0</v>
      </c>
      <c r="M21" s="60"/>
      <c r="O21" s="289"/>
    </row>
    <row r="22" spans="2:15" x14ac:dyDescent="0.2">
      <c r="B22" s="17">
        <v>138</v>
      </c>
      <c r="C22" s="286">
        <f>VLOOKUP( $B22, T_Aop[], 5, 1)</f>
        <v>600</v>
      </c>
      <c r="D22" s="465" t="str">
        <f>VLOOKUP( $B22, T_Aop[], 6, 1)</f>
        <v xml:space="preserve">        a) Prihodi od prodaje robe povezanim pravnim licima</v>
      </c>
      <c r="E22" s="465"/>
      <c r="F22" s="465"/>
      <c r="G22" s="465"/>
      <c r="H22" s="465"/>
      <c r="I22" s="263">
        <f>VLOOKUP( $B22, T_Aop[], 4, 1)</f>
        <v>203</v>
      </c>
      <c r="J22" s="215"/>
      <c r="K22" s="216"/>
      <c r="M22" s="60"/>
      <c r="O22" s="289"/>
    </row>
    <row r="23" spans="2:15" x14ac:dyDescent="0.2">
      <c r="B23" s="17">
        <v>139</v>
      </c>
      <c r="C23" s="287" t="str">
        <f>VLOOKUP( $B23, T_Aop[], 5, 1)</f>
        <v>601, 602, 603</v>
      </c>
      <c r="D23" s="458" t="str">
        <f>VLOOKUP( $B23, T_Aop[], 6, 1)</f>
        <v xml:space="preserve">        b) Prihodi od prodaje robe na domaćem tržištu</v>
      </c>
      <c r="E23" s="458"/>
      <c r="F23" s="458"/>
      <c r="G23" s="458"/>
      <c r="H23" s="458"/>
      <c r="I23" s="264">
        <f>VLOOKUP( $B23, T_Aop[], 4, 1)</f>
        <v>204</v>
      </c>
      <c r="J23" s="217"/>
      <c r="K23" s="218"/>
      <c r="M23" s="60"/>
      <c r="O23" s="289"/>
    </row>
    <row r="24" spans="2:15" x14ac:dyDescent="0.2">
      <c r="B24" s="17">
        <v>140</v>
      </c>
      <c r="C24" s="286">
        <f>VLOOKUP( $B24, T_Aop[], 5, 1)</f>
        <v>604</v>
      </c>
      <c r="D24" s="465" t="str">
        <f>VLOOKUP( $B24, T_Aop[], 6, 1)</f>
        <v xml:space="preserve">        v) Prihodi od prodaje robe na inostranom tržištu</v>
      </c>
      <c r="E24" s="465"/>
      <c r="F24" s="465"/>
      <c r="G24" s="465"/>
      <c r="H24" s="465"/>
      <c r="I24" s="263">
        <f>VLOOKUP( $B24, T_Aop[], 4, 1)</f>
        <v>205</v>
      </c>
      <c r="J24" s="215"/>
      <c r="K24" s="216"/>
      <c r="M24" s="60"/>
      <c r="O24" s="289"/>
    </row>
    <row r="25" spans="2:15" x14ac:dyDescent="0.2">
      <c r="B25" s="17">
        <v>141</v>
      </c>
      <c r="C25" s="287">
        <f>VLOOKUP( $B25, T_Aop[], 5, 1)</f>
        <v>61</v>
      </c>
      <c r="D25" s="458" t="str">
        <f>VLOOKUP( $B25, T_Aop[], 6, 1)</f>
        <v xml:space="preserve">      2. Prihodi od prodaje učinaka (207 do 209)</v>
      </c>
      <c r="E25" s="458"/>
      <c r="F25" s="458"/>
      <c r="G25" s="458"/>
      <c r="H25" s="458"/>
      <c r="I25" s="264">
        <f>VLOOKUP( $B25, T_Aop[], 4, 1)</f>
        <v>206</v>
      </c>
      <c r="J25" s="205">
        <f>SUBTOTAL( 9, J26:J28)</f>
        <v>7285915</v>
      </c>
      <c r="K25" s="207">
        <f>SUBTOTAL( 9, K26:K28)</f>
        <v>8357356</v>
      </c>
      <c r="M25" s="60"/>
      <c r="O25" s="289"/>
    </row>
    <row r="26" spans="2:15" x14ac:dyDescent="0.2">
      <c r="B26" s="17">
        <v>142</v>
      </c>
      <c r="C26" s="286">
        <f>VLOOKUP( $B26, T_Aop[], 5, 1)</f>
        <v>610</v>
      </c>
      <c r="D26" s="465" t="str">
        <f>VLOOKUP( $B26, T_Aop[], 6, 1)</f>
        <v xml:space="preserve">        a) Prihodi od prodaje učinaka povezanim pravnim licima</v>
      </c>
      <c r="E26" s="465"/>
      <c r="F26" s="465"/>
      <c r="G26" s="465"/>
      <c r="H26" s="465"/>
      <c r="I26" s="263">
        <f>VLOOKUP( $B26, T_Aop[], 4, 1)</f>
        <v>207</v>
      </c>
      <c r="J26" s="215"/>
      <c r="K26" s="216"/>
      <c r="M26" s="60"/>
      <c r="O26" s="289"/>
    </row>
    <row r="27" spans="2:15" x14ac:dyDescent="0.2">
      <c r="B27" s="17">
        <v>143</v>
      </c>
      <c r="C27" s="287" t="str">
        <f>VLOOKUP( $B27, T_Aop[], 5, 1)</f>
        <v>611, 612, 613</v>
      </c>
      <c r="D27" s="458" t="str">
        <f>VLOOKUP( $B27, T_Aop[], 6, 1)</f>
        <v xml:space="preserve">        b) Prihodi od prodaje učinaka na domaćem tržištu</v>
      </c>
      <c r="E27" s="458"/>
      <c r="F27" s="458"/>
      <c r="G27" s="458"/>
      <c r="H27" s="458"/>
      <c r="I27" s="264">
        <f>VLOOKUP( $B27, T_Aop[], 4, 1)</f>
        <v>208</v>
      </c>
      <c r="J27" s="217">
        <v>7029283</v>
      </c>
      <c r="K27" s="218">
        <v>7867941</v>
      </c>
      <c r="M27" s="60"/>
      <c r="O27" s="289"/>
    </row>
    <row r="28" spans="2:15" x14ac:dyDescent="0.2">
      <c r="B28" s="17">
        <v>144</v>
      </c>
      <c r="C28" s="286">
        <f>VLOOKUP( $B28, T_Aop[], 5, 1)</f>
        <v>614</v>
      </c>
      <c r="D28" s="465" t="str">
        <f>VLOOKUP( $B28, T_Aop[], 6, 1)</f>
        <v xml:space="preserve">        v) Prihodi od prodaje učinaka na inostranom tržištu</v>
      </c>
      <c r="E28" s="465"/>
      <c r="F28" s="465"/>
      <c r="G28" s="465"/>
      <c r="H28" s="465"/>
      <c r="I28" s="263">
        <f>VLOOKUP( $B28, T_Aop[], 4, 1)</f>
        <v>209</v>
      </c>
      <c r="J28" s="215">
        <v>256632</v>
      </c>
      <c r="K28" s="216">
        <v>489415</v>
      </c>
      <c r="M28" s="60"/>
      <c r="O28" s="289"/>
    </row>
    <row r="29" spans="2:15" x14ac:dyDescent="0.2">
      <c r="B29" s="17">
        <v>145</v>
      </c>
      <c r="C29" s="287">
        <f>VLOOKUP( $B29, T_Aop[], 5, 1)</f>
        <v>62</v>
      </c>
      <c r="D29" s="458" t="str">
        <f>VLOOKUP( $B29, T_Aop[], 6, 1)</f>
        <v xml:space="preserve">      3. Prihodi od aktiviranja ili potrošnje robe i učinaka</v>
      </c>
      <c r="E29" s="458"/>
      <c r="F29" s="458"/>
      <c r="G29" s="458"/>
      <c r="H29" s="458"/>
      <c r="I29" s="264">
        <f>VLOOKUP( $B29, T_Aop[], 4, 1)</f>
        <v>210</v>
      </c>
      <c r="J29" s="217"/>
      <c r="K29" s="218"/>
      <c r="M29" s="60"/>
      <c r="O29" s="289"/>
    </row>
    <row r="30" spans="2:15" x14ac:dyDescent="0.2">
      <c r="B30" s="17">
        <v>146</v>
      </c>
      <c r="C30" s="286">
        <f>VLOOKUP( $B30, T_Aop[], 5, 1)</f>
        <v>630</v>
      </c>
      <c r="D30" s="465" t="str">
        <f>VLOOKUP( $B30, T_Aop[], 6, 1)</f>
        <v xml:space="preserve">      4. Povećanje vrijednosti zaliha učinaka</v>
      </c>
      <c r="E30" s="465"/>
      <c r="F30" s="465"/>
      <c r="G30" s="465"/>
      <c r="H30" s="465"/>
      <c r="I30" s="263">
        <f>VLOOKUP( $B30, T_Aop[], 4, 1)</f>
        <v>211</v>
      </c>
      <c r="J30" s="215"/>
      <c r="K30" s="216"/>
      <c r="M30" s="60"/>
      <c r="O30" s="289"/>
    </row>
    <row r="31" spans="2:15" x14ac:dyDescent="0.2">
      <c r="B31" s="17">
        <v>147</v>
      </c>
      <c r="C31" s="287">
        <f>VLOOKUP( $B31, T_Aop[], 5, 1)</f>
        <v>631</v>
      </c>
      <c r="D31" s="458" t="str">
        <f>VLOOKUP( $B31, T_Aop[], 6, 1)</f>
        <v xml:space="preserve">      5. Smanjenje vrijednosti zaliha učinaka</v>
      </c>
      <c r="E31" s="458"/>
      <c r="F31" s="458"/>
      <c r="G31" s="458"/>
      <c r="H31" s="458"/>
      <c r="I31" s="264">
        <f>VLOOKUP( $B31, T_Aop[], 4, 1)</f>
        <v>212</v>
      </c>
      <c r="J31" s="217"/>
      <c r="K31" s="218"/>
      <c r="M31" s="60"/>
      <c r="O31" s="289"/>
    </row>
    <row r="32" spans="2:15" x14ac:dyDescent="0.2">
      <c r="B32" s="17">
        <v>148</v>
      </c>
      <c r="C32" s="286" t="str">
        <f>VLOOKUP( $B32, T_Aop[], 5, 1)</f>
        <v>640, 641</v>
      </c>
      <c r="D32" s="465" t="str">
        <f>VLOOKUP( $B32, T_Aop[], 6, 1)</f>
        <v xml:space="preserve">      6. Povećanje vrijednosti investicionih nekretnina i bioloških sredstava koja se ne amortizuju</v>
      </c>
      <c r="E32" s="465"/>
      <c r="F32" s="465"/>
      <c r="G32" s="465"/>
      <c r="H32" s="465"/>
      <c r="I32" s="263">
        <f>VLOOKUP( $B32, T_Aop[], 4, 1)</f>
        <v>213</v>
      </c>
      <c r="J32" s="215"/>
      <c r="K32" s="216"/>
      <c r="M32" s="60"/>
      <c r="O32" s="289"/>
    </row>
    <row r="33" spans="2:15" x14ac:dyDescent="0.2">
      <c r="B33" s="17">
        <v>149</v>
      </c>
      <c r="C33" s="287" t="str">
        <f>VLOOKUP( $B33, T_Aop[], 5, 1)</f>
        <v>642, 643</v>
      </c>
      <c r="D33" s="458" t="str">
        <f>VLOOKUP( $B33, T_Aop[], 6, 1)</f>
        <v xml:space="preserve">      7. Smanjenje vrijednosti investicionih nekretnina i bioloških sredstava koja se ne amortizuju</v>
      </c>
      <c r="E33" s="458"/>
      <c r="F33" s="458"/>
      <c r="G33" s="458"/>
      <c r="H33" s="458"/>
      <c r="I33" s="264">
        <f>VLOOKUP( $B33, T_Aop[], 4, 1)</f>
        <v>214</v>
      </c>
      <c r="J33" s="217"/>
      <c r="K33" s="218"/>
      <c r="M33" s="60"/>
      <c r="O33" s="289"/>
    </row>
    <row r="34" spans="2:15" x14ac:dyDescent="0.2">
      <c r="B34" s="17">
        <v>150</v>
      </c>
      <c r="C34" s="286" t="str">
        <f>VLOOKUP( $B34, T_Aop[], 5, 1)</f>
        <v>650 do 659</v>
      </c>
      <c r="D34" s="465" t="str">
        <f>VLOOKUP( $B34, T_Aop[], 6, 1)</f>
        <v xml:space="preserve">      8. Ostali poslovni prihodi</v>
      </c>
      <c r="E34" s="465"/>
      <c r="F34" s="465"/>
      <c r="G34" s="465"/>
      <c r="H34" s="465"/>
      <c r="I34" s="263">
        <f>VLOOKUP( $B34, T_Aop[], 4, 1)</f>
        <v>215</v>
      </c>
      <c r="J34" s="215">
        <v>5183778</v>
      </c>
      <c r="K34" s="216">
        <v>6989081</v>
      </c>
      <c r="M34" s="60"/>
      <c r="O34" s="289"/>
    </row>
    <row r="35" spans="2:15" x14ac:dyDescent="0.2">
      <c r="B35" s="17">
        <v>151</v>
      </c>
      <c r="C35" s="284">
        <f>VLOOKUP( $B35, T_Aop[], 5, 1)</f>
        <v>0</v>
      </c>
      <c r="D35" s="469" t="str">
        <f>VLOOKUP( $B35, T_Aop[], 6, 1)</f>
        <v xml:space="preserve">    II - POSLOVNI RASHODI (217 + 218 + 219 + 222 + 223 + 226 + 227 + 228)</v>
      </c>
      <c r="E35" s="469"/>
      <c r="F35" s="469"/>
      <c r="G35" s="469"/>
      <c r="H35" s="469"/>
      <c r="I35" s="266">
        <f>VLOOKUP( $B35, T_Aop[], 4, 1)</f>
        <v>216</v>
      </c>
      <c r="J35" s="88">
        <f>SUBTOTAL( 9, J36:J47)</f>
        <v>17257618</v>
      </c>
      <c r="K35" s="89">
        <f>SUBTOTAL( 9, K36:K47)</f>
        <v>18315863</v>
      </c>
      <c r="M35" s="60"/>
      <c r="O35" s="289"/>
    </row>
    <row r="36" spans="2:15" x14ac:dyDescent="0.2">
      <c r="B36" s="17">
        <v>152</v>
      </c>
      <c r="C36" s="286" t="str">
        <f>VLOOKUP( $B36, T_Aop[], 5, 1)</f>
        <v>500 do 502</v>
      </c>
      <c r="D36" s="465" t="str">
        <f>VLOOKUP( $B36, T_Aop[], 6, 1)</f>
        <v xml:space="preserve">      1. Nabavna vrijednost prodate robe</v>
      </c>
      <c r="E36" s="465"/>
      <c r="F36" s="465"/>
      <c r="G36" s="465"/>
      <c r="H36" s="465"/>
      <c r="I36" s="263">
        <f>VLOOKUP( $B36, T_Aop[], 4, 1)</f>
        <v>217</v>
      </c>
      <c r="J36" s="215"/>
      <c r="K36" s="216"/>
      <c r="M36" s="60"/>
      <c r="O36" s="289"/>
    </row>
    <row r="37" spans="2:15" x14ac:dyDescent="0.2">
      <c r="B37" s="17">
        <v>153</v>
      </c>
      <c r="C37" s="287" t="str">
        <f>VLOOKUP( $B37, T_Aop[], 5, 1)</f>
        <v>510 do 513</v>
      </c>
      <c r="D37" s="458" t="str">
        <f>VLOOKUP( $B37, T_Aop[], 6, 1)</f>
        <v xml:space="preserve">      2. Troškovi materijala</v>
      </c>
      <c r="E37" s="458"/>
      <c r="F37" s="458"/>
      <c r="G37" s="458"/>
      <c r="H37" s="458"/>
      <c r="I37" s="264">
        <f>VLOOKUP( $B37, T_Aop[], 4, 1)</f>
        <v>218</v>
      </c>
      <c r="J37" s="217">
        <v>1699832</v>
      </c>
      <c r="K37" s="218">
        <v>1783251</v>
      </c>
      <c r="M37" s="60"/>
      <c r="O37" s="289"/>
    </row>
    <row r="38" spans="2:15" x14ac:dyDescent="0.2">
      <c r="B38" s="17">
        <v>154</v>
      </c>
      <c r="C38" s="286">
        <f>VLOOKUP( $B38, T_Aop[], 5, 1)</f>
        <v>52</v>
      </c>
      <c r="D38" s="465" t="str">
        <f>VLOOKUP( $B38, T_Aop[], 6, 1)</f>
        <v xml:space="preserve">      3. Troškovi zarada, naknada zarada i ostalih ličnih rashoda (220 + 221)</v>
      </c>
      <c r="E38" s="465"/>
      <c r="F38" s="465"/>
      <c r="G38" s="465"/>
      <c r="H38" s="465"/>
      <c r="I38" s="263">
        <f>VLOOKUP( $B38, T_Aop[], 4, 1)</f>
        <v>219</v>
      </c>
      <c r="J38" s="204">
        <f>SUBTOTAL( 9, J39:J40)</f>
        <v>10024357</v>
      </c>
      <c r="K38" s="206">
        <f>SUBTOTAL( 9, K39:K40)</f>
        <v>10747733</v>
      </c>
      <c r="M38" s="60"/>
      <c r="O38" s="289"/>
    </row>
    <row r="39" spans="2:15" x14ac:dyDescent="0.2">
      <c r="B39" s="17">
        <v>155</v>
      </c>
      <c r="C39" s="287" t="str">
        <f>VLOOKUP( $B39, T_Aop[], 5, 1)</f>
        <v>520 do 523</v>
      </c>
      <c r="D39" s="458" t="str">
        <f>VLOOKUP( $B39, T_Aop[], 6, 1)</f>
        <v xml:space="preserve">        a) Troškovi bruto zarada i bruto naknada zarada</v>
      </c>
      <c r="E39" s="458"/>
      <c r="F39" s="458"/>
      <c r="G39" s="458"/>
      <c r="H39" s="458"/>
      <c r="I39" s="264">
        <f>VLOOKUP( $B39, T_Aop[], 4, 1)</f>
        <v>220</v>
      </c>
      <c r="J39" s="217">
        <v>9501891</v>
      </c>
      <c r="K39" s="218">
        <v>10037255</v>
      </c>
      <c r="M39" s="60"/>
      <c r="O39" s="289"/>
    </row>
    <row r="40" spans="2:15" x14ac:dyDescent="0.2">
      <c r="B40" s="17">
        <v>156</v>
      </c>
      <c r="C40" s="286" t="str">
        <f>VLOOKUP( $B40, T_Aop[], 5, 1)</f>
        <v>524 do 529</v>
      </c>
      <c r="D40" s="465" t="str">
        <f>VLOOKUP( $B40, T_Aop[], 6, 1)</f>
        <v xml:space="preserve">        b) Ostali lični rashodi</v>
      </c>
      <c r="E40" s="465"/>
      <c r="F40" s="465"/>
      <c r="G40" s="465"/>
      <c r="H40" s="465"/>
      <c r="I40" s="263">
        <f>VLOOKUP( $B40, T_Aop[], 4, 1)</f>
        <v>221</v>
      </c>
      <c r="J40" s="215">
        <v>522466</v>
      </c>
      <c r="K40" s="216">
        <v>710478</v>
      </c>
      <c r="M40" s="60"/>
      <c r="O40" s="289"/>
    </row>
    <row r="41" spans="2:15" x14ac:dyDescent="0.2">
      <c r="B41" s="17">
        <v>157</v>
      </c>
      <c r="C41" s="287" t="str">
        <f>VLOOKUP( $B41, T_Aop[], 5, 1)</f>
        <v>530 do 539</v>
      </c>
      <c r="D41" s="458" t="str">
        <f>VLOOKUP( $B41, T_Aop[], 6, 1)</f>
        <v xml:space="preserve">      4. Troškovi proizvodnih usluga</v>
      </c>
      <c r="E41" s="458"/>
      <c r="F41" s="458"/>
      <c r="G41" s="458"/>
      <c r="H41" s="458"/>
      <c r="I41" s="264">
        <f>VLOOKUP( $B41, T_Aop[], 4, 1)</f>
        <v>222</v>
      </c>
      <c r="J41" s="217">
        <v>706192</v>
      </c>
      <c r="K41" s="218">
        <v>829934</v>
      </c>
      <c r="M41" s="60"/>
      <c r="O41" s="289"/>
    </row>
    <row r="42" spans="2:15" x14ac:dyDescent="0.2">
      <c r="B42" s="17">
        <v>158</v>
      </c>
      <c r="C42" s="286">
        <f>VLOOKUP( $B42, T_Aop[], 5, 1)</f>
        <v>54</v>
      </c>
      <c r="D42" s="465" t="str">
        <f>VLOOKUP( $B42, T_Aop[], 6, 1)</f>
        <v xml:space="preserve">      5. Troškovi amortizacije i rezervisanja (224 + 225)</v>
      </c>
      <c r="E42" s="465"/>
      <c r="F42" s="465"/>
      <c r="G42" s="465"/>
      <c r="H42" s="465"/>
      <c r="I42" s="263">
        <f>VLOOKUP( $B42, T_Aop[], 4, 1)</f>
        <v>223</v>
      </c>
      <c r="J42" s="204">
        <f>SUBTOTAL( 9, J43:J44)</f>
        <v>4443919</v>
      </c>
      <c r="K42" s="206">
        <f>SUBTOTAL( 9, K43:K44)</f>
        <v>4537155</v>
      </c>
      <c r="M42" s="60"/>
      <c r="O42" s="289"/>
    </row>
    <row r="43" spans="2:15" x14ac:dyDescent="0.2">
      <c r="B43" s="17">
        <v>159</v>
      </c>
      <c r="C43" s="287">
        <f>VLOOKUP( $B43, T_Aop[], 5, 1)</f>
        <v>540</v>
      </c>
      <c r="D43" s="458" t="str">
        <f>VLOOKUP( $B43, T_Aop[], 6, 1)</f>
        <v xml:space="preserve">        a) Troškovi amortizacije</v>
      </c>
      <c r="E43" s="458"/>
      <c r="F43" s="458"/>
      <c r="G43" s="458"/>
      <c r="H43" s="458"/>
      <c r="I43" s="264">
        <f>VLOOKUP( $B43, T_Aop[], 4, 1)</f>
        <v>224</v>
      </c>
      <c r="J43" s="217">
        <v>4315102</v>
      </c>
      <c r="K43" s="218">
        <v>4537155</v>
      </c>
      <c r="M43" s="60"/>
      <c r="O43" s="289"/>
    </row>
    <row r="44" spans="2:15" x14ac:dyDescent="0.2">
      <c r="B44" s="17">
        <v>160</v>
      </c>
      <c r="C44" s="286">
        <f>VLOOKUP( $B44, T_Aop[], 5, 1)</f>
        <v>541</v>
      </c>
      <c r="D44" s="465" t="str">
        <f>VLOOKUP( $B44, T_Aop[], 6, 1)</f>
        <v xml:space="preserve">        b) Troškovi rezervisanja</v>
      </c>
      <c r="E44" s="465"/>
      <c r="F44" s="465"/>
      <c r="G44" s="465"/>
      <c r="H44" s="465"/>
      <c r="I44" s="263">
        <f>VLOOKUP( $B44, T_Aop[], 4, 1)</f>
        <v>225</v>
      </c>
      <c r="J44" s="215">
        <v>128817</v>
      </c>
      <c r="K44" s="216"/>
      <c r="M44" s="60"/>
      <c r="O44" s="289"/>
    </row>
    <row r="45" spans="2:15" x14ac:dyDescent="0.2">
      <c r="B45" s="17">
        <v>161</v>
      </c>
      <c r="C45" s="287" t="str">
        <f>VLOOKUP( $B45, T_Aop[], 5, 1)</f>
        <v>55, osim 555 i 556</v>
      </c>
      <c r="D45" s="458" t="str">
        <f>VLOOKUP( $B45, T_Aop[], 6, 1)</f>
        <v xml:space="preserve">      6. Nematerijalni troškovi (bez poreza i doprinosa)</v>
      </c>
      <c r="E45" s="458"/>
      <c r="F45" s="458"/>
      <c r="G45" s="458"/>
      <c r="H45" s="458"/>
      <c r="I45" s="264">
        <f>VLOOKUP( $B45, T_Aop[], 4, 1)</f>
        <v>226</v>
      </c>
      <c r="J45" s="217">
        <v>232982</v>
      </c>
      <c r="K45" s="218">
        <v>243692</v>
      </c>
      <c r="M45" s="60"/>
      <c r="O45" s="289"/>
    </row>
    <row r="46" spans="2:15" x14ac:dyDescent="0.2">
      <c r="B46" s="17">
        <v>162</v>
      </c>
      <c r="C46" s="286">
        <f>VLOOKUP( $B46, T_Aop[], 5, 1)</f>
        <v>555</v>
      </c>
      <c r="D46" s="465" t="str">
        <f>VLOOKUP( $B46, T_Aop[], 6, 1)</f>
        <v xml:space="preserve">      7. Troškovi poreza</v>
      </c>
      <c r="E46" s="465"/>
      <c r="F46" s="465"/>
      <c r="G46" s="465"/>
      <c r="H46" s="465"/>
      <c r="I46" s="263">
        <f>VLOOKUP( $B46, T_Aop[], 4, 1)</f>
        <v>227</v>
      </c>
      <c r="J46" s="215">
        <v>20948</v>
      </c>
      <c r="K46" s="216">
        <v>38407</v>
      </c>
      <c r="M46" s="60"/>
      <c r="O46" s="289"/>
    </row>
    <row r="47" spans="2:15" x14ac:dyDescent="0.2">
      <c r="B47" s="17">
        <v>163</v>
      </c>
      <c r="C47" s="287">
        <f>VLOOKUP( $B47, T_Aop[], 5, 1)</f>
        <v>556</v>
      </c>
      <c r="D47" s="458" t="str">
        <f>VLOOKUP( $B47, T_Aop[], 6, 1)</f>
        <v xml:space="preserve">      8. Troškovi doprinosa</v>
      </c>
      <c r="E47" s="458"/>
      <c r="F47" s="458"/>
      <c r="G47" s="458"/>
      <c r="H47" s="458"/>
      <c r="I47" s="264">
        <f>VLOOKUP( $B47, T_Aop[], 4, 1)</f>
        <v>228</v>
      </c>
      <c r="J47" s="217">
        <v>129388</v>
      </c>
      <c r="K47" s="218">
        <v>135691</v>
      </c>
      <c r="M47" s="60"/>
      <c r="O47" s="289"/>
    </row>
    <row r="48" spans="2:15" x14ac:dyDescent="0.2">
      <c r="B48" s="17">
        <v>164</v>
      </c>
      <c r="C48" s="283">
        <f>VLOOKUP( $B48, T_Aop[], 5, 1)</f>
        <v>0</v>
      </c>
      <c r="D48" s="464" t="str">
        <f>VLOOKUP( $B48, T_Aop[], 6, 1)</f>
        <v xml:space="preserve">  B. POSLOVNI DOBITAK (201 - 216)</v>
      </c>
      <c r="E48" s="464"/>
      <c r="F48" s="464"/>
      <c r="G48" s="464"/>
      <c r="H48" s="464"/>
      <c r="I48" s="265">
        <f>VLOOKUP( $B48, T_Aop[], 4, 1)</f>
        <v>229</v>
      </c>
      <c r="J48" s="84">
        <f>IF( SUBTOTAL( 9, J20:J30, J32, J34) - SUBTOTAL( 9, J31, J33, J35:J47) &lt;= 0, 0, ABS( SUBTOTAL( 9, J20:J30, J32, J34) - SUBTOTAL( 9, J31, J33, J35:J47)) )</f>
        <v>0</v>
      </c>
      <c r="K48" s="85">
        <f>IF( SUBTOTAL( 9, K20:K30, K32, K34) - SUBTOTAL( 9, K31, K33, K35:K47) &lt;= 0, 0, ABS( SUBTOTAL( 9, K20:K30, K32, K34) - SUBTOTAL( 9, K31, K33, K35:K47)) )</f>
        <v>0</v>
      </c>
      <c r="M48" s="60"/>
      <c r="O48" s="289"/>
    </row>
    <row r="49" spans="2:15" x14ac:dyDescent="0.2">
      <c r="B49" s="17">
        <v>165</v>
      </c>
      <c r="C49" s="284">
        <f>VLOOKUP( $B49, T_Aop[], 5, 1)</f>
        <v>0</v>
      </c>
      <c r="D49" s="469" t="str">
        <f>VLOOKUP( $B49, T_Aop[], 6, 1)</f>
        <v xml:space="preserve">  V. POSLOVNI GUBITAK (216 - 201)</v>
      </c>
      <c r="E49" s="469"/>
      <c r="F49" s="469"/>
      <c r="G49" s="469"/>
      <c r="H49" s="469"/>
      <c r="I49" s="266">
        <f>VLOOKUP( $B49, T_Aop[], 4, 1)</f>
        <v>230</v>
      </c>
      <c r="J49" s="88">
        <f>IF( SUBTOTAL( 9, J20:J30, J32, J34) - SUBTOTAL( 9, J31, J33, J35:J47) &gt;= 0, 0, ABS( SUBTOTAL( 9, J20:J30, J32, J34) - SUBTOTAL( 9, J31, J33, J35:J47)) )</f>
        <v>4787925</v>
      </c>
      <c r="K49" s="89">
        <f>IF( SUBTOTAL( 9, K20:K30, K32, K34) - SUBTOTAL( 9, K31, K33, K35:K47) &gt;= 0, 0, ABS( SUBTOTAL( 9, K20:K30, K32, K34) - SUBTOTAL( 9, K31, K33, K35:K47)) )</f>
        <v>2969426</v>
      </c>
      <c r="M49" s="60"/>
      <c r="O49" s="289"/>
    </row>
    <row r="50" spans="2:15" x14ac:dyDescent="0.2">
      <c r="B50" s="17">
        <v>166</v>
      </c>
      <c r="C50" s="283">
        <f>VLOOKUP( $B50, T_Aop[], 5, 1)</f>
        <v>0</v>
      </c>
      <c r="D50" s="464" t="str">
        <f>VLOOKUP( $B50, T_Aop[], 6, 1)</f>
        <v>G. FINANSIJSKI PRIHODI I RASHODI</v>
      </c>
      <c r="E50" s="464"/>
      <c r="F50" s="464"/>
      <c r="G50" s="464"/>
      <c r="H50" s="464"/>
      <c r="I50" s="265">
        <f>VLOOKUP( $B50, T_Aop[], 4, 1)</f>
        <v>0</v>
      </c>
      <c r="J50" s="84"/>
      <c r="K50" s="85"/>
      <c r="M50" s="60"/>
      <c r="O50" s="289"/>
    </row>
    <row r="51" spans="2:15" x14ac:dyDescent="0.2">
      <c r="B51" s="17">
        <v>167</v>
      </c>
      <c r="C51" s="284">
        <f>VLOOKUP( $B51, T_Aop[], 5, 1)</f>
        <v>66</v>
      </c>
      <c r="D51" s="469" t="str">
        <f>VLOOKUP( $B51, T_Aop[], 6, 1)</f>
        <v xml:space="preserve">    I - FINANSIJSKI PRIHODI (232 do 237)</v>
      </c>
      <c r="E51" s="469"/>
      <c r="F51" s="469"/>
      <c r="G51" s="469"/>
      <c r="H51" s="469"/>
      <c r="I51" s="266">
        <f>VLOOKUP( $B51, T_Aop[], 4, 1)</f>
        <v>231</v>
      </c>
      <c r="J51" s="88">
        <f>SUBTOTAL( 9, J52:J57)</f>
        <v>90203</v>
      </c>
      <c r="K51" s="89">
        <f>SUBTOTAL( 9, K52:K57)</f>
        <v>18840</v>
      </c>
      <c r="M51" s="60"/>
      <c r="O51" s="289"/>
    </row>
    <row r="52" spans="2:15" x14ac:dyDescent="0.2">
      <c r="B52" s="17">
        <v>168</v>
      </c>
      <c r="C52" s="286">
        <f>VLOOKUP( $B52, T_Aop[], 5, 1)</f>
        <v>660</v>
      </c>
      <c r="D52" s="465" t="str">
        <f>VLOOKUP( $B52, T_Aop[], 6, 1)</f>
        <v xml:space="preserve">      1. Finansijski prihodi od povezanih pravnih lica</v>
      </c>
      <c r="E52" s="465"/>
      <c r="F52" s="465"/>
      <c r="G52" s="465"/>
      <c r="H52" s="465"/>
      <c r="I52" s="263">
        <f>VLOOKUP( $B52, T_Aop[], 4, 1)</f>
        <v>232</v>
      </c>
      <c r="J52" s="215"/>
      <c r="K52" s="216"/>
      <c r="M52" s="60"/>
      <c r="O52" s="289"/>
    </row>
    <row r="53" spans="2:15" x14ac:dyDescent="0.2">
      <c r="B53" s="17">
        <v>169</v>
      </c>
      <c r="C53" s="287">
        <f>VLOOKUP( $B53, T_Aop[], 5, 1)</f>
        <v>661</v>
      </c>
      <c r="D53" s="458" t="str">
        <f>VLOOKUP( $B53, T_Aop[], 6, 1)</f>
        <v xml:space="preserve">      2. Prihodi od kamata</v>
      </c>
      <c r="E53" s="458"/>
      <c r="F53" s="458"/>
      <c r="G53" s="458"/>
      <c r="H53" s="458"/>
      <c r="I53" s="264">
        <f>VLOOKUP( $B53, T_Aop[], 4, 1)</f>
        <v>233</v>
      </c>
      <c r="J53" s="217">
        <v>90203</v>
      </c>
      <c r="K53" s="218">
        <v>18840</v>
      </c>
      <c r="M53" s="60"/>
      <c r="O53" s="289"/>
    </row>
    <row r="54" spans="2:15" x14ac:dyDescent="0.2">
      <c r="B54" s="17">
        <v>170</v>
      </c>
      <c r="C54" s="286">
        <f>VLOOKUP( $B54, T_Aop[], 5, 1)</f>
        <v>662</v>
      </c>
      <c r="D54" s="465" t="str">
        <f>VLOOKUP( $B54, T_Aop[], 6, 1)</f>
        <v xml:space="preserve">      3. Pozitivne kursne razlike</v>
      </c>
      <c r="E54" s="465"/>
      <c r="F54" s="465"/>
      <c r="G54" s="465"/>
      <c r="H54" s="465"/>
      <c r="I54" s="263">
        <f>VLOOKUP( $B54, T_Aop[], 4, 1)</f>
        <v>234</v>
      </c>
      <c r="J54" s="215"/>
      <c r="K54" s="216"/>
      <c r="M54" s="60"/>
      <c r="O54" s="289"/>
    </row>
    <row r="55" spans="2:15" x14ac:dyDescent="0.2">
      <c r="B55" s="17">
        <v>171</v>
      </c>
      <c r="C55" s="287">
        <f>VLOOKUP( $B55, T_Aop[], 5, 1)</f>
        <v>663</v>
      </c>
      <c r="D55" s="458" t="str">
        <f>VLOOKUP( $B55, T_Aop[], 6, 1)</f>
        <v xml:space="preserve">      4. Prihodi od efekata valutne klauzule</v>
      </c>
      <c r="E55" s="458"/>
      <c r="F55" s="458"/>
      <c r="G55" s="458"/>
      <c r="H55" s="458"/>
      <c r="I55" s="264">
        <f>VLOOKUP( $B55, T_Aop[], 4, 1)</f>
        <v>235</v>
      </c>
      <c r="J55" s="217"/>
      <c r="K55" s="218"/>
      <c r="M55" s="60"/>
      <c r="O55" s="289"/>
    </row>
    <row r="56" spans="2:15" x14ac:dyDescent="0.2">
      <c r="B56" s="17">
        <v>172</v>
      </c>
      <c r="C56" s="286">
        <f>VLOOKUP( $B56, T_Aop[], 5, 1)</f>
        <v>664</v>
      </c>
      <c r="D56" s="465" t="str">
        <f>VLOOKUP( $B56, T_Aop[], 6, 1)</f>
        <v xml:space="preserve">      5. Prihodi od učešća u dobitku zajedničkih ulaganja</v>
      </c>
      <c r="E56" s="465"/>
      <c r="F56" s="465"/>
      <c r="G56" s="465"/>
      <c r="H56" s="465"/>
      <c r="I56" s="263">
        <f>VLOOKUP( $B56, T_Aop[], 4, 1)</f>
        <v>236</v>
      </c>
      <c r="J56" s="215"/>
      <c r="K56" s="216"/>
      <c r="M56" s="60"/>
      <c r="O56" s="289"/>
    </row>
    <row r="57" spans="2:15" x14ac:dyDescent="0.2">
      <c r="B57" s="17">
        <v>173</v>
      </c>
      <c r="C57" s="287">
        <f>VLOOKUP( $B57, T_Aop[], 5, 1)</f>
        <v>669</v>
      </c>
      <c r="D57" s="458" t="str">
        <f>VLOOKUP( $B57, T_Aop[], 6, 1)</f>
        <v xml:space="preserve">      6. Ostali finansijski prihodi</v>
      </c>
      <c r="E57" s="458"/>
      <c r="F57" s="458"/>
      <c r="G57" s="458"/>
      <c r="H57" s="458"/>
      <c r="I57" s="264">
        <f>VLOOKUP( $B57, T_Aop[], 4, 1)</f>
        <v>237</v>
      </c>
      <c r="J57" s="217"/>
      <c r="K57" s="218"/>
      <c r="M57" s="60"/>
      <c r="O57" s="289"/>
    </row>
    <row r="58" spans="2:15" x14ac:dyDescent="0.2">
      <c r="B58" s="17">
        <v>174</v>
      </c>
      <c r="C58" s="283">
        <f>VLOOKUP( $B58, T_Aop[], 5, 1)</f>
        <v>56</v>
      </c>
      <c r="D58" s="464" t="str">
        <f>VLOOKUP( $B58, T_Aop[], 6, 1)</f>
        <v xml:space="preserve">    II - FINANSIJSKI RASHODI (239 do 243)</v>
      </c>
      <c r="E58" s="464"/>
      <c r="F58" s="464"/>
      <c r="G58" s="464"/>
      <c r="H58" s="464"/>
      <c r="I58" s="265">
        <f>VLOOKUP( $B58, T_Aop[], 4, 1)</f>
        <v>238</v>
      </c>
      <c r="J58" s="84">
        <f>SUBTOTAL( 9, J59:J63)</f>
        <v>64449</v>
      </c>
      <c r="K58" s="85">
        <f>SUBTOTAL( 9, K59:K63)</f>
        <v>2289324</v>
      </c>
      <c r="M58" s="60"/>
      <c r="O58" s="289"/>
    </row>
    <row r="59" spans="2:15" x14ac:dyDescent="0.2">
      <c r="B59" s="17">
        <v>175</v>
      </c>
      <c r="C59" s="287">
        <f>VLOOKUP( $B59, T_Aop[], 5, 1)</f>
        <v>560</v>
      </c>
      <c r="D59" s="458" t="str">
        <f>VLOOKUP( $B59, T_Aop[], 6, 1)</f>
        <v xml:space="preserve">      1. Finansijski rashodi po osnovu odnosa povezanih pravnih lica</v>
      </c>
      <c r="E59" s="458"/>
      <c r="F59" s="458"/>
      <c r="G59" s="458"/>
      <c r="H59" s="458"/>
      <c r="I59" s="264">
        <f>VLOOKUP( $B59, T_Aop[], 4, 1)</f>
        <v>239</v>
      </c>
      <c r="J59" s="217"/>
      <c r="K59" s="218"/>
      <c r="M59" s="60"/>
      <c r="O59" s="289"/>
    </row>
    <row r="60" spans="2:15" x14ac:dyDescent="0.2">
      <c r="B60" s="17">
        <v>176</v>
      </c>
      <c r="C60" s="286">
        <f>VLOOKUP( $B60, T_Aop[], 5, 1)</f>
        <v>561</v>
      </c>
      <c r="D60" s="465" t="str">
        <f>VLOOKUP( $B60, T_Aop[], 6, 1)</f>
        <v xml:space="preserve">      2. Rashodi kamata</v>
      </c>
      <c r="E60" s="465"/>
      <c r="F60" s="465"/>
      <c r="G60" s="465"/>
      <c r="H60" s="465"/>
      <c r="I60" s="263">
        <f>VLOOKUP( $B60, T_Aop[], 4, 1)</f>
        <v>240</v>
      </c>
      <c r="J60" s="215">
        <v>64401</v>
      </c>
      <c r="K60" s="216">
        <v>2288015</v>
      </c>
      <c r="M60" s="60"/>
      <c r="O60" s="289"/>
    </row>
    <row r="61" spans="2:15" x14ac:dyDescent="0.2">
      <c r="B61" s="17">
        <v>177</v>
      </c>
      <c r="C61" s="287">
        <f>VLOOKUP( $B61, T_Aop[], 5, 1)</f>
        <v>562</v>
      </c>
      <c r="D61" s="458" t="str">
        <f>VLOOKUP( $B61, T_Aop[], 6, 1)</f>
        <v xml:space="preserve">      3. Negativne kursne razlike</v>
      </c>
      <c r="E61" s="458"/>
      <c r="F61" s="458"/>
      <c r="G61" s="458"/>
      <c r="H61" s="458"/>
      <c r="I61" s="264">
        <f>VLOOKUP( $B61, T_Aop[], 4, 1)</f>
        <v>241</v>
      </c>
      <c r="J61" s="217">
        <v>48</v>
      </c>
      <c r="K61" s="218">
        <v>1309</v>
      </c>
      <c r="M61" s="60"/>
      <c r="O61" s="289"/>
    </row>
    <row r="62" spans="2:15" x14ac:dyDescent="0.2">
      <c r="B62" s="17">
        <v>178</v>
      </c>
      <c r="C62" s="286">
        <f>VLOOKUP( $B62, T_Aop[], 5, 1)</f>
        <v>563</v>
      </c>
      <c r="D62" s="465" t="str">
        <f>VLOOKUP( $B62, T_Aop[], 6, 1)</f>
        <v xml:space="preserve">      4. Rashodi po osnovu valutne klauzule</v>
      </c>
      <c r="E62" s="465"/>
      <c r="F62" s="465"/>
      <c r="G62" s="465"/>
      <c r="H62" s="465"/>
      <c r="I62" s="263">
        <f>VLOOKUP( $B62, T_Aop[], 4, 1)</f>
        <v>242</v>
      </c>
      <c r="J62" s="215"/>
      <c r="K62" s="216"/>
      <c r="M62" s="60"/>
      <c r="O62" s="289"/>
    </row>
    <row r="63" spans="2:15" x14ac:dyDescent="0.2">
      <c r="B63" s="17">
        <v>179</v>
      </c>
      <c r="C63" s="287">
        <f>VLOOKUP( $B63, T_Aop[], 5, 1)</f>
        <v>569</v>
      </c>
      <c r="D63" s="458" t="str">
        <f>VLOOKUP( $B63, T_Aop[], 6, 1)</f>
        <v xml:space="preserve">      5. Ostali finansijski rashodi</v>
      </c>
      <c r="E63" s="458"/>
      <c r="F63" s="458"/>
      <c r="G63" s="458"/>
      <c r="H63" s="458"/>
      <c r="I63" s="264">
        <f>VLOOKUP( $B63, T_Aop[], 4, 1)</f>
        <v>243</v>
      </c>
      <c r="J63" s="217"/>
      <c r="K63" s="218"/>
      <c r="M63" s="60"/>
      <c r="O63" s="289"/>
    </row>
    <row r="64" spans="2:15" x14ac:dyDescent="0.2">
      <c r="B64" s="17">
        <v>180</v>
      </c>
      <c r="C64" s="283">
        <f>VLOOKUP( $B64, T_Aop[], 5, 1)</f>
        <v>0</v>
      </c>
      <c r="D64" s="464" t="str">
        <f>VLOOKUP( $B64, T_Aop[], 6, 1)</f>
        <v xml:space="preserve">  D. DOBITAK REDOVNE AKTIVNOSTI (229 + 231 - 238) ili (231 - 238 - 230)</v>
      </c>
      <c r="E64" s="464"/>
      <c r="F64" s="464"/>
      <c r="G64" s="464"/>
      <c r="H64" s="464"/>
      <c r="I64" s="265">
        <f>VLOOKUP( $B64, T_Aop[], 4, 1)</f>
        <v>244</v>
      </c>
      <c r="J64" s="84">
        <f>IF( SUBTOTAL( 9,J20:J30, J32, J34, J51:J57) - SUBTOTAL( 9, J31, J33, J35:J47, J58:J63) &lt;= 0, 0, ABS( SUBTOTAL( 9,J20:J30, J32, J34, J51:J57) - SUBTOTAL( 9, J31, J33, J35:J47, J58:J63)))</f>
        <v>0</v>
      </c>
      <c r="K64" s="85">
        <f>IF( SUBTOTAL( 9,K20:K30, K32, K34, K51:K57) - SUBTOTAL( 9, K31, K33, K35:K47, K58:K63) &lt;= 0, 0, ABS( SUBTOTAL( 9,K20:K30, K32, K34, K51:K57) - SUBTOTAL( 9, K31, K33, K35:K47, K58:K63)))</f>
        <v>0</v>
      </c>
      <c r="M64" s="60"/>
      <c r="O64" s="289"/>
    </row>
    <row r="65" spans="2:15" x14ac:dyDescent="0.2">
      <c r="B65" s="17">
        <v>181</v>
      </c>
      <c r="C65" s="284">
        <f>VLOOKUP( $B65, T_Aop[], 5, 1)</f>
        <v>0</v>
      </c>
      <c r="D65" s="469" t="str">
        <f>VLOOKUP( $B65, T_Aop[], 6, 1)</f>
        <v xml:space="preserve">  Đ. GUBITAK REDOVNE AKTIVNOSTI (230 + 238 - 231) ili (238 - 229 - 231)</v>
      </c>
      <c r="E65" s="469"/>
      <c r="F65" s="469"/>
      <c r="G65" s="469"/>
      <c r="H65" s="469"/>
      <c r="I65" s="266">
        <f>VLOOKUP( $B65, T_Aop[], 4, 1)</f>
        <v>245</v>
      </c>
      <c r="J65" s="88">
        <f>IF( SUBTOTAL( 9,J20:J30, J32, J34, J51:J57) - SUBTOTAL( 9, J31, J33, J35:J47, J58:J63) &gt;= 0, 0, ABS( SUBTOTAL( 9,J20:J30, J32, J34, J51:J57) - SUBTOTAL( 9, J31, J33, J35:J47, J58:J63)))</f>
        <v>4762171</v>
      </c>
      <c r="K65" s="89">
        <f>IF( SUBTOTAL( 9,K20:K30, K32, K34, K51:K57) - SUBTOTAL( 9, K31, K33, K35:K47, K58:K63) &gt;= 0, 0, ABS( SUBTOTAL( 9,K20:K30, K32, K34, K51:K57) - SUBTOTAL( 9, K31, K33, K35:K47, K58:K63)))</f>
        <v>5239910</v>
      </c>
      <c r="M65" s="60"/>
      <c r="O65" s="289"/>
    </row>
    <row r="66" spans="2:15" x14ac:dyDescent="0.2">
      <c r="B66" s="17">
        <v>182</v>
      </c>
      <c r="C66" s="283">
        <f>VLOOKUP( $B66, T_Aop[], 5, 1)</f>
        <v>0</v>
      </c>
      <c r="D66" s="464" t="str">
        <f>VLOOKUP( $B66, T_Aop[], 6, 1)</f>
        <v>E. OSTALI PRIHODI I RASHODI</v>
      </c>
      <c r="E66" s="464"/>
      <c r="F66" s="464"/>
      <c r="G66" s="464"/>
      <c r="H66" s="464"/>
      <c r="I66" s="265">
        <f>VLOOKUP( $B66, T_Aop[], 4, 1)</f>
        <v>0</v>
      </c>
      <c r="J66" s="84"/>
      <c r="K66" s="85"/>
      <c r="M66" s="60"/>
      <c r="O66" s="289"/>
    </row>
    <row r="67" spans="2:15" x14ac:dyDescent="0.2">
      <c r="B67" s="17">
        <v>183</v>
      </c>
      <c r="C67" s="284">
        <f>VLOOKUP( $B67, T_Aop[], 5, 1)</f>
        <v>67</v>
      </c>
      <c r="D67" s="469" t="str">
        <f>VLOOKUP( $B67, T_Aop[], 6, 1)</f>
        <v xml:space="preserve">    I - OSTALI PRIHODI (247 do 256)</v>
      </c>
      <c r="E67" s="469"/>
      <c r="F67" s="469"/>
      <c r="G67" s="469"/>
      <c r="H67" s="469"/>
      <c r="I67" s="266">
        <f>VLOOKUP( $B67, T_Aop[], 4, 1)</f>
        <v>246</v>
      </c>
      <c r="J67" s="88">
        <f>SUBTOTAL( 9, J68:J77)</f>
        <v>396206</v>
      </c>
      <c r="K67" s="89">
        <f>SUBTOTAL( 9, K68:K77)</f>
        <v>83520</v>
      </c>
      <c r="M67" s="60"/>
      <c r="O67" s="289"/>
    </row>
    <row r="68" spans="2:15" x14ac:dyDescent="0.2">
      <c r="B68" s="17">
        <v>184</v>
      </c>
      <c r="C68" s="286">
        <f>VLOOKUP( $B68, T_Aop[], 5, 1)</f>
        <v>670</v>
      </c>
      <c r="D68" s="465" t="str">
        <f>VLOOKUP( $B68, T_Aop[], 6, 1)</f>
        <v xml:space="preserve">      1. Dobici po osnovu prodaje nematerijalnih sredstava, nekretnina, postrojenja i opreme</v>
      </c>
      <c r="E68" s="465"/>
      <c r="F68" s="465"/>
      <c r="G68" s="465"/>
      <c r="H68" s="465"/>
      <c r="I68" s="263">
        <f>VLOOKUP( $B68, T_Aop[], 4, 1)</f>
        <v>247</v>
      </c>
      <c r="J68" s="215"/>
      <c r="K68" s="216"/>
      <c r="M68" s="60"/>
      <c r="O68" s="289"/>
    </row>
    <row r="69" spans="2:15" x14ac:dyDescent="0.2">
      <c r="B69" s="17">
        <v>185</v>
      </c>
      <c r="C69" s="287">
        <f>VLOOKUP( $B69, T_Aop[], 5, 1)</f>
        <v>671</v>
      </c>
      <c r="D69" s="458" t="str">
        <f>VLOOKUP( $B69, T_Aop[], 6, 1)</f>
        <v xml:space="preserve">      2. Dobici po osnovu prodaje investicionih nekretnina</v>
      </c>
      <c r="E69" s="458"/>
      <c r="F69" s="458"/>
      <c r="G69" s="458"/>
      <c r="H69" s="458"/>
      <c r="I69" s="264">
        <f>VLOOKUP( $B69, T_Aop[], 4, 1)</f>
        <v>248</v>
      </c>
      <c r="J69" s="217"/>
      <c r="K69" s="218"/>
      <c r="M69" s="60"/>
      <c r="O69" s="289"/>
    </row>
    <row r="70" spans="2:15" x14ac:dyDescent="0.2">
      <c r="B70" s="17">
        <v>186</v>
      </c>
      <c r="C70" s="286">
        <f>VLOOKUP( $B70, T_Aop[], 5, 1)</f>
        <v>672</v>
      </c>
      <c r="D70" s="465" t="str">
        <f>VLOOKUP( $B70, T_Aop[], 6, 1)</f>
        <v xml:space="preserve">      3. Dobici po osnovu prodaje bioloških sredstava</v>
      </c>
      <c r="E70" s="465"/>
      <c r="F70" s="465"/>
      <c r="G70" s="465"/>
      <c r="H70" s="465"/>
      <c r="I70" s="263">
        <f>VLOOKUP( $B70, T_Aop[], 4, 1)</f>
        <v>249</v>
      </c>
      <c r="J70" s="215"/>
      <c r="K70" s="216"/>
      <c r="M70" s="60"/>
      <c r="O70" s="289"/>
    </row>
    <row r="71" spans="2:15" x14ac:dyDescent="0.2">
      <c r="B71" s="17">
        <v>187</v>
      </c>
      <c r="C71" s="287">
        <f>VLOOKUP( $B71, T_Aop[], 5, 1)</f>
        <v>673</v>
      </c>
      <c r="D71" s="458" t="str">
        <f>VLOOKUP( $B71, T_Aop[], 6, 1)</f>
        <v xml:space="preserve">      4. Dobici po osnovu prodaje sredstava obustavljenog poslovanja</v>
      </c>
      <c r="E71" s="458"/>
      <c r="F71" s="458"/>
      <c r="G71" s="458"/>
      <c r="H71" s="458"/>
      <c r="I71" s="264">
        <f>VLOOKUP( $B71, T_Aop[], 4, 1)</f>
        <v>250</v>
      </c>
      <c r="J71" s="217"/>
      <c r="K71" s="218"/>
      <c r="M71" s="60"/>
      <c r="O71" s="289"/>
    </row>
    <row r="72" spans="2:15" x14ac:dyDescent="0.2">
      <c r="B72" s="17">
        <v>188</v>
      </c>
      <c r="C72" s="286">
        <f>VLOOKUP( $B72, T_Aop[], 5, 1)</f>
        <v>674</v>
      </c>
      <c r="D72" s="465" t="str">
        <f>VLOOKUP( $B72, T_Aop[], 6, 1)</f>
        <v xml:space="preserve">      5. Dobici po osnovu prodaje učešća u kapitalu i HOV</v>
      </c>
      <c r="E72" s="465"/>
      <c r="F72" s="465"/>
      <c r="G72" s="465"/>
      <c r="H72" s="465"/>
      <c r="I72" s="263">
        <f>VLOOKUP( $B72, T_Aop[], 4, 1)</f>
        <v>251</v>
      </c>
      <c r="J72" s="215"/>
      <c r="K72" s="216"/>
      <c r="M72" s="60"/>
      <c r="O72" s="289"/>
    </row>
    <row r="73" spans="2:15" x14ac:dyDescent="0.2">
      <c r="B73" s="17">
        <v>189</v>
      </c>
      <c r="C73" s="287">
        <f>VLOOKUP( $B73, T_Aop[], 5, 1)</f>
        <v>675</v>
      </c>
      <c r="D73" s="458" t="str">
        <f>VLOOKUP( $B73, T_Aop[], 6, 1)</f>
        <v xml:space="preserve">      6. Dobici po osnovu prodaje materijala</v>
      </c>
      <c r="E73" s="458"/>
      <c r="F73" s="458"/>
      <c r="G73" s="458"/>
      <c r="H73" s="458"/>
      <c r="I73" s="264">
        <f>VLOOKUP( $B73, T_Aop[], 4, 1)</f>
        <v>252</v>
      </c>
      <c r="J73" s="217">
        <v>40555</v>
      </c>
      <c r="K73" s="218">
        <v>260</v>
      </c>
      <c r="M73" s="60"/>
      <c r="O73" s="289"/>
    </row>
    <row r="74" spans="2:15" x14ac:dyDescent="0.2">
      <c r="B74" s="17">
        <v>190</v>
      </c>
      <c r="C74" s="286">
        <f>VLOOKUP( $B74, T_Aop[], 5, 1)</f>
        <v>676</v>
      </c>
      <c r="D74" s="465" t="str">
        <f>VLOOKUP( $B74, T_Aop[], 6, 1)</f>
        <v xml:space="preserve">      7. Viškovi, izuzimajući viškove zaliha učinaka</v>
      </c>
      <c r="E74" s="465"/>
      <c r="F74" s="465"/>
      <c r="G74" s="465"/>
      <c r="H74" s="465"/>
      <c r="I74" s="263">
        <f>VLOOKUP( $B74, T_Aop[], 4, 1)</f>
        <v>253</v>
      </c>
      <c r="J74" s="215"/>
      <c r="K74" s="216"/>
      <c r="M74" s="60"/>
      <c r="O74" s="289"/>
    </row>
    <row r="75" spans="2:15" x14ac:dyDescent="0.2">
      <c r="B75" s="17">
        <v>191</v>
      </c>
      <c r="C75" s="287">
        <f>VLOOKUP( $B75, T_Aop[], 5, 1)</f>
        <v>677</v>
      </c>
      <c r="D75" s="458" t="str">
        <f>VLOOKUP( $B75, T_Aop[], 6, 1)</f>
        <v xml:space="preserve">      8. Naplaćena otpisana potraživanja</v>
      </c>
      <c r="E75" s="458"/>
      <c r="F75" s="458"/>
      <c r="G75" s="458"/>
      <c r="H75" s="458"/>
      <c r="I75" s="264">
        <f>VLOOKUP( $B75, T_Aop[], 4, 1)</f>
        <v>254</v>
      </c>
      <c r="J75" s="217">
        <v>191680</v>
      </c>
      <c r="K75" s="218"/>
      <c r="M75" s="60"/>
      <c r="O75" s="289"/>
    </row>
    <row r="76" spans="2:15" ht="25.5" x14ac:dyDescent="0.2">
      <c r="B76" s="17">
        <v>192</v>
      </c>
      <c r="C76" s="286">
        <f>VLOOKUP( $B76, T_Aop[], 5, 1)</f>
        <v>678</v>
      </c>
      <c r="D76" s="465" t="str">
        <f>VLOOKUP( $B76, T_Aop[], 6, 1)</f>
        <v xml:space="preserve">      9. Prihodi po osnovu ugovorene zaštite od rizika, koji ne ispunjavaju uslove da se iskažu u okviru revalorizacionih rezervi</v>
      </c>
      <c r="E76" s="465"/>
      <c r="F76" s="465"/>
      <c r="G76" s="465"/>
      <c r="H76" s="465"/>
      <c r="I76" s="263">
        <f>VLOOKUP( $B76, T_Aop[], 4, 1)</f>
        <v>255</v>
      </c>
      <c r="J76" s="215"/>
      <c r="K76" s="216"/>
      <c r="M76" s="60"/>
      <c r="O76" s="290" t="s">
        <v>625</v>
      </c>
    </row>
    <row r="77" spans="2:15" ht="25.5" x14ac:dyDescent="0.2">
      <c r="B77" s="17">
        <v>193</v>
      </c>
      <c r="C77" s="287">
        <f>VLOOKUP( $B77, T_Aop[], 5, 1)</f>
        <v>679</v>
      </c>
      <c r="D77" s="458" t="str">
        <f>VLOOKUP( $B77, T_Aop[], 6, 1)</f>
        <v xml:space="preserve">      10. Prihodi od smanjenja obaveza, ukidanja neiskorišćenih dugoročnih rezervisanja i ostali nepomenuti prihodi</v>
      </c>
      <c r="E77" s="458"/>
      <c r="F77" s="458"/>
      <c r="G77" s="458"/>
      <c r="H77" s="458"/>
      <c r="I77" s="264">
        <f>VLOOKUP( $B77, T_Aop[], 4, 1)</f>
        <v>256</v>
      </c>
      <c r="J77" s="217">
        <v>163971</v>
      </c>
      <c r="K77" s="218">
        <v>83260</v>
      </c>
      <c r="M77" s="60"/>
      <c r="O77" s="290" t="s">
        <v>625</v>
      </c>
    </row>
    <row r="78" spans="2:15" x14ac:dyDescent="0.2">
      <c r="B78" s="17">
        <v>194</v>
      </c>
      <c r="C78" s="283">
        <f>VLOOKUP( $B78, T_Aop[], 5, 1)</f>
        <v>57</v>
      </c>
      <c r="D78" s="464" t="str">
        <f>VLOOKUP( $B78, T_Aop[], 6, 1)</f>
        <v xml:space="preserve">    II - OSTALI RASHODI (258 do 267)</v>
      </c>
      <c r="E78" s="464"/>
      <c r="F78" s="464"/>
      <c r="G78" s="464"/>
      <c r="H78" s="464"/>
      <c r="I78" s="265">
        <f>VLOOKUP( $B78, T_Aop[], 4, 1)</f>
        <v>257</v>
      </c>
      <c r="J78" s="84">
        <f>SUBTOTAL( 9, J79:J88)</f>
        <v>98945</v>
      </c>
      <c r="K78" s="85">
        <f>SUBTOTAL( 9, K79:K88)</f>
        <v>145281</v>
      </c>
      <c r="M78" s="60"/>
      <c r="O78" s="289"/>
    </row>
    <row r="79" spans="2:15" x14ac:dyDescent="0.2">
      <c r="B79" s="17">
        <v>195</v>
      </c>
      <c r="C79" s="287">
        <f>VLOOKUP( $B79, T_Aop[], 5, 1)</f>
        <v>570</v>
      </c>
      <c r="D79" s="458" t="str">
        <f>VLOOKUP( $B79, T_Aop[], 6, 1)</f>
        <v xml:space="preserve">      1. Gubici po osnovu prodaje i rashodovanja nematerijalnih sredstava, nekretnina, postrojenja i opreme</v>
      </c>
      <c r="E79" s="458"/>
      <c r="F79" s="458"/>
      <c r="G79" s="458"/>
      <c r="H79" s="458"/>
      <c r="I79" s="264">
        <f>VLOOKUP( $B79, T_Aop[], 4, 1)</f>
        <v>258</v>
      </c>
      <c r="J79" s="217"/>
      <c r="K79" s="218"/>
      <c r="M79" s="60"/>
      <c r="O79" s="289"/>
    </row>
    <row r="80" spans="2:15" x14ac:dyDescent="0.2">
      <c r="B80" s="17">
        <v>196</v>
      </c>
      <c r="C80" s="286">
        <f>VLOOKUP( $B80, T_Aop[], 5, 1)</f>
        <v>571</v>
      </c>
      <c r="D80" s="465" t="str">
        <f>VLOOKUP( $B80, T_Aop[], 6, 1)</f>
        <v xml:space="preserve">      2. Gubici po osnovu prodaje i rashodovanja investicionih nekretnina</v>
      </c>
      <c r="E80" s="465"/>
      <c r="F80" s="465"/>
      <c r="G80" s="465"/>
      <c r="H80" s="465"/>
      <c r="I80" s="263">
        <f>VLOOKUP( $B80, T_Aop[], 4, 1)</f>
        <v>259</v>
      </c>
      <c r="J80" s="215"/>
      <c r="K80" s="216"/>
      <c r="M80" s="60"/>
      <c r="O80" s="289"/>
    </row>
    <row r="81" spans="2:15" x14ac:dyDescent="0.2">
      <c r="B81" s="17">
        <v>197</v>
      </c>
      <c r="C81" s="287">
        <f>VLOOKUP( $B81, T_Aop[], 5, 1)</f>
        <v>572</v>
      </c>
      <c r="D81" s="458" t="str">
        <f>VLOOKUP( $B81, T_Aop[], 6, 1)</f>
        <v xml:space="preserve">      3. Gubici po osnovu prodaje i rashodovanja bioloških sredstava</v>
      </c>
      <c r="E81" s="458"/>
      <c r="F81" s="458"/>
      <c r="G81" s="458"/>
      <c r="H81" s="458"/>
      <c r="I81" s="264">
        <f>VLOOKUP( $B81, T_Aop[], 4, 1)</f>
        <v>260</v>
      </c>
      <c r="J81" s="217"/>
      <c r="K81" s="218"/>
      <c r="M81" s="60"/>
      <c r="O81" s="289"/>
    </row>
    <row r="82" spans="2:15" x14ac:dyDescent="0.2">
      <c r="B82" s="17">
        <v>198</v>
      </c>
      <c r="C82" s="286">
        <f>VLOOKUP( $B82, T_Aop[], 5, 1)</f>
        <v>573</v>
      </c>
      <c r="D82" s="465" t="str">
        <f>VLOOKUP( $B82, T_Aop[], 6, 1)</f>
        <v xml:space="preserve">      4. Gubici po osnovu prodaje sredstava obustavljenog poslovanja</v>
      </c>
      <c r="E82" s="465"/>
      <c r="F82" s="465"/>
      <c r="G82" s="465"/>
      <c r="H82" s="465"/>
      <c r="I82" s="263">
        <f>VLOOKUP( $B82, T_Aop[], 4, 1)</f>
        <v>261</v>
      </c>
      <c r="J82" s="215"/>
      <c r="K82" s="216"/>
      <c r="M82" s="60"/>
      <c r="O82" s="289"/>
    </row>
    <row r="83" spans="2:15" x14ac:dyDescent="0.2">
      <c r="B83" s="17">
        <v>199</v>
      </c>
      <c r="C83" s="287">
        <f>VLOOKUP( $B83, T_Aop[], 5, 1)</f>
        <v>574</v>
      </c>
      <c r="D83" s="458" t="str">
        <f>VLOOKUP( $B83, T_Aop[], 6, 1)</f>
        <v xml:space="preserve">      5. Gubici po osnovu prodaje učešća u kapitalu i HOV</v>
      </c>
      <c r="E83" s="458"/>
      <c r="F83" s="458"/>
      <c r="G83" s="458"/>
      <c r="H83" s="458"/>
      <c r="I83" s="264">
        <f>VLOOKUP( $B83, T_Aop[], 4, 1)</f>
        <v>262</v>
      </c>
      <c r="J83" s="217"/>
      <c r="K83" s="218"/>
      <c r="M83" s="60"/>
      <c r="O83" s="289"/>
    </row>
    <row r="84" spans="2:15" x14ac:dyDescent="0.2">
      <c r="B84" s="17">
        <v>200</v>
      </c>
      <c r="C84" s="286">
        <f>VLOOKUP( $B84, T_Aop[], 5, 1)</f>
        <v>575</v>
      </c>
      <c r="D84" s="465" t="str">
        <f>VLOOKUP( $B84, T_Aop[], 6, 1)</f>
        <v xml:space="preserve">      6. Gubici po osnovu prodaje materijala</v>
      </c>
      <c r="E84" s="465"/>
      <c r="F84" s="465"/>
      <c r="G84" s="465"/>
      <c r="H84" s="465"/>
      <c r="I84" s="263">
        <f>VLOOKUP( $B84, T_Aop[], 4, 1)</f>
        <v>263</v>
      </c>
      <c r="J84" s="215"/>
      <c r="K84" s="216"/>
      <c r="M84" s="60"/>
      <c r="O84" s="289"/>
    </row>
    <row r="85" spans="2:15" x14ac:dyDescent="0.2">
      <c r="B85" s="17">
        <v>201</v>
      </c>
      <c r="C85" s="287">
        <f>VLOOKUP( $B85, T_Aop[], 5, 1)</f>
        <v>576</v>
      </c>
      <c r="D85" s="458" t="str">
        <f>VLOOKUP( $B85, T_Aop[], 6, 1)</f>
        <v xml:space="preserve">      7. Manjkovi, izuzimajući manjkove zaliha učinaka</v>
      </c>
      <c r="E85" s="458"/>
      <c r="F85" s="458"/>
      <c r="G85" s="458"/>
      <c r="H85" s="458"/>
      <c r="I85" s="264">
        <f>VLOOKUP( $B85, T_Aop[], 4, 1)</f>
        <v>264</v>
      </c>
      <c r="J85" s="217">
        <v>1596</v>
      </c>
      <c r="K85" s="218">
        <v>19970</v>
      </c>
      <c r="M85" s="60"/>
      <c r="O85" s="289"/>
    </row>
    <row r="86" spans="2:15" ht="25.5" x14ac:dyDescent="0.2">
      <c r="B86" s="17">
        <v>202</v>
      </c>
      <c r="C86" s="286">
        <f>VLOOKUP( $B86, T_Aop[], 5, 1)</f>
        <v>577</v>
      </c>
      <c r="D86" s="465" t="str">
        <f>VLOOKUP( $B86, T_Aop[], 6, 1)</f>
        <v xml:space="preserve">      8. Rashodi po osnovu zaštite od rizika koji ne ispunjavaju uslove da se iskažu u okviru revalorizacionih rezervi</v>
      </c>
      <c r="E86" s="465"/>
      <c r="F86" s="465"/>
      <c r="G86" s="465"/>
      <c r="H86" s="465"/>
      <c r="I86" s="263">
        <f>VLOOKUP( $B86, T_Aop[], 4, 1)</f>
        <v>265</v>
      </c>
      <c r="J86" s="215"/>
      <c r="K86" s="216"/>
      <c r="M86" s="60"/>
      <c r="O86" s="290" t="s">
        <v>625</v>
      </c>
    </row>
    <row r="87" spans="2:15" x14ac:dyDescent="0.2">
      <c r="B87" s="17">
        <v>203</v>
      </c>
      <c r="C87" s="287">
        <f>VLOOKUP( $B87, T_Aop[], 5, 1)</f>
        <v>578</v>
      </c>
      <c r="D87" s="458" t="str">
        <f>VLOOKUP( $B87, T_Aop[], 6, 1)</f>
        <v xml:space="preserve">      9. Rashodi po osnovu ispravke vrijednosti i otpisa potraživanja</v>
      </c>
      <c r="E87" s="458"/>
      <c r="F87" s="458"/>
      <c r="G87" s="458"/>
      <c r="H87" s="458"/>
      <c r="I87" s="264">
        <f>VLOOKUP( $B87, T_Aop[], 4, 1)</f>
        <v>266</v>
      </c>
      <c r="J87" s="217"/>
      <c r="K87" s="218"/>
      <c r="M87" s="60"/>
      <c r="O87" s="289"/>
    </row>
    <row r="88" spans="2:15" x14ac:dyDescent="0.2">
      <c r="B88" s="17">
        <v>204</v>
      </c>
      <c r="C88" s="286">
        <f>VLOOKUP( $B88, T_Aop[], 5, 1)</f>
        <v>579</v>
      </c>
      <c r="D88" s="465" t="str">
        <f>VLOOKUP( $B88, T_Aop[], 6, 1)</f>
        <v xml:space="preserve">      10. Rashodi po osnovu rashodovanja zaliha materijala i robe i ostali rashodi</v>
      </c>
      <c r="E88" s="465"/>
      <c r="F88" s="465"/>
      <c r="G88" s="465"/>
      <c r="H88" s="465"/>
      <c r="I88" s="263">
        <f>VLOOKUP( $B88, T_Aop[], 4, 1)</f>
        <v>267</v>
      </c>
      <c r="J88" s="215">
        <v>97349</v>
      </c>
      <c r="K88" s="216">
        <v>125311</v>
      </c>
      <c r="M88" s="60"/>
      <c r="O88" s="289"/>
    </row>
    <row r="89" spans="2:15" x14ac:dyDescent="0.2">
      <c r="B89" s="17">
        <v>205</v>
      </c>
      <c r="C89" s="284">
        <f>VLOOKUP( $B89, T_Aop[], 5, 1)</f>
        <v>0</v>
      </c>
      <c r="D89" s="469" t="str">
        <f>VLOOKUP( $B89, T_Aop[], 6, 1)</f>
        <v xml:space="preserve">  Ž. DOBITAK PO OSNOVU OSTALIH PRIHODA I RASHODA (246 - 257)</v>
      </c>
      <c r="E89" s="469"/>
      <c r="F89" s="469"/>
      <c r="G89" s="469"/>
      <c r="H89" s="469"/>
      <c r="I89" s="266">
        <f>VLOOKUP( $B89, T_Aop[], 4, 1)</f>
        <v>268</v>
      </c>
      <c r="J89" s="88">
        <f>IF( SUBTOTAL( 9, J67:J77) - SUBTOTAL( 9, J78:J88) &lt;= 0, 0, ABS( SUBTOTAL( 9, J67:J77) - SUBTOTAL( 9, J78:J88)) )</f>
        <v>297261</v>
      </c>
      <c r="K89" s="89">
        <f>IF( SUBTOTAL( 9, K67:K77) - SUBTOTAL( 9, K78:K88) &lt;= 0, 0, ABS( SUBTOTAL( 9, K67:K77) - SUBTOTAL( 9, K78:K88)) )</f>
        <v>0</v>
      </c>
      <c r="M89" s="60"/>
      <c r="O89" s="289"/>
    </row>
    <row r="90" spans="2:15" x14ac:dyDescent="0.2">
      <c r="B90" s="17">
        <v>206</v>
      </c>
      <c r="C90" s="283">
        <f>VLOOKUP( $B90, T_Aop[], 5, 1)</f>
        <v>0</v>
      </c>
      <c r="D90" s="464" t="str">
        <f>VLOOKUP( $B90, T_Aop[], 6, 1)</f>
        <v xml:space="preserve">  Z. GUBITAK PO OSNOVU OSTALIH PRIHODA I RASHODA (257 - 246)</v>
      </c>
      <c r="E90" s="464"/>
      <c r="F90" s="464"/>
      <c r="G90" s="464"/>
      <c r="H90" s="464"/>
      <c r="I90" s="265">
        <f>VLOOKUP( $B90, T_Aop[], 4, 1)</f>
        <v>269</v>
      </c>
      <c r="J90" s="84">
        <f>IF( SUBTOTAL( 9, J67:J77) - SUBTOTAL( 9, J78:J88) &gt;= 0, 0, ABS( SUBTOTAL( 9, J67:J77) - SUBTOTAL( 9, J78:J88)) )</f>
        <v>0</v>
      </c>
      <c r="K90" s="85">
        <f>IF( SUBTOTAL( 9, K67:K77) - SUBTOTAL( 9, K78:K88) &gt;= 0, 0, ABS( SUBTOTAL( 9, K67:K77) - SUBTOTAL( 9, K78:K88)) )</f>
        <v>61761</v>
      </c>
      <c r="M90" s="60"/>
      <c r="O90" s="289"/>
    </row>
    <row r="91" spans="2:15" x14ac:dyDescent="0.2">
      <c r="B91" s="17">
        <v>207</v>
      </c>
      <c r="C91" s="284">
        <f>VLOOKUP( $B91, T_Aop[], 5, 1)</f>
        <v>0</v>
      </c>
      <c r="D91" s="469" t="str">
        <f>VLOOKUP( $B91, T_Aop[], 6, 1)</f>
        <v>I. PRIHODI I RASHODI OD USKLAĐIVANJA VRIJEDNOSTI IMOVINE</v>
      </c>
      <c r="E91" s="469"/>
      <c r="F91" s="469"/>
      <c r="G91" s="469"/>
      <c r="H91" s="469"/>
      <c r="I91" s="266">
        <f>VLOOKUP( $B91, T_Aop[], 4, 1)</f>
        <v>0</v>
      </c>
      <c r="J91" s="88"/>
      <c r="K91" s="89"/>
      <c r="M91" s="60"/>
      <c r="O91" s="289"/>
    </row>
    <row r="92" spans="2:15" x14ac:dyDescent="0.2">
      <c r="B92" s="17">
        <v>208</v>
      </c>
      <c r="C92" s="283">
        <f>VLOOKUP( $B92, T_Aop[], 5, 1)</f>
        <v>68</v>
      </c>
      <c r="D92" s="464" t="str">
        <f>VLOOKUP( $B92, T_Aop[], 6, 1)</f>
        <v xml:space="preserve">    I - PRIHODI OD USKLAĐIVANJA VRIJEDNOSTI IMOVINE (271 do 279)</v>
      </c>
      <c r="E92" s="464"/>
      <c r="F92" s="464"/>
      <c r="G92" s="464"/>
      <c r="H92" s="464"/>
      <c r="I92" s="265">
        <f>VLOOKUP( $B92, T_Aop[], 4, 1)</f>
        <v>270</v>
      </c>
      <c r="J92" s="84">
        <f>SUBTOTAL( 9, J93:J101)</f>
        <v>0</v>
      </c>
      <c r="K92" s="85">
        <f>SUBTOTAL( 9, K93:K101)</f>
        <v>0</v>
      </c>
      <c r="M92" s="60"/>
      <c r="O92" s="289"/>
    </row>
    <row r="93" spans="2:15" x14ac:dyDescent="0.2">
      <c r="B93" s="17">
        <v>209</v>
      </c>
      <c r="C93" s="287">
        <f>VLOOKUP( $B93, T_Aop[], 5, 1)</f>
        <v>680</v>
      </c>
      <c r="D93" s="458" t="str">
        <f>VLOOKUP( $B93, T_Aop[], 6, 1)</f>
        <v xml:space="preserve">      1. Prihodi od usklađivanja vrijednosti nematerijalnih sredstava</v>
      </c>
      <c r="E93" s="458"/>
      <c r="F93" s="458"/>
      <c r="G93" s="458"/>
      <c r="H93" s="458"/>
      <c r="I93" s="264">
        <f>VLOOKUP( $B93, T_Aop[], 4, 1)</f>
        <v>271</v>
      </c>
      <c r="J93" s="217"/>
      <c r="K93" s="218"/>
      <c r="M93" s="60"/>
      <c r="O93" s="289"/>
    </row>
    <row r="94" spans="2:15" x14ac:dyDescent="0.2">
      <c r="B94" s="17">
        <v>210</v>
      </c>
      <c r="C94" s="286">
        <f>VLOOKUP( $B94, T_Aop[], 5, 1)</f>
        <v>681</v>
      </c>
      <c r="D94" s="465" t="str">
        <f>VLOOKUP( $B94, T_Aop[], 6, 1)</f>
        <v xml:space="preserve">      2. Prihodi od usklađivanja vrijednosti nekretnina, postrojenja i opreme</v>
      </c>
      <c r="E94" s="465"/>
      <c r="F94" s="465"/>
      <c r="G94" s="465"/>
      <c r="H94" s="465"/>
      <c r="I94" s="263">
        <f>VLOOKUP( $B94, T_Aop[], 4, 1)</f>
        <v>272</v>
      </c>
      <c r="J94" s="215"/>
      <c r="K94" s="216"/>
      <c r="M94" s="60"/>
      <c r="O94" s="289"/>
    </row>
    <row r="95" spans="2:15" x14ac:dyDescent="0.2">
      <c r="B95" s="17">
        <v>211</v>
      </c>
      <c r="C95" s="287">
        <f>VLOOKUP( $B95, T_Aop[], 5, 1)</f>
        <v>682</v>
      </c>
      <c r="D95" s="458" t="str">
        <f>VLOOKUP( $B95, T_Aop[], 6, 1)</f>
        <v xml:space="preserve">      3. Prihodi od usklađivanja vrijednosti investicionih nekretnina za koje se obračunava amortizacija</v>
      </c>
      <c r="E95" s="458"/>
      <c r="F95" s="458"/>
      <c r="G95" s="458"/>
      <c r="H95" s="458"/>
      <c r="I95" s="264">
        <f>VLOOKUP( $B95, T_Aop[], 4, 1)</f>
        <v>273</v>
      </c>
      <c r="J95" s="217"/>
      <c r="K95" s="218"/>
      <c r="M95" s="60"/>
      <c r="O95" s="289"/>
    </row>
    <row r="96" spans="2:15" x14ac:dyDescent="0.2">
      <c r="B96" s="17">
        <v>212</v>
      </c>
      <c r="C96" s="286">
        <f>VLOOKUP( $B96, T_Aop[], 5, 1)</f>
        <v>683</v>
      </c>
      <c r="D96" s="465" t="str">
        <f>VLOOKUP( $B96, T_Aop[], 6, 1)</f>
        <v xml:space="preserve">      4. Prihodi od usklađivanja vrijednosti bioloških sredstava za koje se obračunava amortizacija</v>
      </c>
      <c r="E96" s="465"/>
      <c r="F96" s="465"/>
      <c r="G96" s="465"/>
      <c r="H96" s="465"/>
      <c r="I96" s="263">
        <f>VLOOKUP( $B96, T_Aop[], 4, 1)</f>
        <v>274</v>
      </c>
      <c r="J96" s="215"/>
      <c r="K96" s="216"/>
      <c r="M96" s="60"/>
      <c r="O96" s="289"/>
    </row>
    <row r="97" spans="2:15" ht="25.5" x14ac:dyDescent="0.2">
      <c r="B97" s="17">
        <v>213</v>
      </c>
      <c r="C97" s="287">
        <f>VLOOKUP( $B97, T_Aop[], 5, 1)</f>
        <v>684</v>
      </c>
      <c r="D97" s="458" t="str">
        <f>VLOOKUP( $B97, T_Aop[], 6, 1)</f>
        <v xml:space="preserve">      5. Prihodi od usklađivanja vrijednosti dugoročnih finansijskih plasmana i finansijskih sredstava raspoloživih za prodaju</v>
      </c>
      <c r="E97" s="458"/>
      <c r="F97" s="458"/>
      <c r="G97" s="458"/>
      <c r="H97" s="458"/>
      <c r="I97" s="264">
        <f>VLOOKUP( $B97, T_Aop[], 4, 1)</f>
        <v>275</v>
      </c>
      <c r="J97" s="217"/>
      <c r="K97" s="218"/>
      <c r="M97" s="60"/>
      <c r="O97" s="290" t="s">
        <v>625</v>
      </c>
    </row>
    <row r="98" spans="2:15" x14ac:dyDescent="0.2">
      <c r="B98" s="17">
        <v>214</v>
      </c>
      <c r="C98" s="286">
        <f>VLOOKUP( $B98, T_Aop[], 5, 1)</f>
        <v>685</v>
      </c>
      <c r="D98" s="465" t="str">
        <f>VLOOKUP( $B98, T_Aop[], 6, 1)</f>
        <v xml:space="preserve">      6. Prihodi od usklađivanja vrijednosti zaliha materijala i robe</v>
      </c>
      <c r="E98" s="465"/>
      <c r="F98" s="465"/>
      <c r="G98" s="465"/>
      <c r="H98" s="465"/>
      <c r="I98" s="263">
        <f>VLOOKUP( $B98, T_Aop[], 4, 1)</f>
        <v>276</v>
      </c>
      <c r="J98" s="215"/>
      <c r="K98" s="216"/>
      <c r="M98" s="60"/>
      <c r="O98" s="289"/>
    </row>
    <row r="99" spans="2:15" x14ac:dyDescent="0.2">
      <c r="B99" s="17">
        <v>215</v>
      </c>
      <c r="C99" s="287">
        <f>VLOOKUP( $B99, T_Aop[], 5, 1)</f>
        <v>686</v>
      </c>
      <c r="D99" s="458" t="str">
        <f>VLOOKUP( $B99, T_Aop[], 6, 1)</f>
        <v xml:space="preserve">      7. Prihodi od usklađivanja vrijednosti kratkoročnih finansijskih plasmana</v>
      </c>
      <c r="E99" s="458"/>
      <c r="F99" s="458"/>
      <c r="G99" s="458"/>
      <c r="H99" s="458"/>
      <c r="I99" s="264">
        <f>VLOOKUP( $B99, T_Aop[], 4, 1)</f>
        <v>277</v>
      </c>
      <c r="J99" s="217"/>
      <c r="K99" s="218"/>
      <c r="M99" s="60"/>
      <c r="O99" s="289"/>
    </row>
    <row r="100" spans="2:15" x14ac:dyDescent="0.2">
      <c r="B100" s="17">
        <v>216</v>
      </c>
      <c r="C100" s="286">
        <f>VLOOKUP( $B100, T_Aop[], 5, 1)</f>
        <v>687</v>
      </c>
      <c r="D100" s="465" t="str">
        <f>VLOOKUP( $B100, T_Aop[], 6, 1)</f>
        <v xml:space="preserve">      8. Prihodi od usklađivanja vrijednosti kapitala (negativni Goodwill)</v>
      </c>
      <c r="E100" s="465"/>
      <c r="F100" s="465"/>
      <c r="G100" s="465"/>
      <c r="H100" s="465"/>
      <c r="I100" s="263">
        <f>VLOOKUP( $B100, T_Aop[], 4, 1)</f>
        <v>278</v>
      </c>
      <c r="J100" s="215"/>
      <c r="K100" s="216"/>
      <c r="M100" s="60"/>
      <c r="O100" s="289"/>
    </row>
    <row r="101" spans="2:15" x14ac:dyDescent="0.2">
      <c r="B101" s="17">
        <v>217</v>
      </c>
      <c r="C101" s="287">
        <f>VLOOKUP( $B101, T_Aop[], 5, 1)</f>
        <v>689</v>
      </c>
      <c r="D101" s="458" t="str">
        <f>VLOOKUP( $B101, T_Aop[], 6, 1)</f>
        <v xml:space="preserve">      9. Prihodi od usklađivanja vrijednosti ostale imovine</v>
      </c>
      <c r="E101" s="458"/>
      <c r="F101" s="458"/>
      <c r="G101" s="458"/>
      <c r="H101" s="458"/>
      <c r="I101" s="264">
        <f>VLOOKUP( $B101, T_Aop[], 4, 1)</f>
        <v>279</v>
      </c>
      <c r="J101" s="217"/>
      <c r="K101" s="218"/>
      <c r="M101" s="60"/>
      <c r="O101" s="289"/>
    </row>
    <row r="102" spans="2:15" x14ac:dyDescent="0.2">
      <c r="B102" s="17">
        <v>218</v>
      </c>
      <c r="C102" s="283">
        <f>VLOOKUP( $B102, T_Aop[], 5, 1)</f>
        <v>58</v>
      </c>
      <c r="D102" s="464" t="str">
        <f>VLOOKUP( $B102, T_Aop[], 6, 1)</f>
        <v xml:space="preserve">    II - RASHODI OD USKLAĐIVANJA VRIJEDNOSTI IMOVINE (281 do 289)</v>
      </c>
      <c r="E102" s="464"/>
      <c r="F102" s="464"/>
      <c r="G102" s="464"/>
      <c r="H102" s="464"/>
      <c r="I102" s="265">
        <f>VLOOKUP( $B102, T_Aop[], 4, 1)</f>
        <v>280</v>
      </c>
      <c r="J102" s="84">
        <f>SUBTOTAL( 9, J103:J111)</f>
        <v>0</v>
      </c>
      <c r="K102" s="85">
        <f>SUBTOTAL( 9, K103:K111)</f>
        <v>0</v>
      </c>
      <c r="M102" s="60"/>
      <c r="O102" s="289"/>
    </row>
    <row r="103" spans="2:15" x14ac:dyDescent="0.2">
      <c r="B103" s="17">
        <v>219</v>
      </c>
      <c r="C103" s="287">
        <f>VLOOKUP( $B103, T_Aop[], 5, 1)</f>
        <v>580</v>
      </c>
      <c r="D103" s="458" t="str">
        <f>VLOOKUP( $B103, T_Aop[], 6, 1)</f>
        <v xml:space="preserve">      1. Obezvrjeđenje nematerijalnih sredstava</v>
      </c>
      <c r="E103" s="458"/>
      <c r="F103" s="458"/>
      <c r="G103" s="458"/>
      <c r="H103" s="458"/>
      <c r="I103" s="264">
        <f>VLOOKUP( $B103, T_Aop[], 4, 1)</f>
        <v>281</v>
      </c>
      <c r="J103" s="217"/>
      <c r="K103" s="218"/>
      <c r="M103" s="60"/>
      <c r="O103" s="289"/>
    </row>
    <row r="104" spans="2:15" x14ac:dyDescent="0.2">
      <c r="B104" s="17">
        <v>220</v>
      </c>
      <c r="C104" s="286">
        <f>VLOOKUP( $B104, T_Aop[], 5, 1)</f>
        <v>581</v>
      </c>
      <c r="D104" s="465" t="str">
        <f>VLOOKUP( $B104, T_Aop[], 6, 1)</f>
        <v xml:space="preserve">      2. Obezvrjeđenje nekretnina, postrojenja i opreme</v>
      </c>
      <c r="E104" s="465"/>
      <c r="F104" s="465"/>
      <c r="G104" s="465"/>
      <c r="H104" s="465"/>
      <c r="I104" s="263">
        <f>VLOOKUP( $B104, T_Aop[], 4, 1)</f>
        <v>282</v>
      </c>
      <c r="J104" s="215"/>
      <c r="K104" s="216"/>
      <c r="M104" s="60"/>
      <c r="O104" s="289"/>
    </row>
    <row r="105" spans="2:15" x14ac:dyDescent="0.2">
      <c r="B105" s="17">
        <v>221</v>
      </c>
      <c r="C105" s="287">
        <f>VLOOKUP( $B105, T_Aop[], 5, 1)</f>
        <v>582</v>
      </c>
      <c r="D105" s="458" t="str">
        <f>VLOOKUP( $B105, T_Aop[], 6, 1)</f>
        <v xml:space="preserve">      3. Obezvrjeđenje investicionih nekretnina za koje se obračunava amortizacija</v>
      </c>
      <c r="E105" s="458"/>
      <c r="F105" s="458"/>
      <c r="G105" s="458"/>
      <c r="H105" s="458"/>
      <c r="I105" s="264">
        <f>VLOOKUP( $B105, T_Aop[], 4, 1)</f>
        <v>283</v>
      </c>
      <c r="J105" s="217"/>
      <c r="K105" s="218"/>
      <c r="M105" s="60"/>
      <c r="O105" s="289"/>
    </row>
    <row r="106" spans="2:15" x14ac:dyDescent="0.2">
      <c r="B106" s="17">
        <v>222</v>
      </c>
      <c r="C106" s="286">
        <f>VLOOKUP( $B106, T_Aop[], 5, 1)</f>
        <v>583</v>
      </c>
      <c r="D106" s="465" t="str">
        <f>VLOOKUP( $B106, T_Aop[], 6, 1)</f>
        <v xml:space="preserve">      4. Obezvrjeđenje bioloških sredstava za koja se obračunava amortizacija</v>
      </c>
      <c r="E106" s="465"/>
      <c r="F106" s="465"/>
      <c r="G106" s="465"/>
      <c r="H106" s="465"/>
      <c r="I106" s="263">
        <f>VLOOKUP( $B106, T_Aop[], 4, 1)</f>
        <v>284</v>
      </c>
      <c r="J106" s="215"/>
      <c r="K106" s="216"/>
      <c r="M106" s="60"/>
      <c r="O106" s="289"/>
    </row>
    <row r="107" spans="2:15" x14ac:dyDescent="0.2">
      <c r="B107" s="17">
        <v>223</v>
      </c>
      <c r="C107" s="287">
        <f>VLOOKUP( $B107, T_Aop[], 5, 1)</f>
        <v>584</v>
      </c>
      <c r="D107" s="458" t="str">
        <f>VLOOKUP( $B107, T_Aop[], 6, 1)</f>
        <v xml:space="preserve">      5. Obezvrjeđenje dugoročnih finansijskih plasmana i finansijskih sredstava raspoloživih za prodaju</v>
      </c>
      <c r="E107" s="458"/>
      <c r="F107" s="458"/>
      <c r="G107" s="458"/>
      <c r="H107" s="458"/>
      <c r="I107" s="264">
        <f>VLOOKUP( $B107, T_Aop[], 4, 1)</f>
        <v>285</v>
      </c>
      <c r="J107" s="217"/>
      <c r="K107" s="218"/>
      <c r="M107" s="60"/>
      <c r="O107" s="289"/>
    </row>
    <row r="108" spans="2:15" x14ac:dyDescent="0.2">
      <c r="B108" s="17">
        <v>224</v>
      </c>
      <c r="C108" s="286">
        <f>VLOOKUP( $B108, T_Aop[], 5, 1)</f>
        <v>585</v>
      </c>
      <c r="D108" s="465" t="str">
        <f>VLOOKUP( $B108, T_Aop[], 6, 1)</f>
        <v xml:space="preserve">      6. Obezvrjeđenje zaliha materijala i robe</v>
      </c>
      <c r="E108" s="465"/>
      <c r="F108" s="465"/>
      <c r="G108" s="465"/>
      <c r="H108" s="465"/>
      <c r="I108" s="263">
        <f>VLOOKUP( $B108, T_Aop[], 4, 1)</f>
        <v>286</v>
      </c>
      <c r="J108" s="215"/>
      <c r="K108" s="216"/>
      <c r="M108" s="60"/>
      <c r="O108" s="289"/>
    </row>
    <row r="109" spans="2:15" x14ac:dyDescent="0.2">
      <c r="B109" s="17">
        <v>225</v>
      </c>
      <c r="C109" s="287">
        <f>VLOOKUP( $B109, T_Aop[], 5, 1)</f>
        <v>586</v>
      </c>
      <c r="D109" s="458" t="str">
        <f>VLOOKUP( $B109, T_Aop[], 6, 1)</f>
        <v xml:space="preserve">      7. Obezvrjeđenje kratkoročnih finansijskih plasmana</v>
      </c>
      <c r="E109" s="458"/>
      <c r="F109" s="458"/>
      <c r="G109" s="458"/>
      <c r="H109" s="458"/>
      <c r="I109" s="264">
        <f>VLOOKUP( $B109, T_Aop[], 4, 1)</f>
        <v>287</v>
      </c>
      <c r="J109" s="217"/>
      <c r="K109" s="218"/>
      <c r="M109" s="60"/>
      <c r="O109" s="289"/>
    </row>
    <row r="110" spans="2:15" x14ac:dyDescent="0.2">
      <c r="B110" s="17">
        <v>226</v>
      </c>
      <c r="C110" s="286">
        <f>VLOOKUP( $B110, T_Aop[], 5, 1)</f>
        <v>588</v>
      </c>
      <c r="D110" s="465" t="str">
        <f>VLOOKUP( $B110, T_Aop[], 6, 1)</f>
        <v xml:space="preserve">      8. Obezvrjeđenje potraživanja primjenom indirektne metode utvrđivanja otpisa potraživanja</v>
      </c>
      <c r="E110" s="465"/>
      <c r="F110" s="465"/>
      <c r="G110" s="465"/>
      <c r="H110" s="465"/>
      <c r="I110" s="263">
        <f>VLOOKUP( $B110, T_Aop[], 4, 1)</f>
        <v>288</v>
      </c>
      <c r="J110" s="215"/>
      <c r="K110" s="216"/>
      <c r="M110" s="60"/>
      <c r="O110" s="289"/>
    </row>
    <row r="111" spans="2:15" x14ac:dyDescent="0.2">
      <c r="B111" s="17">
        <v>227</v>
      </c>
      <c r="C111" s="287">
        <f>VLOOKUP( $B111, T_Aop[], 5, 1)</f>
        <v>589</v>
      </c>
      <c r="D111" s="458" t="str">
        <f>VLOOKUP( $B111, T_Aop[], 6, 1)</f>
        <v xml:space="preserve">      9. Obezvrjeđenje ostale imovine</v>
      </c>
      <c r="E111" s="458"/>
      <c r="F111" s="458"/>
      <c r="G111" s="458"/>
      <c r="H111" s="458"/>
      <c r="I111" s="264">
        <f>VLOOKUP( $B111, T_Aop[], 4, 1)</f>
        <v>289</v>
      </c>
      <c r="J111" s="217"/>
      <c r="K111" s="218"/>
      <c r="M111" s="60"/>
      <c r="O111" s="289"/>
    </row>
    <row r="112" spans="2:15" x14ac:dyDescent="0.2">
      <c r="B112" s="17">
        <v>228</v>
      </c>
      <c r="C112" s="283">
        <f>VLOOKUP( $B112, T_Aop[], 5, 1)</f>
        <v>0</v>
      </c>
      <c r="D112" s="464" t="str">
        <f>VLOOKUP( $B112, T_Aop[], 6, 1)</f>
        <v xml:space="preserve">  J. DOBITAK PO OSNOVU USKLAĐIVANJA VRIJEDNOSTI IMOVINE (270 - 280)</v>
      </c>
      <c r="E112" s="464"/>
      <c r="F112" s="464"/>
      <c r="G112" s="464"/>
      <c r="H112" s="464"/>
      <c r="I112" s="265">
        <f>VLOOKUP( $B112, T_Aop[], 4, 1)</f>
        <v>290</v>
      </c>
      <c r="J112" s="84">
        <f>IF( SUBTOTAL( 9, J92:J101) - SUBTOTAL( 9, J102:J111) &lt;= 0, 0, ABS( SUBTOTAL( 9, J92:J101) - SUBTOTAL( 9, J102:J111)) )</f>
        <v>0</v>
      </c>
      <c r="K112" s="85">
        <f>IF( SUBTOTAL( 9, K92:K101) - SUBTOTAL( 9, K102:K111) &lt;= 0, 0, ABS( SUBTOTAL( 9, K92:K101) - SUBTOTAL( 9, K102:K111)) )</f>
        <v>0</v>
      </c>
      <c r="M112" s="60"/>
      <c r="O112" s="289"/>
    </row>
    <row r="113" spans="2:15" x14ac:dyDescent="0.2">
      <c r="B113" s="17">
        <v>229</v>
      </c>
      <c r="C113" s="284">
        <f>VLOOKUP( $B113, T_Aop[], 5, 1)</f>
        <v>0</v>
      </c>
      <c r="D113" s="469" t="str">
        <f>VLOOKUP( $B113, T_Aop[], 6, 1)</f>
        <v xml:space="preserve">  K. GUBITAK PO OSNOVU USKLAĐIVANJA VRIJEDNOSTI IMOVINE (280 - 270)</v>
      </c>
      <c r="E113" s="469"/>
      <c r="F113" s="469"/>
      <c r="G113" s="469"/>
      <c r="H113" s="469"/>
      <c r="I113" s="266">
        <f>VLOOKUP( $B113, T_Aop[], 4, 1)</f>
        <v>291</v>
      </c>
      <c r="J113" s="88">
        <f>IF( SUBTOTAL( 9, J92:J101) - SUBTOTAL( 9, J102:J111) &gt;= 0, 0, ABS( SUBTOTAL( 9, J92:J101) - SUBTOTAL( 9, J102:J111)) )</f>
        <v>0</v>
      </c>
      <c r="K113" s="89">
        <f>IF( SUBTOTAL( 9, K92:K101) - SUBTOTAL( 9, K102:K111) &gt;= 0, 0, ABS( SUBTOTAL( 9, K92:K101) - SUBTOTAL( 9, K102:K111)) )</f>
        <v>0</v>
      </c>
      <c r="M113" s="60"/>
      <c r="O113" s="289"/>
    </row>
    <row r="114" spans="2:15" ht="25.5" x14ac:dyDescent="0.2">
      <c r="B114" s="17">
        <v>230</v>
      </c>
      <c r="C114" s="283" t="str">
        <f>VLOOKUP( $B114, T_Aop[], 5, 1)</f>
        <v>690, 691</v>
      </c>
      <c r="D114" s="464" t="str">
        <f>VLOOKUP( $B114, T_Aop[], 6, 1)</f>
        <v xml:space="preserve">  L. PRIHODI PO OSNOVU PROMJENE RAČUNOVODSTVENIH POLITIKA I ISPRAVKE GREŠAKA IZ RANIJIH GODINA</v>
      </c>
      <c r="E114" s="464"/>
      <c r="F114" s="464"/>
      <c r="G114" s="464"/>
      <c r="H114" s="464"/>
      <c r="I114" s="265">
        <f>VLOOKUP( $B114, T_Aop[], 4, 1)</f>
        <v>292</v>
      </c>
      <c r="J114" s="122">
        <v>8361</v>
      </c>
      <c r="K114" s="123">
        <v>34383</v>
      </c>
      <c r="M114" s="60"/>
      <c r="O114" s="290" t="s">
        <v>625</v>
      </c>
    </row>
    <row r="115" spans="2:15" ht="25.5" x14ac:dyDescent="0.2">
      <c r="B115" s="17">
        <v>231</v>
      </c>
      <c r="C115" s="284" t="str">
        <f>VLOOKUP( $B115, T_Aop[], 5, 1)</f>
        <v>590, 591</v>
      </c>
      <c r="D115" s="469" t="str">
        <f>VLOOKUP( $B115, T_Aop[], 6, 1)</f>
        <v xml:space="preserve">  LJ. RASHODI PO OSNOVU PROMJENE RAČUNOVODSTVENIH POLITIKA I ISPRAVKE GREŠAKA IZ RANIJIH GODINA</v>
      </c>
      <c r="E115" s="469"/>
      <c r="F115" s="469"/>
      <c r="G115" s="469"/>
      <c r="H115" s="469"/>
      <c r="I115" s="266">
        <f>VLOOKUP( $B115, T_Aop[], 4, 1)</f>
        <v>293</v>
      </c>
      <c r="J115" s="340">
        <v>1414</v>
      </c>
      <c r="K115" s="341">
        <v>15893</v>
      </c>
      <c r="M115" s="60"/>
      <c r="O115" s="290" t="s">
        <v>625</v>
      </c>
    </row>
    <row r="116" spans="2:15" x14ac:dyDescent="0.2">
      <c r="B116" s="17">
        <v>232</v>
      </c>
      <c r="C116" s="283">
        <f>VLOOKUP( $B116, T_Aop[], 5, 1)</f>
        <v>0</v>
      </c>
      <c r="D116" s="464" t="str">
        <f>VLOOKUP( $B116, T_Aop[], 6, 1)</f>
        <v>M. DOBITAK I GUBITAK PRIJE OPOREZIVANJA</v>
      </c>
      <c r="E116" s="464"/>
      <c r="F116" s="464"/>
      <c r="G116" s="464"/>
      <c r="H116" s="464"/>
      <c r="I116" s="265">
        <f>VLOOKUP( $B116, T_Aop[], 4, 1)</f>
        <v>0</v>
      </c>
      <c r="J116" s="84"/>
      <c r="K116" s="85"/>
      <c r="M116" s="60"/>
      <c r="O116" s="289"/>
    </row>
    <row r="117" spans="2:15" x14ac:dyDescent="0.2">
      <c r="B117" s="17">
        <v>233</v>
      </c>
      <c r="C117" s="288">
        <f>VLOOKUP( $B117, T_Aop[], 5, 1)</f>
        <v>0</v>
      </c>
      <c r="D117" s="458" t="str">
        <f>VLOOKUP( $B117, T_Aop[], 6, 1)</f>
        <v xml:space="preserve">    1. Dobitak prije oporezivanja (244 + 268 + 290 + 292 - 293 - 245 - 269 - 291)</v>
      </c>
      <c r="E117" s="458"/>
      <c r="F117" s="458"/>
      <c r="G117" s="458"/>
      <c r="H117" s="458"/>
      <c r="I117" s="264">
        <f>VLOOKUP( $B117, T_Aop[], 4, 1)</f>
        <v>294</v>
      </c>
      <c r="J117" s="305">
        <f>IF( SUBTOTAL( 9, J20:J30, J32, J34, J51:J57, J67:J77, J92:J101, J114) - SUBTOTAL( 9, J31, J33, J35:J47, J58:J63, J78:J88, J102:J111,J115) &lt;= 0, 0, ABS( SUBTOTAL( 9, J20:J30, J32, J34, J51:J57, J67:J77, J92:J101, J114) - SUBTOTAL( 9, J31, J33, J35:J47, J58:J63, J78:J88, J102:J111,J115)))</f>
        <v>0</v>
      </c>
      <c r="K117" s="306">
        <f>IF( SUBTOTAL( 9, K20:K30, K32, K34, K51:K57, K67:K77, K92:K101, K114) - SUBTOTAL( 9, K31, K33, K35:K47, K58:K63, K78:K88, K102:K111,K115) &lt;= 0, 0, ABS( SUBTOTAL( 9, K20:K30, K32, K34, K51:K57, K67:K77, K92:K101, K114) - SUBTOTAL( 9, K31, K33, K35:K47, K58:K63, K78:K88, K102:K111,K115)))</f>
        <v>0</v>
      </c>
      <c r="M117" s="60"/>
      <c r="O117" s="289"/>
    </row>
    <row r="118" spans="2:15" x14ac:dyDescent="0.2">
      <c r="B118" s="17">
        <v>234</v>
      </c>
      <c r="C118" s="286">
        <f>VLOOKUP( $B118, T_Aop[], 5, 1)</f>
        <v>0</v>
      </c>
      <c r="D118" s="465" t="str">
        <f>VLOOKUP( $B118, T_Aop[], 6, 1)</f>
        <v xml:space="preserve">    2. Gubitak prije oporezivanja (245 + 269 + 291 + 293 - 292 - 244 - 268 - 290)</v>
      </c>
      <c r="E118" s="465"/>
      <c r="F118" s="465"/>
      <c r="G118" s="465"/>
      <c r="H118" s="465"/>
      <c r="I118" s="263">
        <f>VLOOKUP( $B118, T_Aop[], 4, 1)</f>
        <v>295</v>
      </c>
      <c r="J118" s="204">
        <f>IF( SUBTOTAL( 9, J20:J30, J32, J34, J51:J57, J67:J77, J92:J101, J114) - SUBTOTAL( 9, J31, J33, J35:J47, J58:J63, J78:J88, J102:J111,J115) &gt;= 0, 0, ABS( SUBTOTAL( 9, J20:J30, J32, J34, J51:J57, J67:J77, J92:J101, J114) - SUBTOTAL( 9, J31, J33, J35:J47, J58:J63, J78:J88, J102:J111,J115)))</f>
        <v>4457963</v>
      </c>
      <c r="K118" s="206">
        <f>IF( SUBTOTAL( 9, K20:K30, K32, K34, K51:K57, K67:K77, K92:K101, K114) - SUBTOTAL( 9, K31, K33, K35:K47, K58:K63, K78:K88, K102:K111,K115) &gt;= 0, 0, ABS( SUBTOTAL( 9, K20:K30, K32, K34, K51:K57, K67:K77, K92:K101, K114) - SUBTOTAL( 9, K31, K33, K35:K47, K58:K63, K78:K88, K102:K111,K115)))</f>
        <v>5283181</v>
      </c>
      <c r="M118" s="60"/>
      <c r="O118" s="289"/>
    </row>
    <row r="119" spans="2:15" x14ac:dyDescent="0.2">
      <c r="B119" s="17">
        <v>235</v>
      </c>
      <c r="C119" s="285">
        <f>VLOOKUP( $B119, T_Aop[], 5, 1)</f>
        <v>0</v>
      </c>
      <c r="D119" s="469" t="str">
        <f>VLOOKUP( $B119, T_Aop[], 6, 1)</f>
        <v>N. TEKUĆI I ODLOŽENI POREZ NA DOBIT</v>
      </c>
      <c r="E119" s="469"/>
      <c r="F119" s="469"/>
      <c r="G119" s="469"/>
      <c r="H119" s="469"/>
      <c r="I119" s="266">
        <f>VLOOKUP( $B119, T_Aop[], 4, 1)</f>
        <v>0</v>
      </c>
      <c r="J119" s="221"/>
      <c r="K119" s="222"/>
      <c r="M119" s="60"/>
      <c r="O119" s="289"/>
    </row>
    <row r="120" spans="2:15" x14ac:dyDescent="0.2">
      <c r="B120" s="17">
        <v>236</v>
      </c>
      <c r="C120" s="286">
        <f>VLOOKUP( $B120, T_Aop[], 5, 1)</f>
        <v>721</v>
      </c>
      <c r="D120" s="465" t="str">
        <f>VLOOKUP( $B120, T_Aop[], 6, 1)</f>
        <v xml:space="preserve">    1. Poreski rashodi perioda</v>
      </c>
      <c r="E120" s="465"/>
      <c r="F120" s="465"/>
      <c r="G120" s="465"/>
      <c r="H120" s="465"/>
      <c r="I120" s="263">
        <f>VLOOKUP( $B120, T_Aop[], 4, 1)</f>
        <v>296</v>
      </c>
      <c r="J120" s="215"/>
      <c r="K120" s="216"/>
      <c r="M120" s="60"/>
      <c r="O120" s="289"/>
    </row>
    <row r="121" spans="2:15" x14ac:dyDescent="0.2">
      <c r="B121" s="17">
        <v>237</v>
      </c>
      <c r="C121" s="288">
        <f>VLOOKUP( $B121, T_Aop[], 5, 1)</f>
        <v>722</v>
      </c>
      <c r="D121" s="458" t="str">
        <f>VLOOKUP( $B121, T_Aop[], 6, 1)</f>
        <v xml:space="preserve">    2. Odloženi poreski rashodi perioda</v>
      </c>
      <c r="E121" s="458"/>
      <c r="F121" s="458"/>
      <c r="G121" s="458"/>
      <c r="H121" s="458"/>
      <c r="I121" s="264">
        <f>VLOOKUP( $B121, T_Aop[], 4, 1)</f>
        <v>297</v>
      </c>
      <c r="J121" s="219"/>
      <c r="K121" s="220"/>
      <c r="M121" s="60"/>
      <c r="O121" s="289"/>
    </row>
    <row r="122" spans="2:15" x14ac:dyDescent="0.2">
      <c r="B122" s="17">
        <v>238</v>
      </c>
      <c r="C122" s="286">
        <f>VLOOKUP( $B122, T_Aop[], 5, 1)</f>
        <v>723</v>
      </c>
      <c r="D122" s="465" t="str">
        <f>VLOOKUP( $B122, T_Aop[], 6, 1)</f>
        <v xml:space="preserve">    3. Odloženi poreski prihodi perioda</v>
      </c>
      <c r="E122" s="465"/>
      <c r="F122" s="465"/>
      <c r="G122" s="465"/>
      <c r="H122" s="465"/>
      <c r="I122" s="263">
        <f>VLOOKUP( $B122, T_Aop[], 4, 1)</f>
        <v>298</v>
      </c>
      <c r="J122" s="215"/>
      <c r="K122" s="216"/>
      <c r="M122" s="60"/>
      <c r="O122" s="289"/>
    </row>
    <row r="123" spans="2:15" x14ac:dyDescent="0.2">
      <c r="B123" s="17">
        <v>239</v>
      </c>
      <c r="C123" s="285">
        <f>VLOOKUP( $B123, T_Aop[], 5, 1)</f>
        <v>0</v>
      </c>
      <c r="D123" s="469" t="str">
        <f>VLOOKUP( $B123, T_Aop[], 6, 1)</f>
        <v>NJ. NETO DOBITAK I NETO GUBITAK PERIODA</v>
      </c>
      <c r="E123" s="469"/>
      <c r="F123" s="469"/>
      <c r="G123" s="469"/>
      <c r="H123" s="469"/>
      <c r="I123" s="266">
        <f>VLOOKUP( $B123, T_Aop[], 4, 1)</f>
        <v>0</v>
      </c>
      <c r="J123" s="91"/>
      <c r="K123" s="92"/>
      <c r="M123" s="60"/>
      <c r="O123" s="289"/>
    </row>
    <row r="124" spans="2:15" x14ac:dyDescent="0.2">
      <c r="B124" s="17">
        <v>240</v>
      </c>
      <c r="C124" s="286">
        <f>VLOOKUP( $B124, T_Aop[], 5, 1)</f>
        <v>0</v>
      </c>
      <c r="D124" s="465" t="str">
        <f>VLOOKUP( $B124, T_Aop[], 6, 1)</f>
        <v xml:space="preserve">    1. Neto dobitak tekuće godine (294 - 295 - 296 - 297 + 298)</v>
      </c>
      <c r="E124" s="465"/>
      <c r="F124" s="465"/>
      <c r="G124" s="465"/>
      <c r="H124" s="465"/>
      <c r="I124" s="263">
        <f>VLOOKUP( $B124, T_Aop[], 4, 1)</f>
        <v>299</v>
      </c>
      <c r="J124" s="204">
        <f>IF( SUBTOTAL( 9, J20:J30, J32, J34, J51:J57, J67:J77, J92:J101, J114, J122) - SUBTOTAL( 9, J31, J33, J35:J47, J58:J63, J78:J88, J102:J111, J115, J120, J121) &lt;= 0, 0, ABS( SUBTOTAL( 9, J20:J30, J32, J34, J51:J57, J67:J77, J92:J101, J114, J122) - SUBTOTAL( 9, J31, J33, J35:J47, J58:J63, J78:J88, J102:J111, J115, J120, J121)))</f>
        <v>0</v>
      </c>
      <c r="K124" s="206">
        <f>IF( SUBTOTAL( 9, K20:K30, K32, K34, K51:K57, K67:K77, K92:K101, K114, K122) - SUBTOTAL( 9, K31, K33, K35:K47, K58:K63, K78:K88, K102:K111, K115, K120, K121) &lt;= 0, 0, ABS( SUBTOTAL( 9, K20:K30, K32, K34, K51:K57, K67:K77, K92:K101, K114, K122) - SUBTOTAL( 9, K31, K33, K35:K47, K58:K63, K78:K88, K102:K111, K115, K120, K121)))</f>
        <v>0</v>
      </c>
      <c r="M124" s="60"/>
      <c r="O124" s="289"/>
    </row>
    <row r="125" spans="2:15" x14ac:dyDescent="0.2">
      <c r="B125" s="17">
        <v>241</v>
      </c>
      <c r="C125" s="288">
        <f>VLOOKUP( $B125, T_Aop[], 5, 1)</f>
        <v>0</v>
      </c>
      <c r="D125" s="458" t="str">
        <f>VLOOKUP( $B125, T_Aop[], 6, 1)</f>
        <v xml:space="preserve">    2. Neto gubitak tekuće godine (295 - 294 + 296 + 297 - 298)</v>
      </c>
      <c r="E125" s="458"/>
      <c r="F125" s="458"/>
      <c r="G125" s="458"/>
      <c r="H125" s="458"/>
      <c r="I125" s="264">
        <f>VLOOKUP( $B125, T_Aop[], 4, 1)</f>
        <v>300</v>
      </c>
      <c r="J125" s="305">
        <f>IF( SUBTOTAL( 9, J20:J30, J32, J34, J51:J57, J67:J77, J92:J101, J114, J122) - SUBTOTAL( 9, J31, J33, J35:J47, J58:J63, J78:J88, J102:J111, J115, J120, J121) &gt;= 0, 0, ABS( SUBTOTAL( 9, J20:J30, J32, J34, J51:J57, J67:J77, J92:J101, J114, J122) - SUBTOTAL( 9, J31, J33, J35:J47, J58:J63, J78:J88, J102:J111, J115, J120, J121)))</f>
        <v>4457963</v>
      </c>
      <c r="K125" s="306">
        <f>IF( SUBTOTAL( 9, K20:K30, K32, K34, K51:K57, K67:K77, K92:K101, K114, K122) - SUBTOTAL( 9, K31, K33, K35:K47, K58:K63, K78:K88, K102:K111, K115, K120, K121) &gt;= 0, 0, ABS( SUBTOTAL( 9, K20:K30, K32, K34, K51:K57, K67:K77, K92:K101, K114, K122) - SUBTOTAL( 9, K31, K33, K35:K47, K58:K63, K78:K88, K102:K111, K115, K120, K121)))</f>
        <v>5283181</v>
      </c>
      <c r="M125" s="60"/>
      <c r="O125" s="289"/>
    </row>
    <row r="126" spans="2:15" x14ac:dyDescent="0.2">
      <c r="B126" s="17">
        <v>242</v>
      </c>
      <c r="C126" s="283">
        <f>VLOOKUP( $B126, T_Aop[], 5, 1)</f>
        <v>0</v>
      </c>
      <c r="D126" s="464" t="str">
        <f>VLOOKUP( $B126, T_Aop[], 6, 1)</f>
        <v>UKUPNI PRIHODI (201 + 231 + 246 + 270 + 292)</v>
      </c>
      <c r="E126" s="464"/>
      <c r="F126" s="464"/>
      <c r="G126" s="464"/>
      <c r="H126" s="464"/>
      <c r="I126" s="265">
        <f>VLOOKUP( $B126, T_Aop[], 4, 1)</f>
        <v>301</v>
      </c>
      <c r="J126" s="84">
        <f>SUBTOTAL( 9, J20:J30, J32, J34, J51:J57, J67:J77, J92:J101, J114) - SUBTOTAL( 9, J31, J33)</f>
        <v>12964463</v>
      </c>
      <c r="K126" s="85">
        <f>SUBTOTAL( 9, K20:K30, K32, K34, K51:K57, K67:K77, K92:K101, K114) - SUBTOTAL( 9, K31, K33)</f>
        <v>15483180</v>
      </c>
      <c r="M126" s="60"/>
      <c r="O126" s="289"/>
    </row>
    <row r="127" spans="2:15" x14ac:dyDescent="0.2">
      <c r="B127" s="17">
        <v>243</v>
      </c>
      <c r="C127" s="285">
        <f>VLOOKUP( $B127, T_Aop[], 5, 1)</f>
        <v>0</v>
      </c>
      <c r="D127" s="466" t="str">
        <f>VLOOKUP( $B127, T_Aop[], 6, 1)</f>
        <v>UKUPNI RASHODI (216 + 238 + 257 + 280 + 293)</v>
      </c>
      <c r="E127" s="467"/>
      <c r="F127" s="467"/>
      <c r="G127" s="467"/>
      <c r="H127" s="468"/>
      <c r="I127" s="266">
        <f>VLOOKUP( $B127, T_Aop[], 4, 1)</f>
        <v>302</v>
      </c>
      <c r="J127" s="91">
        <f>SUBTOTAL( 9, J35:J47, J58:J63, J78:J88, J102:J111, J115)</f>
        <v>17422426</v>
      </c>
      <c r="K127" s="92">
        <f>SUBTOTAL( 9, K35:K47, K58:K63, K78:K88, K102:K111, K115)</f>
        <v>20766361</v>
      </c>
      <c r="M127" s="60"/>
      <c r="O127" s="289"/>
    </row>
    <row r="128" spans="2:15" x14ac:dyDescent="0.2">
      <c r="B128" s="17">
        <v>244</v>
      </c>
      <c r="C128" s="283">
        <f>VLOOKUP( $B128, T_Aop[], 5, 1)</f>
        <v>724</v>
      </c>
      <c r="D128" s="464" t="str">
        <f>VLOOKUP( $B128, T_Aop[], 6, 1)</f>
        <v xml:space="preserve">  O. MEĐUDIVIDENDE I DRUGI VIDOVI RASPODJELE DOBITKA U TOKU PERIODA</v>
      </c>
      <c r="E128" s="464"/>
      <c r="F128" s="464"/>
      <c r="G128" s="464"/>
      <c r="H128" s="464"/>
      <c r="I128" s="265">
        <f>VLOOKUP( $B128, T_Aop[], 4, 1)</f>
        <v>303</v>
      </c>
      <c r="J128" s="342"/>
      <c r="K128" s="343"/>
      <c r="M128" s="60"/>
      <c r="O128" s="289"/>
    </row>
    <row r="129" spans="2:15" x14ac:dyDescent="0.2">
      <c r="B129" s="17">
        <v>245</v>
      </c>
      <c r="C129" s="288">
        <f>VLOOKUP( $B129, T_Aop[], 5, 1)</f>
        <v>0</v>
      </c>
      <c r="D129" s="458" t="str">
        <f>VLOOKUP( $B129, T_Aop[], 6, 1)</f>
        <v>Dio neto dobitka/gubitka koji pripada većinskim vlasnicima</v>
      </c>
      <c r="E129" s="458"/>
      <c r="F129" s="458"/>
      <c r="G129" s="458"/>
      <c r="H129" s="458"/>
      <c r="I129" s="264">
        <f>VLOOKUP( $B129, T_Aop[], 4, 1)</f>
        <v>304</v>
      </c>
      <c r="J129" s="344"/>
      <c r="K129" s="345"/>
      <c r="M129" s="60"/>
      <c r="O129" s="289"/>
    </row>
    <row r="130" spans="2:15" x14ac:dyDescent="0.2">
      <c r="B130" s="17">
        <v>246</v>
      </c>
      <c r="C130" s="286">
        <f>VLOOKUP( $B130, T_Aop[], 5, 1)</f>
        <v>0</v>
      </c>
      <c r="D130" s="465" t="str">
        <f>VLOOKUP( $B130, T_Aop[], 6, 1)</f>
        <v>Dio neto dobitka/gubitka koji pripada manjinskim vlasnicima</v>
      </c>
      <c r="E130" s="465"/>
      <c r="F130" s="465"/>
      <c r="G130" s="465"/>
      <c r="H130" s="465"/>
      <c r="I130" s="263">
        <f>VLOOKUP( $B130, T_Aop[], 4, 1)</f>
        <v>305</v>
      </c>
      <c r="J130" s="346"/>
      <c r="K130" s="347"/>
      <c r="M130" s="60"/>
      <c r="O130" s="289"/>
    </row>
    <row r="131" spans="2:15" ht="12.75" customHeight="1" x14ac:dyDescent="0.2">
      <c r="B131" s="17">
        <v>247</v>
      </c>
      <c r="C131" s="288">
        <f>VLOOKUP( $B131, T_Aop[], 5, 1)</f>
        <v>0</v>
      </c>
      <c r="D131" s="458" t="str">
        <f>VLOOKUP( $B131, T_Aop[], 6, 1)</f>
        <v>Obična zarada po akciji</v>
      </c>
      <c r="E131" s="458"/>
      <c r="F131" s="458"/>
      <c r="G131" s="458"/>
      <c r="H131" s="458"/>
      <c r="I131" s="264">
        <f>VLOOKUP( $B131, T_Aop[], 4, 1)</f>
        <v>306</v>
      </c>
      <c r="J131" s="344"/>
      <c r="K131" s="345"/>
      <c r="M131" s="60"/>
      <c r="O131" s="289"/>
    </row>
    <row r="132" spans="2:15" ht="12.75" customHeight="1" x14ac:dyDescent="0.2">
      <c r="B132" s="17">
        <v>248</v>
      </c>
      <c r="C132" s="286">
        <f>VLOOKUP( $B132, T_Aop[], 5, 1)</f>
        <v>0</v>
      </c>
      <c r="D132" s="465" t="str">
        <f>VLOOKUP( $B132, T_Aop[], 6, 1)</f>
        <v>Razrijeđena zarada po akciji</v>
      </c>
      <c r="E132" s="465"/>
      <c r="F132" s="465"/>
      <c r="G132" s="465"/>
      <c r="H132" s="465"/>
      <c r="I132" s="263">
        <f>VLOOKUP( $B132, T_Aop[], 4, 1)</f>
        <v>307</v>
      </c>
      <c r="J132" s="346"/>
      <c r="K132" s="347"/>
      <c r="M132" s="60"/>
      <c r="O132" s="289"/>
    </row>
    <row r="133" spans="2:15" ht="12.75" customHeight="1" x14ac:dyDescent="0.2">
      <c r="B133" s="17">
        <v>249</v>
      </c>
      <c r="C133" s="288">
        <f>VLOOKUP( $B133, T_Aop[], 5, 1)</f>
        <v>0</v>
      </c>
      <c r="D133" s="458" t="str">
        <f>VLOOKUP( $B133, T_Aop[], 6, 1)</f>
        <v>Prosječan broj zaposlenih po osnovu časova rada</v>
      </c>
      <c r="E133" s="458"/>
      <c r="F133" s="458"/>
      <c r="G133" s="458"/>
      <c r="H133" s="458"/>
      <c r="I133" s="264">
        <f>VLOOKUP( $B133, T_Aop[], 4, 1)</f>
        <v>308</v>
      </c>
      <c r="J133" s="344">
        <v>2137</v>
      </c>
      <c r="K133" s="345">
        <v>2119</v>
      </c>
      <c r="M133" s="60"/>
      <c r="O133" s="289"/>
    </row>
    <row r="134" spans="2:15" ht="12.75" customHeight="1" x14ac:dyDescent="0.2">
      <c r="B134" s="17">
        <v>250</v>
      </c>
      <c r="C134" s="303">
        <f>VLOOKUP( $B134, T_Aop[], 5, 1)</f>
        <v>0</v>
      </c>
      <c r="D134" s="459" t="str">
        <f>VLOOKUP( $B134, T_Aop[], 6, 1)</f>
        <v>Prosječan broj zaposlenih po osnovu stanja na kraju mjeseca</v>
      </c>
      <c r="E134" s="459"/>
      <c r="F134" s="459"/>
      <c r="G134" s="459"/>
      <c r="H134" s="459"/>
      <c r="I134" s="304">
        <f>VLOOKUP( $B134, T_Aop[], 4, 1)</f>
        <v>309</v>
      </c>
      <c r="J134" s="348">
        <v>2169</v>
      </c>
      <c r="K134" s="349">
        <v>2247</v>
      </c>
      <c r="M134" s="60"/>
      <c r="O134" s="289"/>
    </row>
    <row r="135" spans="2:15" ht="12.75" customHeight="1" x14ac:dyDescent="0.2">
      <c r="B135" s="17"/>
      <c r="C135" s="50"/>
      <c r="D135" s="53"/>
      <c r="E135" s="53"/>
      <c r="F135" s="53"/>
      <c r="G135" s="53"/>
      <c r="H135" s="53"/>
      <c r="I135" s="55"/>
      <c r="J135" s="50"/>
      <c r="K135" s="50"/>
    </row>
    <row r="136" spans="2:15" ht="12.75" customHeight="1" x14ac:dyDescent="0.2">
      <c r="B136" s="17"/>
      <c r="C136" s="272" t="str">
        <f>Podnozje_U</f>
        <v>U:</v>
      </c>
      <c r="D136" s="269" t="str">
        <f>Podatak_U</f>
        <v>Doboju</v>
      </c>
      <c r="E136"/>
      <c r="G136"/>
      <c r="H136" s="154" t="str">
        <f>Podnozje_Lice_sa_licencom</f>
        <v>Lice sa licencom:</v>
      </c>
      <c r="I136" s="270" t="str">
        <f>Podatak_Lice_sa_licencom</f>
        <v>Mira Simić</v>
      </c>
      <c r="J136" s="271"/>
      <c r="K136" s="271"/>
    </row>
    <row r="137" spans="2:15" ht="12.75" customHeight="1" x14ac:dyDescent="0.2">
      <c r="B137" s="17"/>
      <c r="C137" s="30"/>
      <c r="D137" s="174"/>
      <c r="E137"/>
      <c r="F137" s="50" t="str">
        <f>Podnozje_MP</f>
        <v>(M.P.)</v>
      </c>
      <c r="G137"/>
      <c r="H137"/>
      <c r="I137"/>
    </row>
    <row r="138" spans="2:15" ht="12.75" customHeight="1" x14ac:dyDescent="0.2">
      <c r="B138" s="17"/>
      <c r="C138" s="272" t="str">
        <f>Podnozje_Dana</f>
        <v>Datum:</v>
      </c>
      <c r="D138" s="270" t="str">
        <f>Podatak_Dana</f>
        <v>30.06.2021.</v>
      </c>
      <c r="E138"/>
      <c r="F138" s="51"/>
      <c r="G138"/>
      <c r="H138" s="154" t="str">
        <f>Podnozje_Direktor</f>
        <v>Lice ovlašćeno za zastupanje:</v>
      </c>
      <c r="I138" s="270" t="str">
        <f>Podatak_Direktor</f>
        <v>Željko Radić</v>
      </c>
      <c r="J138" s="271"/>
      <c r="K138" s="271"/>
    </row>
    <row r="139" spans="2:15" ht="12.75" hidden="1" customHeight="1" x14ac:dyDescent="0.2">
      <c r="B139" s="17"/>
      <c r="D139" s="9"/>
      <c r="E139" s="53"/>
      <c r="G139" s="52"/>
      <c r="H139"/>
    </row>
    <row r="140" spans="2:15" ht="12.75" customHeight="1" x14ac:dyDescent="0.2">
      <c r="B140" s="17"/>
      <c r="C140" s="62"/>
      <c r="D140" s="53"/>
      <c r="E140" s="53"/>
      <c r="F140" s="53"/>
      <c r="G140" s="53"/>
      <c r="H140" s="53"/>
      <c r="I140" s="9"/>
      <c r="J140" s="50"/>
      <c r="K140" s="50"/>
    </row>
    <row r="141" spans="2:15" hidden="1" x14ac:dyDescent="0.2">
      <c r="H141" s="63"/>
      <c r="I141" s="64"/>
    </row>
  </sheetData>
  <sheetProtection password="832E" sheet="1" objects="1" scenarios="1"/>
  <mergeCells count="136">
    <mergeCell ref="D20:H20"/>
    <mergeCell ref="D21:H21"/>
    <mergeCell ref="C16:C17"/>
    <mergeCell ref="C12:K12"/>
    <mergeCell ref="C13:K13"/>
    <mergeCell ref="C14:K14"/>
    <mergeCell ref="D132:H132"/>
    <mergeCell ref="D5:E5"/>
    <mergeCell ref="D6:E6"/>
    <mergeCell ref="D10:E10"/>
    <mergeCell ref="D11:E11"/>
    <mergeCell ref="C7:E8"/>
    <mergeCell ref="D16:H17"/>
    <mergeCell ref="C9:F9"/>
    <mergeCell ref="D18:H18"/>
    <mergeCell ref="D19:H19"/>
    <mergeCell ref="D28:H28"/>
    <mergeCell ref="D29:H29"/>
    <mergeCell ref="D30:H30"/>
    <mergeCell ref="D31:H31"/>
    <mergeCell ref="D32:H32"/>
    <mergeCell ref="D33:H33"/>
    <mergeCell ref="D22:H22"/>
    <mergeCell ref="D23:H23"/>
    <mergeCell ref="D24:H24"/>
    <mergeCell ref="D25:H25"/>
    <mergeCell ref="D26:H26"/>
    <mergeCell ref="D27:H27"/>
    <mergeCell ref="D40:H40"/>
    <mergeCell ref="D41:H41"/>
    <mergeCell ref="D42:H42"/>
    <mergeCell ref="D43:H43"/>
    <mergeCell ref="D44:H44"/>
    <mergeCell ref="D45:H45"/>
    <mergeCell ref="D34:H34"/>
    <mergeCell ref="D35:H35"/>
    <mergeCell ref="D36:H36"/>
    <mergeCell ref="D37:H37"/>
    <mergeCell ref="D38:H38"/>
    <mergeCell ref="D39:H39"/>
    <mergeCell ref="D52:H52"/>
    <mergeCell ref="D53:H53"/>
    <mergeCell ref="D54:H54"/>
    <mergeCell ref="D55:H55"/>
    <mergeCell ref="D56:H56"/>
    <mergeCell ref="D57:H57"/>
    <mergeCell ref="D46:H46"/>
    <mergeCell ref="D47:H47"/>
    <mergeCell ref="D48:H48"/>
    <mergeCell ref="D49:H49"/>
    <mergeCell ref="D50:H50"/>
    <mergeCell ref="D51:H51"/>
    <mergeCell ref="D64:H64"/>
    <mergeCell ref="D65:H65"/>
    <mergeCell ref="D66:H66"/>
    <mergeCell ref="D67:H67"/>
    <mergeCell ref="D68:H68"/>
    <mergeCell ref="D69:H69"/>
    <mergeCell ref="D58:H58"/>
    <mergeCell ref="D59:H59"/>
    <mergeCell ref="D60:H60"/>
    <mergeCell ref="D61:H61"/>
    <mergeCell ref="D62:H62"/>
    <mergeCell ref="D63:H63"/>
    <mergeCell ref="D76:H76"/>
    <mergeCell ref="D77:H77"/>
    <mergeCell ref="D78:H78"/>
    <mergeCell ref="D79:H79"/>
    <mergeCell ref="D80:H80"/>
    <mergeCell ref="D81:H81"/>
    <mergeCell ref="D70:H70"/>
    <mergeCell ref="D71:H71"/>
    <mergeCell ref="D72:H72"/>
    <mergeCell ref="D73:H73"/>
    <mergeCell ref="D74:H74"/>
    <mergeCell ref="D75:H75"/>
    <mergeCell ref="D88:H88"/>
    <mergeCell ref="D89:H89"/>
    <mergeCell ref="D90:H90"/>
    <mergeCell ref="D91:H91"/>
    <mergeCell ref="D92:H92"/>
    <mergeCell ref="D93:H93"/>
    <mergeCell ref="D82:H82"/>
    <mergeCell ref="D83:H83"/>
    <mergeCell ref="D84:H84"/>
    <mergeCell ref="D85:H85"/>
    <mergeCell ref="D86:H86"/>
    <mergeCell ref="D87:H87"/>
    <mergeCell ref="J5:K5"/>
    <mergeCell ref="J6:K6"/>
    <mergeCell ref="J7:K7"/>
    <mergeCell ref="J8:K8"/>
    <mergeCell ref="J9:K9"/>
    <mergeCell ref="J10:K10"/>
    <mergeCell ref="D118:H118"/>
    <mergeCell ref="D119:H119"/>
    <mergeCell ref="D120:H120"/>
    <mergeCell ref="D112:H112"/>
    <mergeCell ref="D113:H113"/>
    <mergeCell ref="D114:H114"/>
    <mergeCell ref="D115:H115"/>
    <mergeCell ref="D116:H116"/>
    <mergeCell ref="D117:H117"/>
    <mergeCell ref="D106:H106"/>
    <mergeCell ref="D107:H107"/>
    <mergeCell ref="D108:H108"/>
    <mergeCell ref="D109:H109"/>
    <mergeCell ref="D110:H110"/>
    <mergeCell ref="D111:H111"/>
    <mergeCell ref="D100:H100"/>
    <mergeCell ref="D101:H101"/>
    <mergeCell ref="D102:H102"/>
    <mergeCell ref="D133:H133"/>
    <mergeCell ref="D134:H134"/>
    <mergeCell ref="I16:I17"/>
    <mergeCell ref="J16:K16"/>
    <mergeCell ref="D128:H128"/>
    <mergeCell ref="D129:H129"/>
    <mergeCell ref="D130:H130"/>
    <mergeCell ref="D131:H131"/>
    <mergeCell ref="D124:H124"/>
    <mergeCell ref="D125:H125"/>
    <mergeCell ref="D126:H126"/>
    <mergeCell ref="D127:H127"/>
    <mergeCell ref="D121:H121"/>
    <mergeCell ref="D122:H122"/>
    <mergeCell ref="D123:H123"/>
    <mergeCell ref="D103:H103"/>
    <mergeCell ref="D104:H104"/>
    <mergeCell ref="D105:H105"/>
    <mergeCell ref="D94:H94"/>
    <mergeCell ref="D95:H95"/>
    <mergeCell ref="D96:H96"/>
    <mergeCell ref="D97:H97"/>
    <mergeCell ref="D98:H98"/>
    <mergeCell ref="D99:H99"/>
  </mergeCells>
  <phoneticPr fontId="0" type="noConversion"/>
  <dataValidations xWindow="1191" yWindow="649" count="4">
    <dataValidation type="whole" operator="greaterThanOrEqual" allowBlank="1" showInputMessage="1" showErrorMessage="1" errorTitle="Greška" error="Unose se vrijednosti u konvertibilnim markama, bez decimalnih mjesta. Nije dozvoljen unos negativnih brojeva." sqref="J114:K116 J103:K111 J19:K19 J93:K101 J91:K91 J79:K88 J68:K77 J66:K66 J59:K63 J52:K57 J50:K50 J43:K47 J39:K41 J36:K37 J26:K34 J22:K24 J119:K123 J128:K130">
      <formula1>0</formula1>
    </dataValidation>
    <dataValidation type="whole" operator="greaterThanOrEqual" allowBlank="1" showInputMessage="1" showErrorMessage="1" errorTitle="Greška" error="Unose se vrijednosti u konvertibilnim markama, bez decimalnih mjesta. Nije dozvoljen unos negativnih brojeva." prompt="U ovo polje se ne unosi iznos._x000a_Polje se automatski računa u skladu sa formulom." sqref="J112:K113 J20:K21 J25:K25 J35:K35 J38:K38 J42:K42 J48:K49 J51:K51 J58:K58 J64:K65 J67:K67 J78:K78 J89:K90 J92:K92 J102:K102 J117:K118 J124:K127">
      <formula1>0</formula1>
    </dataValidation>
    <dataValidation type="decimal" operator="greaterThanOrEqual" allowBlank="1" showInputMessage="1" showErrorMessage="1" errorTitle="Greška" error="Unose se vrijednosti u konvertibilnim markama. Nije dozvoljen unos negativnih brojeva." sqref="J131:K132">
      <formula1>0</formula1>
    </dataValidation>
    <dataValidation type="decimal" operator="greaterThanOrEqual" allowBlank="1" showInputMessage="1" showErrorMessage="1" errorTitle="Greška" error="Nije dozvoljen unos negativnih brojeva." prompt="Potrebno je unijeti izračunati broj zaposlenih._x000a_Broj ne treba množiti sa 100!" sqref="J133:K134">
      <formula1>0</formula1>
    </dataValidation>
  </dataValidations>
  <pageMargins left="0.39370078740157483" right="0.39370078740157483" top="0.39370078740157483" bottom="0.39370078740157483" header="0.31496062992125984" footer="0.23622047244094491"/>
  <pageSetup paperSize="9" scale="70" orientation="portrait" r:id="rId1"/>
  <headerFooter alignWithMargins="0">
    <oddFooter>&amp;R&amp;"Tahoma,Regular"Strana &amp;P od &amp;N</oddFooter>
  </headerFooter>
  <rowBreaks count="1" manualBreakCount="1">
    <brk id="77" min="1" max="1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043" r:id="rId4" name="Navigacija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0</xdr:row>
                    <xdr:rowOff>47625</xdr:rowOff>
                  </from>
                  <to>
                    <xdr:col>7</xdr:col>
                    <xdr:colOff>1095375</xdr:colOff>
                    <xdr:row>3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02b">
    <tabColor rgb="FFB2B2B2"/>
  </sheetPr>
  <dimension ref="B1:O45"/>
  <sheetViews>
    <sheetView showGridLines="0" showRowColHeaders="0" zoomScaleNormal="100" zoomScaleSheetLayoutView="100" workbookViewId="0">
      <pane ySplit="4" topLeftCell="A5" activePane="bottomLeft" state="frozen"/>
      <selection activeCell="D15" sqref="D15"/>
      <selection pane="bottomLeft" activeCell="C12" sqref="C12:K12"/>
    </sheetView>
  </sheetViews>
  <sheetFormatPr defaultColWidth="0" defaultRowHeight="12.75" zeroHeight="1" x14ac:dyDescent="0.2"/>
  <cols>
    <col min="1" max="1" width="5.7109375" style="8" customWidth="1"/>
    <col min="2" max="2" width="5.7109375" style="8" hidden="1" customWidth="1"/>
    <col min="3" max="3" width="19.5703125" style="8" customWidth="1"/>
    <col min="4" max="8" width="18.5703125" style="8" customWidth="1"/>
    <col min="9" max="9" width="7.140625" style="8" customWidth="1"/>
    <col min="10" max="11" width="14.28515625" style="8" customWidth="1"/>
    <col min="12" max="13" width="14.28515625" style="8" hidden="1" customWidth="1"/>
    <col min="14" max="14" width="5.7109375" style="8" customWidth="1"/>
    <col min="15" max="15" width="11.42578125" style="8" hidden="1" customWidth="1"/>
    <col min="16" max="16384" width="0" style="8" hidden="1"/>
  </cols>
  <sheetData>
    <row r="1" spans="2:11" ht="12.75" customHeight="1" x14ac:dyDescent="0.2">
      <c r="C1" s="20"/>
      <c r="D1" s="20"/>
      <c r="E1" s="20"/>
      <c r="F1" s="20"/>
      <c r="G1" s="20"/>
      <c r="H1" s="20"/>
      <c r="I1" s="20"/>
      <c r="J1" s="20"/>
      <c r="K1" s="20"/>
    </row>
    <row r="2" spans="2:11" ht="12.75" customHeight="1" x14ac:dyDescent="0.2">
      <c r="C2" s="20"/>
      <c r="D2" s="20"/>
      <c r="E2" s="20"/>
      <c r="F2" s="20"/>
      <c r="G2" s="20"/>
      <c r="H2" s="20"/>
      <c r="I2" s="20"/>
      <c r="J2" s="20"/>
      <c r="K2" s="20"/>
    </row>
    <row r="3" spans="2:11" ht="12.75" customHeight="1" x14ac:dyDescent="0.2">
      <c r="C3" s="20"/>
      <c r="D3" s="20"/>
      <c r="E3" s="20"/>
      <c r="F3" s="20"/>
      <c r="G3" s="20"/>
      <c r="H3" s="20"/>
      <c r="I3" s="20"/>
      <c r="J3" s="20"/>
      <c r="K3" s="20"/>
    </row>
    <row r="4" spans="2:11" ht="12.75" customHeight="1" x14ac:dyDescent="0.2">
      <c r="C4" s="189"/>
      <c r="D4" s="189"/>
      <c r="E4" s="189"/>
      <c r="F4" s="189"/>
      <c r="G4" s="189"/>
      <c r="H4" s="189"/>
      <c r="I4" s="189"/>
      <c r="J4" s="189"/>
      <c r="K4" s="189"/>
    </row>
    <row r="5" spans="2:11" ht="12.75" customHeight="1" x14ac:dyDescent="0.2">
      <c r="B5" s="17"/>
      <c r="C5" s="16" t="str">
        <f>Zaglavlje_MB</f>
        <v>Matični broj:</v>
      </c>
      <c r="D5" s="474" t="str">
        <f>Podatak_MB</f>
        <v>01494562</v>
      </c>
      <c r="E5" s="474"/>
      <c r="I5" s="17" t="str">
        <f>Zaglavlje_Ziro_racun</f>
        <v>Poslovni računi:</v>
      </c>
      <c r="J5" s="470" t="str">
        <f>Podatak_Ziro_racun_1</f>
        <v>562-005-00003035-69</v>
      </c>
      <c r="K5" s="470"/>
    </row>
    <row r="6" spans="2:11" ht="12.75" customHeight="1" x14ac:dyDescent="0.2">
      <c r="B6" s="17"/>
      <c r="C6" s="16" t="str">
        <f>Zaglavlje_Sifra_djelatnosti</f>
        <v>Šifra djelatnosti:</v>
      </c>
      <c r="D6" s="474" t="str">
        <f>Podatak_Sifra_djelatnosti</f>
        <v>49.10</v>
      </c>
      <c r="E6" s="474"/>
      <c r="F6" s="9"/>
      <c r="J6" s="470" t="str">
        <f>Podatak_Ziro_racun_2</f>
        <v>551-004-00009770-60</v>
      </c>
      <c r="K6" s="470"/>
    </row>
    <row r="7" spans="2:11" ht="12.75" customHeight="1" x14ac:dyDescent="0.2">
      <c r="B7" s="17"/>
      <c r="C7" s="475" t="str">
        <f>Zaglavlje_Naziv_preduzeca</f>
        <v>Naziv privrednog društva, zadruge, drugog pravnog lica ili preduzetnika:</v>
      </c>
      <c r="D7" s="475"/>
      <c r="E7" s="475"/>
      <c r="F7" s="19"/>
      <c r="J7" s="470" t="str">
        <f>Podatak_Ziro_racun_3</f>
        <v>562-005-80858186-91</v>
      </c>
      <c r="K7" s="470"/>
    </row>
    <row r="8" spans="2:11" ht="12.75" customHeight="1" x14ac:dyDescent="0.2">
      <c r="B8" s="17"/>
      <c r="C8" s="475"/>
      <c r="D8" s="475"/>
      <c r="E8" s="475"/>
      <c r="F8" s="19"/>
      <c r="J8" s="470" t="str">
        <f>Podatak_Ziro_racun_4</f>
        <v/>
      </c>
      <c r="K8" s="470"/>
    </row>
    <row r="9" spans="2:11" ht="12.75" customHeight="1" x14ac:dyDescent="0.2">
      <c r="B9" s="17"/>
      <c r="C9" s="477" t="str">
        <f>Podatak_Naziv_preduzeca</f>
        <v>Željeznice RS a.d. Doboj</v>
      </c>
      <c r="D9" s="477"/>
      <c r="E9" s="477"/>
      <c r="F9" s="477"/>
      <c r="J9" s="470" t="str">
        <f>Podatak_Ziro_racun_5</f>
        <v/>
      </c>
      <c r="K9" s="470"/>
    </row>
    <row r="10" spans="2:11" ht="12.75" customHeight="1" x14ac:dyDescent="0.2">
      <c r="B10" s="17"/>
      <c r="C10" s="16" t="str">
        <f>Zaglavlje_Sjediste</f>
        <v>Sjedište:</v>
      </c>
      <c r="D10" s="474" t="str">
        <f>Podatak_Sjediste</f>
        <v>Svetog Save 71</v>
      </c>
      <c r="E10" s="474"/>
      <c r="F10" s="16"/>
      <c r="J10" s="470" t="str">
        <f>Podatak_Ziro_racun_6</f>
        <v/>
      </c>
      <c r="K10" s="470"/>
    </row>
    <row r="11" spans="2:11" ht="12.75" customHeight="1" x14ac:dyDescent="0.2">
      <c r="B11" s="17"/>
      <c r="C11" s="16" t="str">
        <f>Zaglavlje_JIB</f>
        <v>JIB:</v>
      </c>
      <c r="D11" s="474" t="str">
        <f>Podatak_JIB</f>
        <v>4400025960001</v>
      </c>
      <c r="E11" s="474"/>
      <c r="F11" s="20"/>
      <c r="G11" s="20"/>
      <c r="H11" s="20"/>
      <c r="I11" s="20"/>
      <c r="J11"/>
      <c r="K11"/>
    </row>
    <row r="12" spans="2:11" ht="15.75" customHeight="1" x14ac:dyDescent="0.2">
      <c r="B12" s="17"/>
      <c r="C12" s="457" t="str">
        <f>IF( Id_Konsolidovani, Nazivi_bilansa_Konsolidovani_naziv &amp; LOWER( Nazivi_bilansa_BUb), Nazivi_bilansa_BUb)</f>
        <v>Izvještaj</v>
      </c>
      <c r="D12" s="457"/>
      <c r="E12" s="457"/>
      <c r="F12" s="457"/>
      <c r="G12" s="457"/>
      <c r="H12" s="457"/>
      <c r="I12" s="457"/>
      <c r="J12" s="457"/>
      <c r="K12" s="457"/>
    </row>
    <row r="13" spans="2:11" ht="14.25" x14ac:dyDescent="0.2">
      <c r="B13" s="17"/>
      <c r="C13" s="480" t="str">
        <f>Nazivi_bilansa_BUb1</f>
        <v>o ostalim dobicima i gubicima perioda</v>
      </c>
      <c r="D13" s="480"/>
      <c r="E13" s="480"/>
      <c r="F13" s="480"/>
      <c r="G13" s="480"/>
      <c r="H13" s="480"/>
      <c r="I13" s="480"/>
      <c r="J13" s="480"/>
      <c r="K13" s="480"/>
    </row>
    <row r="14" spans="2:11" ht="12.75" customHeight="1" x14ac:dyDescent="0.2">
      <c r="B14" s="17"/>
      <c r="C14" s="473" t="str">
        <f>Datumi_Datum_BU</f>
        <v>za period od 01.01. do 30.06.2021. godine</v>
      </c>
      <c r="D14" s="473"/>
      <c r="E14" s="473"/>
      <c r="F14" s="473"/>
      <c r="G14" s="473"/>
      <c r="H14" s="473"/>
      <c r="I14" s="473"/>
      <c r="J14" s="473"/>
      <c r="K14" s="473"/>
    </row>
    <row r="15" spans="2:11" ht="12.75" customHeight="1" x14ac:dyDescent="0.2">
      <c r="B15" s="17"/>
      <c r="C15" s="56"/>
      <c r="D15" s="56"/>
      <c r="E15" s="56"/>
      <c r="F15" s="56"/>
      <c r="G15" s="56"/>
      <c r="H15" s="56"/>
      <c r="I15" s="56"/>
      <c r="J15" s="56"/>
      <c r="K15" s="23" t="str">
        <f>Tabele_zaglavlje_Valuta</f>
        <v>- u konvertibilnim markama -</v>
      </c>
    </row>
    <row r="16" spans="2:11" ht="12.75" customHeight="1" x14ac:dyDescent="0.2">
      <c r="B16" s="17"/>
      <c r="C16" s="471" t="str">
        <f>Tabele_zaglavlje_Grupa_racuna</f>
        <v>Grupa računa, račun</v>
      </c>
      <c r="D16" s="462" t="str">
        <f>Tabele_zaglavlje_Pozicija</f>
        <v>POZICIJA</v>
      </c>
      <c r="E16" s="462"/>
      <c r="F16" s="462"/>
      <c r="G16" s="462"/>
      <c r="H16" s="462"/>
      <c r="I16" s="460" t="str">
        <f>Tabele_zaglavlje_Oznaka_aop</f>
        <v>Oznaka za AOP</v>
      </c>
      <c r="J16" s="462" t="str">
        <f>Tabele_zaglavlje_Iznos</f>
        <v>Iznos</v>
      </c>
      <c r="K16" s="463"/>
    </row>
    <row r="17" spans="2:15" ht="25.5" customHeight="1" x14ac:dyDescent="0.2">
      <c r="B17" s="17"/>
      <c r="C17" s="472"/>
      <c r="D17" s="476"/>
      <c r="E17" s="476"/>
      <c r="F17" s="476"/>
      <c r="G17" s="476"/>
      <c r="H17" s="476"/>
      <c r="I17" s="461"/>
      <c r="J17" s="58" t="str">
        <f>Tabele_zaglavlje_Tekuca_godina</f>
        <v>Tekuća godina</v>
      </c>
      <c r="K17" s="59" t="str">
        <f>Tabele_zaglavlje_Prethodna_godina</f>
        <v>Prethodna godina</v>
      </c>
      <c r="O17" s="185" t="s">
        <v>824</v>
      </c>
    </row>
    <row r="18" spans="2:15" ht="12.75" customHeight="1" x14ac:dyDescent="0.2">
      <c r="B18" s="14" t="s">
        <v>408</v>
      </c>
      <c r="C18" s="95">
        <v>1</v>
      </c>
      <c r="D18" s="478">
        <v>2</v>
      </c>
      <c r="E18" s="478"/>
      <c r="F18" s="478"/>
      <c r="G18" s="478"/>
      <c r="H18" s="478"/>
      <c r="I18" s="96">
        <v>3</v>
      </c>
      <c r="J18" s="96">
        <v>4</v>
      </c>
      <c r="K18" s="97">
        <v>5</v>
      </c>
    </row>
    <row r="19" spans="2:15" ht="12.75" customHeight="1" x14ac:dyDescent="0.2">
      <c r="B19" s="17">
        <v>251</v>
      </c>
      <c r="C19" s="101">
        <f>VLOOKUP( $B19, T_Aop[], 5, 1)</f>
        <v>0</v>
      </c>
      <c r="D19" s="481" t="str">
        <f>VLOOKUP( $B19, T_Aop[], 6, 1)</f>
        <v>A. NETO DOBITAK ILI NETO GUBITAK PERIODA (299 ili 300)</v>
      </c>
      <c r="E19" s="481"/>
      <c r="F19" s="481"/>
      <c r="G19" s="481"/>
      <c r="H19" s="481"/>
      <c r="I19" s="102">
        <f>VLOOKUP( $B19, T_Aop[], 4, 1)</f>
        <v>400</v>
      </c>
      <c r="J19" s="103">
        <f>'02a'!J124 - '02a'!J125</f>
        <v>-4457963</v>
      </c>
      <c r="K19" s="104">
        <f>'02a'!K124 - '02a'!K125</f>
        <v>-5283181</v>
      </c>
      <c r="O19" s="29"/>
    </row>
    <row r="20" spans="2:15" ht="12.75" customHeight="1" x14ac:dyDescent="0.2">
      <c r="B20" s="17">
        <v>252</v>
      </c>
      <c r="C20" s="90">
        <f>VLOOKUP( $B20, T_Aop[], 5, 1)</f>
        <v>0</v>
      </c>
      <c r="D20" s="482" t="str">
        <f>VLOOKUP( $B20, T_Aop[], 6, 1)</f>
        <v xml:space="preserve">  I - DOBICI UTVRĐENI DIREKTNO U KAPITALU (402 do 407)</v>
      </c>
      <c r="E20" s="482"/>
      <c r="F20" s="482"/>
      <c r="G20" s="482"/>
      <c r="H20" s="482"/>
      <c r="I20" s="87">
        <f>VLOOKUP( $B20, T_Aop[], 4, 1)</f>
        <v>401</v>
      </c>
      <c r="J20" s="105">
        <f>SUBTOTAL( 9, J21:J26)</f>
        <v>0</v>
      </c>
      <c r="K20" s="106">
        <f>SUBTOTAL( 9, K21:K26)</f>
        <v>0</v>
      </c>
      <c r="O20" s="29"/>
    </row>
    <row r="21" spans="2:15" ht="25.5" customHeight="1" x14ac:dyDescent="0.2">
      <c r="B21" s="17">
        <v>253</v>
      </c>
      <c r="C21" s="82">
        <f>VLOOKUP( $B21, T_Aop[], 5, 1)</f>
        <v>0</v>
      </c>
      <c r="D21" s="465" t="str">
        <f>VLOOKUP( $B21, T_Aop[], 6, 1)</f>
        <v xml:space="preserve">    1. Dobici po osnovu smanjenja revalorizacionih rezervi na stalnim sredstvima, osim HOV raspoloživih za prodaju</v>
      </c>
      <c r="E21" s="465"/>
      <c r="F21" s="465"/>
      <c r="G21" s="465"/>
      <c r="H21" s="465"/>
      <c r="I21" s="83">
        <f>VLOOKUP( $B21, T_Aop[], 4, 1)</f>
        <v>402</v>
      </c>
      <c r="J21" s="223"/>
      <c r="K21" s="224"/>
      <c r="O21" s="184" t="s">
        <v>625</v>
      </c>
    </row>
    <row r="22" spans="2:15" x14ac:dyDescent="0.2">
      <c r="B22" s="17">
        <v>254</v>
      </c>
      <c r="C22" s="90">
        <f>VLOOKUP( $B22, T_Aop[], 5, 1)</f>
        <v>0</v>
      </c>
      <c r="D22" s="483" t="str">
        <f>VLOOKUP( $B22, T_Aop[], 6, 1)</f>
        <v xml:space="preserve">    2. Dobici po osnovu promjene fer vrijednosti HOV raspoloživih za prodaju</v>
      </c>
      <c r="E22" s="483"/>
      <c r="F22" s="483"/>
      <c r="G22" s="483"/>
      <c r="H22" s="483"/>
      <c r="I22" s="87">
        <f>VLOOKUP( $B22, T_Aop[], 4, 1)</f>
        <v>403</v>
      </c>
      <c r="J22" s="225"/>
      <c r="K22" s="226"/>
      <c r="O22"/>
    </row>
    <row r="23" spans="2:15" x14ac:dyDescent="0.2">
      <c r="B23" s="17">
        <v>255</v>
      </c>
      <c r="C23" s="82">
        <f>VLOOKUP( $B23, T_Aop[], 5, 1)</f>
        <v>0</v>
      </c>
      <c r="D23" s="465" t="str">
        <f>VLOOKUP( $B23, T_Aop[], 6, 1)</f>
        <v xml:space="preserve">    3. Dobici po osnovu prevođenja finansijskih izvještaja inostranog poslovanja</v>
      </c>
      <c r="E23" s="465"/>
      <c r="F23" s="465"/>
      <c r="G23" s="465"/>
      <c r="H23" s="465"/>
      <c r="I23" s="83">
        <f>VLOOKUP( $B23, T_Aop[], 4, 1)</f>
        <v>404</v>
      </c>
      <c r="J23" s="223"/>
      <c r="K23" s="224"/>
      <c r="O23"/>
    </row>
    <row r="24" spans="2:15" ht="12.75" customHeight="1" x14ac:dyDescent="0.2">
      <c r="B24" s="17">
        <v>256</v>
      </c>
      <c r="C24" s="90">
        <f>VLOOKUP( $B24, T_Aop[], 5, 1)</f>
        <v>0</v>
      </c>
      <c r="D24" s="483" t="str">
        <f>VLOOKUP( $B24, T_Aop[], 6, 1)</f>
        <v xml:space="preserve">    4. Aktuarski dobici od planova definisanih primanja</v>
      </c>
      <c r="E24" s="483"/>
      <c r="F24" s="483"/>
      <c r="G24" s="483"/>
      <c r="H24" s="483"/>
      <c r="I24" s="87">
        <f>VLOOKUP( $B24, T_Aop[], 4, 1)</f>
        <v>405</v>
      </c>
      <c r="J24" s="225"/>
      <c r="K24" s="226"/>
      <c r="O24"/>
    </row>
    <row r="25" spans="2:15" ht="12.75" customHeight="1" x14ac:dyDescent="0.2">
      <c r="B25" s="17">
        <v>257</v>
      </c>
      <c r="C25" s="82">
        <f>VLOOKUP( $B25, T_Aop[], 5, 1)</f>
        <v>0</v>
      </c>
      <c r="D25" s="465" t="str">
        <f>VLOOKUP( $B25, T_Aop[], 6, 1)</f>
        <v xml:space="preserve">    5. Efektivni dio dobitaka po osnovu zaštite od rizika gotovinskih tokova</v>
      </c>
      <c r="E25" s="465"/>
      <c r="F25" s="465"/>
      <c r="G25" s="465"/>
      <c r="H25" s="465"/>
      <c r="I25" s="83">
        <f>VLOOKUP( $B25, T_Aop[], 4, 1)</f>
        <v>406</v>
      </c>
      <c r="J25" s="223"/>
      <c r="K25" s="224"/>
      <c r="O25"/>
    </row>
    <row r="26" spans="2:15" ht="12.75" customHeight="1" x14ac:dyDescent="0.2">
      <c r="B26" s="17">
        <v>258</v>
      </c>
      <c r="C26" s="90">
        <f>VLOOKUP( $B26, T_Aop[], 5, 1)</f>
        <v>0</v>
      </c>
      <c r="D26" s="483" t="str">
        <f>VLOOKUP( $B26, T_Aop[], 6, 1)</f>
        <v xml:space="preserve">    6. Ostali dobici utvrđeni direktno u kapitalu</v>
      </c>
      <c r="E26" s="483"/>
      <c r="F26" s="483"/>
      <c r="G26" s="483"/>
      <c r="H26" s="483"/>
      <c r="I26" s="87">
        <f>VLOOKUP( $B26, T_Aop[], 4, 1)</f>
        <v>407</v>
      </c>
      <c r="J26" s="225"/>
      <c r="K26" s="226"/>
      <c r="O26"/>
    </row>
    <row r="27" spans="2:15" ht="12.75" customHeight="1" x14ac:dyDescent="0.2">
      <c r="B27" s="17">
        <v>259</v>
      </c>
      <c r="C27" s="82">
        <f>VLOOKUP( $B27, T_Aop[], 5, 1)</f>
        <v>0</v>
      </c>
      <c r="D27" s="464" t="str">
        <f>VLOOKUP( $B27, T_Aop[], 6, 1)</f>
        <v xml:space="preserve">  II - GUBICI UTVRĐENI DIREKTNO U KAPITALU (409 do 413)</v>
      </c>
      <c r="E27" s="464"/>
      <c r="F27" s="464"/>
      <c r="G27" s="464"/>
      <c r="H27" s="464"/>
      <c r="I27" s="83">
        <f>VLOOKUP( $B27, T_Aop[], 4, 1)</f>
        <v>408</v>
      </c>
      <c r="J27" s="107">
        <f>SUBTOTAL( 9, J28:J32)</f>
        <v>0</v>
      </c>
      <c r="K27" s="108">
        <f>SUBTOTAL( 9, K28:K32)</f>
        <v>0</v>
      </c>
      <c r="O27"/>
    </row>
    <row r="28" spans="2:15" x14ac:dyDescent="0.2">
      <c r="B28" s="17">
        <v>260</v>
      </c>
      <c r="C28" s="90">
        <f>VLOOKUP( $B28, T_Aop[], 5, 1)</f>
        <v>0</v>
      </c>
      <c r="D28" s="483" t="str">
        <f>VLOOKUP( $B28, T_Aop[], 6, 1)</f>
        <v xml:space="preserve">    1. Gubici po osnovu promjene fer vrijednosti HOV raspoloživih za prodaju</v>
      </c>
      <c r="E28" s="483"/>
      <c r="F28" s="483"/>
      <c r="G28" s="483"/>
      <c r="H28" s="483"/>
      <c r="I28" s="87">
        <f>VLOOKUP( $B28, T_Aop[], 4, 1)</f>
        <v>409</v>
      </c>
      <c r="J28" s="225"/>
      <c r="K28" s="226"/>
      <c r="O28"/>
    </row>
    <row r="29" spans="2:15" x14ac:dyDescent="0.2">
      <c r="B29" s="17">
        <v>261</v>
      </c>
      <c r="C29" s="82">
        <f>VLOOKUP( $B29, T_Aop[], 5, 1)</f>
        <v>0</v>
      </c>
      <c r="D29" s="465" t="str">
        <f>VLOOKUP( $B29, T_Aop[], 6, 1)</f>
        <v xml:space="preserve">    2. Gubici po osnovu prevođenja finansijskih izvještaja inostranog poslovanja</v>
      </c>
      <c r="E29" s="465"/>
      <c r="F29" s="465"/>
      <c r="G29" s="465"/>
      <c r="H29" s="465"/>
      <c r="I29" s="83">
        <f>VLOOKUP( $B29, T_Aop[], 4, 1)</f>
        <v>410</v>
      </c>
      <c r="J29" s="223"/>
      <c r="K29" s="224"/>
      <c r="O29"/>
    </row>
    <row r="30" spans="2:15" ht="12.75" customHeight="1" x14ac:dyDescent="0.2">
      <c r="B30" s="17">
        <v>262</v>
      </c>
      <c r="C30" s="90">
        <f>VLOOKUP( $B30, T_Aop[], 5, 1)</f>
        <v>0</v>
      </c>
      <c r="D30" s="483" t="str">
        <f>VLOOKUP( $B30, T_Aop[], 6, 1)</f>
        <v xml:space="preserve">    3. Aktuarski gubici od planova definisanih primanja</v>
      </c>
      <c r="E30" s="483"/>
      <c r="F30" s="483"/>
      <c r="G30" s="483"/>
      <c r="H30" s="483"/>
      <c r="I30" s="87">
        <f>VLOOKUP( $B30, T_Aop[], 4, 1)</f>
        <v>411</v>
      </c>
      <c r="J30" s="225"/>
      <c r="K30" s="226"/>
      <c r="O30"/>
    </row>
    <row r="31" spans="2:15" ht="12.75" customHeight="1" x14ac:dyDescent="0.2">
      <c r="B31" s="17">
        <v>263</v>
      </c>
      <c r="C31" s="82">
        <f>VLOOKUP( $B31, T_Aop[], 5, 1)</f>
        <v>0</v>
      </c>
      <c r="D31" s="465" t="str">
        <f>VLOOKUP( $B31, T_Aop[], 6, 1)</f>
        <v xml:space="preserve">    4. Efektivni dio gubitaka po osnovu zaštite od rizika gotovinskih tokova</v>
      </c>
      <c r="E31" s="465"/>
      <c r="F31" s="465"/>
      <c r="G31" s="465"/>
      <c r="H31" s="465"/>
      <c r="I31" s="83">
        <f>VLOOKUP( $B31, T_Aop[], 4, 1)</f>
        <v>412</v>
      </c>
      <c r="J31" s="223"/>
      <c r="K31" s="224"/>
      <c r="O31"/>
    </row>
    <row r="32" spans="2:15" ht="12.75" customHeight="1" x14ac:dyDescent="0.2">
      <c r="B32" s="17">
        <v>264</v>
      </c>
      <c r="C32" s="90">
        <f>VLOOKUP( $B32, T_Aop[], 5, 1)</f>
        <v>0</v>
      </c>
      <c r="D32" s="483" t="str">
        <f>VLOOKUP( $B32, T_Aop[], 6, 1)</f>
        <v xml:space="preserve">    5. Ostali gubici utvrđeni direktno u kapitalu</v>
      </c>
      <c r="E32" s="483"/>
      <c r="F32" s="483"/>
      <c r="G32" s="483"/>
      <c r="H32" s="483"/>
      <c r="I32" s="87">
        <f>VLOOKUP( $B32, T_Aop[], 4, 1)</f>
        <v>413</v>
      </c>
      <c r="J32" s="225"/>
      <c r="K32" s="226"/>
      <c r="O32"/>
    </row>
    <row r="33" spans="2:15" ht="12.75" customHeight="1" x14ac:dyDescent="0.2">
      <c r="B33" s="17">
        <v>265</v>
      </c>
      <c r="C33" s="82">
        <f>VLOOKUP( $B33, T_Aop[], 5, 1)</f>
        <v>0</v>
      </c>
      <c r="D33" s="464" t="str">
        <f>VLOOKUP( $B33, T_Aop[], 6, 1)</f>
        <v>B. OSTALI DOBICI ILI GUBICI U PERIODU (401 - 408) ili (408 - 401)</v>
      </c>
      <c r="E33" s="464"/>
      <c r="F33" s="464"/>
      <c r="G33" s="464"/>
      <c r="H33" s="464"/>
      <c r="I33" s="83">
        <f>VLOOKUP( $B33, T_Aop[], 4, 1)</f>
        <v>414</v>
      </c>
      <c r="J33" s="107">
        <f>SUBTOTAL( 9, J21:J26) - SUBTOTAL( 9, J27:J32)</f>
        <v>0</v>
      </c>
      <c r="K33" s="108">
        <f>SUBTOTAL( 9, K21:K26) - SUBTOTAL( 9, K27:K32)</f>
        <v>0</v>
      </c>
      <c r="O33"/>
    </row>
    <row r="34" spans="2:15" ht="12.75" customHeight="1" x14ac:dyDescent="0.2">
      <c r="B34" s="17">
        <v>266</v>
      </c>
      <c r="C34" s="90">
        <f>VLOOKUP( $B34, T_Aop[], 5, 1)</f>
        <v>0</v>
      </c>
      <c r="D34" s="482" t="str">
        <f>VLOOKUP( $B34, T_Aop[], 6, 1)</f>
        <v>V. POREZ NA DOBITAK KOJI SE ODNOSI NA OSTALE DOBITKE I GUBITKE</v>
      </c>
      <c r="E34" s="482"/>
      <c r="F34" s="482"/>
      <c r="G34" s="482"/>
      <c r="H34" s="482"/>
      <c r="I34" s="87">
        <f>VLOOKUP( $B34, T_Aop[], 4, 1)</f>
        <v>415</v>
      </c>
      <c r="J34" s="227"/>
      <c r="K34" s="228"/>
      <c r="O34"/>
    </row>
    <row r="35" spans="2:15" x14ac:dyDescent="0.2">
      <c r="B35" s="17">
        <v>267</v>
      </c>
      <c r="C35" s="82">
        <f>VLOOKUP( $B35, T_Aop[], 5, 1)</f>
        <v>0</v>
      </c>
      <c r="D35" s="464" t="str">
        <f>VLOOKUP( $B35, T_Aop[], 6, 1)</f>
        <v>G. NETO REZULTAT PO OSNOVU OSTALIH DOBITAKA I GUBITAKA U PERIODU (414 ± 415)</v>
      </c>
      <c r="E35" s="464"/>
      <c r="F35" s="464"/>
      <c r="G35" s="464"/>
      <c r="H35" s="464"/>
      <c r="I35" s="83">
        <f>VLOOKUP( $B35, T_Aop[], 4, 1)</f>
        <v>416</v>
      </c>
      <c r="J35" s="107">
        <f>SUBTOTAL( 9, J21:J26) - SUBTOTAL( 9, J27:J32, J34)</f>
        <v>0</v>
      </c>
      <c r="K35" s="108">
        <f>SUBTOTAL( 9, K21:K26) - SUBTOTAL( 9, K27:K32, K34)</f>
        <v>0</v>
      </c>
      <c r="O35"/>
    </row>
    <row r="36" spans="2:15" ht="12.75" customHeight="1" x14ac:dyDescent="0.2">
      <c r="B36" s="17">
        <v>268</v>
      </c>
      <c r="C36" s="90">
        <f>VLOOKUP( $B36, T_Aop[], 5, 1)</f>
        <v>0</v>
      </c>
      <c r="D36" s="482" t="str">
        <f>VLOOKUP( $B36, T_Aop[], 6, 1)</f>
        <v>D. UKUPAN NETO REZULTAT U OBRAČUNSKOM PERIODU</v>
      </c>
      <c r="E36" s="482"/>
      <c r="F36" s="482"/>
      <c r="G36" s="482"/>
      <c r="H36" s="482"/>
      <c r="I36" s="87">
        <f>VLOOKUP( $B36, T_Aop[], 4, 1)</f>
        <v>0</v>
      </c>
      <c r="J36" s="105"/>
      <c r="K36" s="106"/>
      <c r="O36" s="29"/>
    </row>
    <row r="37" spans="2:15" ht="12.75" customHeight="1" x14ac:dyDescent="0.2">
      <c r="B37" s="17">
        <v>269</v>
      </c>
      <c r="C37" s="82">
        <f>VLOOKUP( $B37, T_Aop[], 5, 1)</f>
        <v>0</v>
      </c>
      <c r="D37" s="464" t="str">
        <f>VLOOKUP( $B37, T_Aop[], 6, 1)</f>
        <v xml:space="preserve">  I - UKUPAN NETO DOBITAK U OBRAČUNSKOM PERIODU (400 ± 416)</v>
      </c>
      <c r="E37" s="464"/>
      <c r="F37" s="464"/>
      <c r="G37" s="464"/>
      <c r="H37" s="464"/>
      <c r="I37" s="83">
        <f>VLOOKUP( $B37, T_Aop[], 4, 1)</f>
        <v>417</v>
      </c>
      <c r="J37" s="107">
        <f>IF( SUBTOTAL( 9, J19, J20:J26) - SUBTOTAL( 9, J27:J32, J34) &lt;= 0, 0, ABS( SUBTOTAL( 9, J19, J20:J26) - SUBTOTAL( 9, J27:J32, J34) ))</f>
        <v>0</v>
      </c>
      <c r="K37" s="108">
        <f>IF( SUBTOTAL( 9, K19, K20:K26) - SUBTOTAL( 9, K27:K32, K34) &lt;= 0, 0, ABS( SUBTOTAL( 9, K19, K20:K26) - SUBTOTAL( 9, K27:K32, K34) ))</f>
        <v>0</v>
      </c>
      <c r="O37" s="29"/>
    </row>
    <row r="38" spans="2:15" ht="12.75" customHeight="1" x14ac:dyDescent="0.2">
      <c r="B38" s="17">
        <v>270</v>
      </c>
      <c r="C38" s="93">
        <f>VLOOKUP( $B38, T_Aop[], 5, 1)</f>
        <v>0</v>
      </c>
      <c r="D38" s="484" t="str">
        <f>VLOOKUP( $B38, T_Aop[], 6, 1)</f>
        <v xml:space="preserve">  II - UKUPAN NETO GUBITAK U OBRAČUNSKOM PERIODU (400 ± 416)</v>
      </c>
      <c r="E38" s="484"/>
      <c r="F38" s="484"/>
      <c r="G38" s="484"/>
      <c r="H38" s="484"/>
      <c r="I38" s="94">
        <f>VLOOKUP( $B38, T_Aop[], 4, 1)</f>
        <v>418</v>
      </c>
      <c r="J38" s="109">
        <f>IF( SUBTOTAL( 9, J19, J20:J26) - SUBTOTAL( 9, J27:J32, J34) &gt;= 0, 0, ABS( SUBTOTAL( 9, J19, J20:J26) - SUBTOTAL( 9, J27:J32, J34) ))</f>
        <v>4457963</v>
      </c>
      <c r="K38" s="110">
        <f>IF( SUBTOTAL( 9, K19, K20:K26) - SUBTOTAL( 9, K27:K32, K34) &gt;= 0, 0, ABS( SUBTOTAL( 9, K19, K20:K26) - SUBTOTAL( 9, K27:K32, K34) ))</f>
        <v>5283181</v>
      </c>
      <c r="O38" s="29"/>
    </row>
    <row r="39" spans="2:15" ht="12.75" customHeight="1" x14ac:dyDescent="0.2"/>
    <row r="40" spans="2:15" ht="12.75" customHeight="1" x14ac:dyDescent="0.2">
      <c r="C40" s="272" t="str">
        <f>Podnozje_U</f>
        <v>U:</v>
      </c>
      <c r="D40" s="269" t="str">
        <f>Podatak_U</f>
        <v>Doboju</v>
      </c>
      <c r="E40"/>
      <c r="G40"/>
      <c r="H40" s="154" t="str">
        <f>Podnozje_Lice_sa_licencom</f>
        <v>Lice sa licencom:</v>
      </c>
      <c r="I40" s="270" t="str">
        <f>Podatak_Lice_sa_licencom</f>
        <v>Mira Simić</v>
      </c>
      <c r="J40" s="271"/>
      <c r="K40" s="271"/>
    </row>
    <row r="41" spans="2:15" ht="12.75" customHeight="1" x14ac:dyDescent="0.2">
      <c r="C41" s="30"/>
      <c r="D41" s="174"/>
      <c r="E41"/>
      <c r="F41" s="50" t="str">
        <f>Podnozje_MP</f>
        <v>(M.P.)</v>
      </c>
      <c r="G41"/>
      <c r="H41"/>
      <c r="I41"/>
    </row>
    <row r="42" spans="2:15" ht="12.75" customHeight="1" x14ac:dyDescent="0.2">
      <c r="C42" s="272" t="str">
        <f>Podnozje_Dana</f>
        <v>Datum:</v>
      </c>
      <c r="D42" s="270" t="str">
        <f>Podatak_Dana</f>
        <v>30.06.2021.</v>
      </c>
      <c r="E42"/>
      <c r="F42" s="51"/>
      <c r="G42"/>
      <c r="H42" s="154" t="str">
        <f>Podnozje_Direktor</f>
        <v>Lice ovlašćeno za zastupanje:</v>
      </c>
      <c r="I42" s="270" t="str">
        <f>Podatak_Direktor</f>
        <v>Željko Radić</v>
      </c>
      <c r="J42" s="271"/>
      <c r="K42" s="271"/>
    </row>
    <row r="43" spans="2:15" ht="12.75" customHeight="1" x14ac:dyDescent="0.2">
      <c r="C43" s="61"/>
      <c r="G43" s="52"/>
      <c r="H43" s="50"/>
      <c r="I43" s="273"/>
      <c r="J43" s="52"/>
      <c r="K43" s="52"/>
    </row>
    <row r="44" spans="2:15" ht="12.75" hidden="1" customHeight="1" x14ac:dyDescent="0.2">
      <c r="F44" s="53"/>
      <c r="G44" s="53"/>
      <c r="H44" s="53"/>
      <c r="I44" s="9"/>
      <c r="J44" s="50"/>
      <c r="K44" s="50"/>
    </row>
    <row r="45" spans="2:15" ht="12.75" hidden="1" customHeight="1" x14ac:dyDescent="0.2"/>
  </sheetData>
  <sheetProtection password="832E" sheet="1" objects="1" scenarios="1"/>
  <mergeCells count="40">
    <mergeCell ref="D36:H36"/>
    <mergeCell ref="D37:H37"/>
    <mergeCell ref="D34:H34"/>
    <mergeCell ref="D27:H27"/>
    <mergeCell ref="D38:H38"/>
    <mergeCell ref="D30:H30"/>
    <mergeCell ref="D31:H31"/>
    <mergeCell ref="D32:H32"/>
    <mergeCell ref="D33:H33"/>
    <mergeCell ref="D35:H35"/>
    <mergeCell ref="D26:H26"/>
    <mergeCell ref="D28:H28"/>
    <mergeCell ref="D29:H29"/>
    <mergeCell ref="D22:H22"/>
    <mergeCell ref="D23:H23"/>
    <mergeCell ref="D24:H24"/>
    <mergeCell ref="D25:H25"/>
    <mergeCell ref="J10:K10"/>
    <mergeCell ref="D11:E11"/>
    <mergeCell ref="D10:E10"/>
    <mergeCell ref="D21:H21"/>
    <mergeCell ref="C12:K12"/>
    <mergeCell ref="C13:K13"/>
    <mergeCell ref="C14:K14"/>
    <mergeCell ref="C16:C17"/>
    <mergeCell ref="D16:H17"/>
    <mergeCell ref="I16:I17"/>
    <mergeCell ref="D18:H18"/>
    <mergeCell ref="D19:H19"/>
    <mergeCell ref="D20:H20"/>
    <mergeCell ref="J16:K16"/>
    <mergeCell ref="C9:F9"/>
    <mergeCell ref="J7:K7"/>
    <mergeCell ref="J8:K8"/>
    <mergeCell ref="J9:K9"/>
    <mergeCell ref="D5:E5"/>
    <mergeCell ref="J5:K5"/>
    <mergeCell ref="D6:E6"/>
    <mergeCell ref="J6:K6"/>
    <mergeCell ref="C7:E8"/>
  </mergeCells>
  <dataValidations xWindow="1273" yWindow="782" count="3">
    <dataValidation type="whole" operator="greaterThanOrEqual" allowBlank="1" showInputMessage="1" showErrorMessage="1" errorTitle="Greška" error="Unose se vrijednosti u konvertibilnim markama, bez decimalnih mjesta. Nije dozvoljen unos negativnih brojeva." sqref="J21:K26 J36:K36 J28:K32">
      <formula1>0</formula1>
    </dataValidation>
    <dataValidation operator="greaterThanOrEqual" allowBlank="1" showInputMessage="1" prompt="U ovo polje se ne unosi iznos._x000a_Polje se automatski računa u skladu sa formulom." sqref="J19:K20 J27:K27 J33:K33 J35:K35 J37:K38"/>
    <dataValidation type="whole" operator="notEqual" allowBlank="1" showInputMessage="1" showErrorMessage="1" errorTitle="Greška" error="Unose se vrijednosti u konvertibilnim markama, bez decimalnih mjesta." sqref="J34:K34">
      <formula1>0</formula1>
    </dataValidation>
  </dataValidations>
  <pageMargins left="0.39370078740157483" right="0.39370078740157483" top="0.39370078740157483" bottom="0.39370078740157483" header="0.31496062992125984" footer="0.23622047244094491"/>
  <pageSetup paperSize="9" scale="70" orientation="portrait" r:id="rId1"/>
  <headerFooter alignWithMargins="0">
    <oddFooter>&amp;R&amp;"Tahoma,Regular"Strana &amp;P od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73" r:id="rId4" name="Navigacija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0</xdr:row>
                    <xdr:rowOff>47625</xdr:rowOff>
                  </from>
                  <to>
                    <xdr:col>7</xdr:col>
                    <xdr:colOff>1095375</xdr:colOff>
                    <xdr:row>3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03">
    <tabColor rgb="FFB2B2B2"/>
  </sheetPr>
  <dimension ref="A1:IU75"/>
  <sheetViews>
    <sheetView showGridLines="0" showRowColHeaders="0" zoomScaleNormal="100" zoomScaleSheetLayoutView="100" workbookViewId="0">
      <pane ySplit="4" topLeftCell="A5" activePane="bottomLeft" state="frozen"/>
      <selection activeCell="D15" sqref="D15"/>
      <selection pane="bottomLeft" activeCell="K68" sqref="K68"/>
    </sheetView>
  </sheetViews>
  <sheetFormatPr defaultColWidth="0" defaultRowHeight="12.75" zeroHeight="1" x14ac:dyDescent="0.2"/>
  <cols>
    <col min="1" max="1" width="5.7109375" style="8" customWidth="1"/>
    <col min="2" max="2" width="5.7109375" style="8" hidden="1" customWidth="1"/>
    <col min="3" max="3" width="19.5703125" style="8" customWidth="1"/>
    <col min="4" max="8" width="18.5703125" style="8" customWidth="1"/>
    <col min="9" max="9" width="7.140625" style="8" customWidth="1"/>
    <col min="10" max="11" width="14.28515625" style="8" customWidth="1"/>
    <col min="12" max="13" width="14.28515625" style="8" hidden="1" customWidth="1"/>
    <col min="14" max="14" width="5.7109375" style="8" customWidth="1"/>
    <col min="15" max="15" width="11.42578125" style="8" hidden="1" customWidth="1"/>
    <col min="16" max="255" width="9.140625" style="8" hidden="1" customWidth="1"/>
    <col min="256" max="16384" width="31.85546875" style="8" hidden="1"/>
  </cols>
  <sheetData>
    <row r="1" spans="3:13" x14ac:dyDescent="0.2">
      <c r="C1" s="20"/>
      <c r="D1" s="20"/>
      <c r="E1" s="20"/>
      <c r="F1" s="20"/>
      <c r="G1" s="20"/>
      <c r="H1" s="20"/>
      <c r="I1" s="20"/>
      <c r="J1" s="20"/>
      <c r="K1" s="20"/>
    </row>
    <row r="2" spans="3:13" x14ac:dyDescent="0.2">
      <c r="C2" s="20"/>
      <c r="D2" s="20"/>
      <c r="E2" s="20"/>
      <c r="F2" s="20"/>
      <c r="G2" s="20"/>
      <c r="H2" s="20"/>
      <c r="I2" s="20"/>
      <c r="J2" s="20"/>
      <c r="K2" s="20"/>
    </row>
    <row r="3" spans="3:13" x14ac:dyDescent="0.2">
      <c r="C3" s="20"/>
      <c r="D3" s="20"/>
      <c r="E3" s="20"/>
      <c r="F3" s="20"/>
      <c r="G3" s="20"/>
      <c r="H3" s="20"/>
      <c r="I3" s="20"/>
      <c r="J3" s="20"/>
      <c r="K3" s="20"/>
    </row>
    <row r="4" spans="3:13" x14ac:dyDescent="0.2">
      <c r="C4" s="20"/>
      <c r="D4" s="20"/>
      <c r="E4" s="20"/>
      <c r="F4" s="20"/>
      <c r="G4" s="20"/>
      <c r="H4" s="20"/>
      <c r="I4" s="20"/>
      <c r="J4" s="20"/>
      <c r="K4" s="20"/>
    </row>
    <row r="5" spans="3:13" x14ac:dyDescent="0.2">
      <c r="C5" s="16" t="str">
        <f>Zaglavlje_MB</f>
        <v>Matični broj:</v>
      </c>
      <c r="D5" s="474" t="str">
        <f>Podatak_MB</f>
        <v>01494562</v>
      </c>
      <c r="E5" s="474"/>
      <c r="I5" s="17" t="str">
        <f>Zaglavlje_Ziro_racun</f>
        <v>Poslovni računi:</v>
      </c>
      <c r="J5" s="470" t="str">
        <f>Podatak_Ziro_racun_1</f>
        <v>562-005-00003035-69</v>
      </c>
      <c r="K5" s="470"/>
    </row>
    <row r="6" spans="3:13" x14ac:dyDescent="0.2">
      <c r="C6" s="16" t="str">
        <f>Zaglavlje_Sifra_djelatnosti</f>
        <v>Šifra djelatnosti:</v>
      </c>
      <c r="D6" s="474" t="str">
        <f>Podatak_Sifra_djelatnosti</f>
        <v>49.10</v>
      </c>
      <c r="E6" s="474"/>
      <c r="F6" s="9"/>
      <c r="J6" s="470" t="str">
        <f>Podatak_Ziro_racun_2</f>
        <v>551-004-00009770-60</v>
      </c>
      <c r="K6" s="470"/>
    </row>
    <row r="7" spans="3:13" x14ac:dyDescent="0.2">
      <c r="C7" s="475" t="str">
        <f>Zaglavlje_Naziv_preduzeca</f>
        <v>Naziv privrednog društva, zadruge, drugog pravnog lica ili preduzetnika:</v>
      </c>
      <c r="D7" s="475"/>
      <c r="E7" s="475"/>
      <c r="F7" s="19"/>
      <c r="J7" s="470" t="str">
        <f>Podatak_Ziro_racun_3</f>
        <v>562-005-80858186-91</v>
      </c>
      <c r="K7" s="470"/>
    </row>
    <row r="8" spans="3:13" x14ac:dyDescent="0.2">
      <c r="C8" s="475"/>
      <c r="D8" s="475"/>
      <c r="E8" s="475"/>
      <c r="F8" s="19"/>
      <c r="J8" s="470" t="str">
        <f>Podatak_Ziro_racun_4</f>
        <v/>
      </c>
      <c r="K8" s="470"/>
    </row>
    <row r="9" spans="3:13" x14ac:dyDescent="0.2">
      <c r="C9" s="477" t="str">
        <f>Podatak_Naziv_preduzeca</f>
        <v>Željeznice RS a.d. Doboj</v>
      </c>
      <c r="D9" s="477"/>
      <c r="E9" s="477"/>
      <c r="F9" s="477"/>
      <c r="J9" s="470" t="str">
        <f>Podatak_Ziro_racun_5</f>
        <v/>
      </c>
      <c r="K9" s="470"/>
    </row>
    <row r="10" spans="3:13" x14ac:dyDescent="0.2">
      <c r="C10" s="16" t="str">
        <f>Zaglavlje_Sjediste</f>
        <v>Sjedište:</v>
      </c>
      <c r="D10" s="474" t="str">
        <f>Podatak_Sjediste</f>
        <v>Svetog Save 71</v>
      </c>
      <c r="E10" s="474"/>
      <c r="F10" s="16"/>
      <c r="J10" s="470" t="str">
        <f>Podatak_Ziro_racun_6</f>
        <v/>
      </c>
      <c r="K10" s="470"/>
    </row>
    <row r="11" spans="3:13" x14ac:dyDescent="0.2">
      <c r="C11" s="16" t="str">
        <f>Zaglavlje_JIB</f>
        <v>JIB:</v>
      </c>
      <c r="D11" s="474" t="str">
        <f>Podatak_JIB</f>
        <v>4400025960001</v>
      </c>
      <c r="E11" s="474"/>
      <c r="F11" s="20"/>
      <c r="G11" s="20"/>
      <c r="H11" s="20"/>
      <c r="I11" s="20"/>
      <c r="J11"/>
      <c r="K11"/>
    </row>
    <row r="12" spans="3:13" ht="15.75" x14ac:dyDescent="0.2">
      <c r="C12" s="486" t="str">
        <f>IF( Id_Konsolidovani, Nazivi_bilansa_Konsolidovani_naziv &amp; LOWER( Nazivi_bilansa_BTG), Nazivi_bilansa_BTG)</f>
        <v>Bilans tokova gotovine</v>
      </c>
      <c r="D12" s="486"/>
      <c r="E12" s="486"/>
      <c r="F12" s="486"/>
      <c r="G12" s="486"/>
      <c r="H12" s="486"/>
      <c r="I12" s="486"/>
      <c r="J12" s="486"/>
      <c r="K12" s="486"/>
    </row>
    <row r="13" spans="3:13" x14ac:dyDescent="0.2">
      <c r="C13" s="487" t="str">
        <f>Nazivi_bilansa_BTG1</f>
        <v>(Izvještaj o tokovima gotovine)</v>
      </c>
      <c r="D13" s="487"/>
      <c r="E13" s="487"/>
      <c r="F13" s="487"/>
      <c r="G13" s="487"/>
      <c r="H13" s="487"/>
      <c r="I13" s="487"/>
      <c r="J13" s="487"/>
      <c r="K13" s="487"/>
    </row>
    <row r="14" spans="3:13" x14ac:dyDescent="0.2">
      <c r="C14" s="487" t="str">
        <f>Datumi_Datum_BTG</f>
        <v>za period od 01.01. do 30.06.2021. godine</v>
      </c>
      <c r="D14" s="487"/>
      <c r="E14" s="487"/>
      <c r="F14" s="487"/>
      <c r="G14" s="487"/>
      <c r="H14" s="487"/>
      <c r="I14" s="487"/>
      <c r="J14" s="487"/>
      <c r="K14" s="487"/>
    </row>
    <row r="15" spans="3:13" x14ac:dyDescent="0.2">
      <c r="D15" s="20"/>
      <c r="E15" s="20"/>
      <c r="F15" s="20"/>
      <c r="G15" s="20"/>
      <c r="H15" s="20"/>
      <c r="I15" s="20"/>
      <c r="J15" s="20"/>
      <c r="K15" s="65" t="str">
        <f>Tabele_zaglavlje_Valuta</f>
        <v>- u konvertibilnim markama -</v>
      </c>
    </row>
    <row r="16" spans="3:13" x14ac:dyDescent="0.2">
      <c r="C16" s="471" t="str">
        <f>Tabele_zaglavlje_Redni_broj</f>
        <v>Redni broj</v>
      </c>
      <c r="D16" s="462" t="str">
        <f>Tabele_zaglavlje_Pozicija</f>
        <v>POZICIJA</v>
      </c>
      <c r="E16" s="462"/>
      <c r="F16" s="462"/>
      <c r="G16" s="462"/>
      <c r="H16" s="462"/>
      <c r="I16" s="460" t="str">
        <f>Tabele_zaglavlje_Oznaka_aop</f>
        <v>Oznaka za AOP</v>
      </c>
      <c r="J16" s="462" t="str">
        <f>Tabele_zaglavlje_Iznos</f>
        <v>Iznos</v>
      </c>
      <c r="K16" s="463"/>
      <c r="M16" s="57"/>
    </row>
    <row r="17" spans="2:15" ht="25.5" x14ac:dyDescent="0.2">
      <c r="C17" s="472"/>
      <c r="D17" s="476"/>
      <c r="E17" s="476"/>
      <c r="F17" s="476"/>
      <c r="G17" s="476"/>
      <c r="H17" s="476"/>
      <c r="I17" s="461"/>
      <c r="J17" s="58" t="str">
        <f>Tabele_zaglavlje_Tekuca_godina</f>
        <v>Tekuća godina</v>
      </c>
      <c r="K17" s="59" t="str">
        <f>Tabele_zaglavlje_Prethodna_godina</f>
        <v>Prethodna godina</v>
      </c>
      <c r="M17" s="57"/>
      <c r="O17" s="185" t="s">
        <v>824</v>
      </c>
    </row>
    <row r="18" spans="2:15" x14ac:dyDescent="0.2">
      <c r="B18" s="60" t="s">
        <v>408</v>
      </c>
      <c r="C18" s="95">
        <v>1</v>
      </c>
      <c r="D18" s="478">
        <v>2</v>
      </c>
      <c r="E18" s="478"/>
      <c r="F18" s="478"/>
      <c r="G18" s="478"/>
      <c r="H18" s="478"/>
      <c r="I18" s="96">
        <v>3</v>
      </c>
      <c r="J18" s="96">
        <v>4</v>
      </c>
      <c r="K18" s="97">
        <v>5</v>
      </c>
    </row>
    <row r="19" spans="2:15" x14ac:dyDescent="0.2">
      <c r="B19" s="66">
        <v>271</v>
      </c>
      <c r="C19" s="98" t="str">
        <f>VLOOKUP( $B19, T_Aop[], 5, 1)</f>
        <v>1.</v>
      </c>
      <c r="D19" s="479" t="str">
        <f>VLOOKUP( $B19, T_Aop[], 6, 1)</f>
        <v>A. TOKOVI GOTOVINE IZ POSLOVNIH AKTIVNOSTI</v>
      </c>
      <c r="E19" s="479"/>
      <c r="F19" s="479"/>
      <c r="G19" s="479"/>
      <c r="H19" s="479"/>
      <c r="I19" s="111">
        <f>VLOOKUP( $B19, T_Aop[], 4, 1)</f>
        <v>0</v>
      </c>
      <c r="J19" s="112"/>
      <c r="K19" s="113"/>
      <c r="O19" s="29"/>
    </row>
    <row r="20" spans="2:15" x14ac:dyDescent="0.2">
      <c r="B20" s="66">
        <v>272</v>
      </c>
      <c r="C20" s="82" t="str">
        <f>VLOOKUP( $B20, T_Aop[], 5, 1)</f>
        <v>2.</v>
      </c>
      <c r="D20" s="464" t="str">
        <f>VLOOKUP( $B20, T_Aop[], 6, 1)</f>
        <v xml:space="preserve">  I - PRILIVI GOTOVINE IZ POSLOVNIH AKTIVNOSTI (502 do 504)</v>
      </c>
      <c r="E20" s="464"/>
      <c r="F20" s="464"/>
      <c r="G20" s="464"/>
      <c r="H20" s="464"/>
      <c r="I20" s="83">
        <f>VLOOKUP( $B20, T_Aop[], 4, 1)</f>
        <v>501</v>
      </c>
      <c r="J20" s="84">
        <f>SUBTOTAL( 9, J21:J23)</f>
        <v>14139939</v>
      </c>
      <c r="K20" s="85">
        <f>SUBTOTAL( 9, K21:K23)</f>
        <v>13372236</v>
      </c>
      <c r="O20" s="29"/>
    </row>
    <row r="21" spans="2:15" x14ac:dyDescent="0.2">
      <c r="B21" s="66">
        <v>273</v>
      </c>
      <c r="C21" s="86" t="str">
        <f>VLOOKUP( $B21, T_Aop[], 5, 1)</f>
        <v>3.</v>
      </c>
      <c r="D21" s="458" t="str">
        <f>VLOOKUP( $B21, T_Aop[], 6, 1)</f>
        <v xml:space="preserve">    1. Prilivi od kupaca i primljeni avansi</v>
      </c>
      <c r="E21" s="458"/>
      <c r="F21" s="458"/>
      <c r="G21" s="458"/>
      <c r="H21" s="458"/>
      <c r="I21" s="114">
        <f>VLOOKUP( $B21, T_Aop[], 4, 1)</f>
        <v>502</v>
      </c>
      <c r="J21" s="217">
        <v>9454597</v>
      </c>
      <c r="K21" s="218">
        <v>6881189</v>
      </c>
      <c r="O21" s="29"/>
    </row>
    <row r="22" spans="2:15" x14ac:dyDescent="0.2">
      <c r="B22" s="66">
        <v>274</v>
      </c>
      <c r="C22" s="82" t="str">
        <f>VLOOKUP( $B22, T_Aop[], 5, 1)</f>
        <v>4.</v>
      </c>
      <c r="D22" s="465" t="str">
        <f>VLOOKUP( $B22, T_Aop[], 6, 1)</f>
        <v xml:space="preserve">    2. Prilivi od premija, subvencija, dotacija i sl.</v>
      </c>
      <c r="E22" s="465"/>
      <c r="F22" s="465"/>
      <c r="G22" s="465"/>
      <c r="H22" s="465"/>
      <c r="I22" s="83">
        <f>VLOOKUP( $B22, T_Aop[], 4, 1)</f>
        <v>503</v>
      </c>
      <c r="J22" s="215">
        <v>4166667</v>
      </c>
      <c r="K22" s="216">
        <v>6250000</v>
      </c>
      <c r="O22" s="29"/>
    </row>
    <row r="23" spans="2:15" x14ac:dyDescent="0.2">
      <c r="B23" s="66">
        <v>275</v>
      </c>
      <c r="C23" s="86" t="str">
        <f>VLOOKUP( $B23, T_Aop[], 5, 1)</f>
        <v>5.</v>
      </c>
      <c r="D23" s="458" t="str">
        <f>VLOOKUP( $B23, T_Aop[], 6, 1)</f>
        <v xml:space="preserve">    3. Ostali prilivi iz poslovnih aktivnosti</v>
      </c>
      <c r="E23" s="458"/>
      <c r="F23" s="458"/>
      <c r="G23" s="458"/>
      <c r="H23" s="458"/>
      <c r="I23" s="114">
        <f>VLOOKUP( $B23, T_Aop[], 4, 1)</f>
        <v>504</v>
      </c>
      <c r="J23" s="219">
        <v>518675</v>
      </c>
      <c r="K23" s="220">
        <v>241047</v>
      </c>
      <c r="O23" s="29"/>
    </row>
    <row r="24" spans="2:15" x14ac:dyDescent="0.2">
      <c r="B24" s="66">
        <v>276</v>
      </c>
      <c r="C24" s="82" t="str">
        <f>VLOOKUP( $B24, T_Aop[], 5, 1)</f>
        <v>6.</v>
      </c>
      <c r="D24" s="464" t="str">
        <f>VLOOKUP( $B24, T_Aop[], 6, 1)</f>
        <v xml:space="preserve">  II - ODLIVI GOTOVINE IZ POSLOVNIH AKTIVNOSTI (506 do 510)</v>
      </c>
      <c r="E24" s="464"/>
      <c r="F24" s="464"/>
      <c r="G24" s="464"/>
      <c r="H24" s="464"/>
      <c r="I24" s="83">
        <f>VLOOKUP( $B24, T_Aop[], 4, 1)</f>
        <v>505</v>
      </c>
      <c r="J24" s="84">
        <f>SUBTOTAL( 9, J25:J29)</f>
        <v>15341679</v>
      </c>
      <c r="K24" s="85">
        <f>SUBTOTAL( 9, K25:K29)</f>
        <v>14910842</v>
      </c>
      <c r="O24" s="29"/>
    </row>
    <row r="25" spans="2:15" x14ac:dyDescent="0.2">
      <c r="B25" s="66">
        <v>277</v>
      </c>
      <c r="C25" s="86" t="str">
        <f>VLOOKUP( $B25, T_Aop[], 5, 1)</f>
        <v>7.</v>
      </c>
      <c r="D25" s="458" t="str">
        <f>VLOOKUP( $B25, T_Aop[], 6, 1)</f>
        <v xml:space="preserve">    1. Odlivi po osnovu isplata dobavljačima i dati avansi</v>
      </c>
      <c r="E25" s="458"/>
      <c r="F25" s="458"/>
      <c r="G25" s="458"/>
      <c r="H25" s="458"/>
      <c r="I25" s="114">
        <f>VLOOKUP( $B25, T_Aop[], 4, 1)</f>
        <v>506</v>
      </c>
      <c r="J25" s="217">
        <v>3911472</v>
      </c>
      <c r="K25" s="218">
        <v>2958056</v>
      </c>
      <c r="O25" s="29"/>
    </row>
    <row r="26" spans="2:15" x14ac:dyDescent="0.2">
      <c r="B26" s="66">
        <v>278</v>
      </c>
      <c r="C26" s="82" t="str">
        <f>VLOOKUP( $B26, T_Aop[], 5, 1)</f>
        <v>8.</v>
      </c>
      <c r="D26" s="465" t="str">
        <f>VLOOKUP( $B26, T_Aop[], 6, 1)</f>
        <v xml:space="preserve">    2. Odlivi po osnovu isplata zarada, naknada zarada i ostalih ličnih rashoda</v>
      </c>
      <c r="E26" s="465"/>
      <c r="F26" s="465"/>
      <c r="G26" s="465"/>
      <c r="H26" s="465"/>
      <c r="I26" s="83">
        <f>VLOOKUP( $B26, T_Aop[], 4, 1)</f>
        <v>507</v>
      </c>
      <c r="J26" s="215">
        <v>10209931</v>
      </c>
      <c r="K26" s="216">
        <v>10952811</v>
      </c>
      <c r="O26" s="29"/>
    </row>
    <row r="27" spans="2:15" x14ac:dyDescent="0.2">
      <c r="B27" s="66">
        <v>279</v>
      </c>
      <c r="C27" s="86" t="str">
        <f>VLOOKUP( $B27, T_Aop[], 5, 1)</f>
        <v>9.</v>
      </c>
      <c r="D27" s="458" t="str">
        <f>VLOOKUP( $B27, T_Aop[], 6, 1)</f>
        <v xml:space="preserve">    3. Odlivi po osnovu plaćenih kamata</v>
      </c>
      <c r="E27" s="458"/>
      <c r="F27" s="458"/>
      <c r="G27" s="458"/>
      <c r="H27" s="458"/>
      <c r="I27" s="114">
        <f>VLOOKUP( $B27, T_Aop[], 4, 1)</f>
        <v>508</v>
      </c>
      <c r="J27" s="217">
        <v>22418</v>
      </c>
      <c r="K27" s="218">
        <v>5391</v>
      </c>
      <c r="O27" s="29"/>
    </row>
    <row r="28" spans="2:15" x14ac:dyDescent="0.2">
      <c r="B28" s="66">
        <v>280</v>
      </c>
      <c r="C28" s="82" t="str">
        <f>VLOOKUP( $B28, T_Aop[], 5, 1)</f>
        <v>10.</v>
      </c>
      <c r="D28" s="465" t="str">
        <f>VLOOKUP( $B28, T_Aop[], 6, 1)</f>
        <v xml:space="preserve">    4. Odlivi po osnovu poreza na dobit</v>
      </c>
      <c r="E28" s="465"/>
      <c r="F28" s="465"/>
      <c r="G28" s="465"/>
      <c r="H28" s="465"/>
      <c r="I28" s="83">
        <f>VLOOKUP( $B28, T_Aop[], 4, 1)</f>
        <v>509</v>
      </c>
      <c r="J28" s="215"/>
      <c r="K28" s="216"/>
      <c r="O28" s="29"/>
    </row>
    <row r="29" spans="2:15" x14ac:dyDescent="0.2">
      <c r="B29" s="66">
        <v>281</v>
      </c>
      <c r="C29" s="86" t="str">
        <f>VLOOKUP( $B29, T_Aop[], 5, 1)</f>
        <v>11.</v>
      </c>
      <c r="D29" s="458" t="str">
        <f>VLOOKUP( $B29, T_Aop[], 6, 1)</f>
        <v xml:space="preserve">    5. Ostali odlivi iz poslovnih aktivnosti</v>
      </c>
      <c r="E29" s="458"/>
      <c r="F29" s="458"/>
      <c r="G29" s="458"/>
      <c r="H29" s="458"/>
      <c r="I29" s="114">
        <f>VLOOKUP( $B29, T_Aop[], 4, 1)</f>
        <v>510</v>
      </c>
      <c r="J29" s="217">
        <v>1197858</v>
      </c>
      <c r="K29" s="218">
        <v>994584</v>
      </c>
      <c r="O29" s="29"/>
    </row>
    <row r="30" spans="2:15" x14ac:dyDescent="0.2">
      <c r="B30" s="66">
        <v>282</v>
      </c>
      <c r="C30" s="82" t="str">
        <f>VLOOKUP( $B30, T_Aop[], 5, 1)</f>
        <v>12.</v>
      </c>
      <c r="D30" s="464" t="str">
        <f>VLOOKUP( $B30, T_Aop[], 6, 1)</f>
        <v xml:space="preserve">  III - NETO PRILIV GOTOVINE IZ POSLOVNIH AKTIVNOSTI (501 - 505)</v>
      </c>
      <c r="E30" s="464"/>
      <c r="F30" s="464"/>
      <c r="G30" s="464"/>
      <c r="H30" s="464"/>
      <c r="I30" s="83">
        <f>VLOOKUP( $B30, T_Aop[], 4, 1)</f>
        <v>511</v>
      </c>
      <c r="J30" s="84">
        <f>IF( SUBTOTAL( 9, J20:J23) - SUBTOTAL( 9, J24:J29) &lt;= 0, 0, ABS( SUBTOTAL( 9, J20:J23) - SUBTOTAL( 9, J24:J29)) )</f>
        <v>0</v>
      </c>
      <c r="K30" s="85">
        <f>IF( SUBTOTAL( 9, K20:K23) - SUBTOTAL( 9, K24:K29) &lt;= 0, 0, ABS( SUBTOTAL( 9, K20:K23) - SUBTOTAL( 9, K24:K29)) )</f>
        <v>0</v>
      </c>
      <c r="O30" s="29"/>
    </row>
    <row r="31" spans="2:15" x14ac:dyDescent="0.2">
      <c r="B31" s="66">
        <v>283</v>
      </c>
      <c r="C31" s="86" t="str">
        <f>VLOOKUP( $B31, T_Aop[], 5, 1)</f>
        <v>13.</v>
      </c>
      <c r="D31" s="469" t="str">
        <f>VLOOKUP( $B31, T_Aop[], 6, 1)</f>
        <v xml:space="preserve">  IV - NETO ODLIV GOTOVINE IZ POSLOVNIH AKTIVNOSTI (505 - 501)</v>
      </c>
      <c r="E31" s="469"/>
      <c r="F31" s="469"/>
      <c r="G31" s="469"/>
      <c r="H31" s="469"/>
      <c r="I31" s="114">
        <f>VLOOKUP( $B31, T_Aop[], 4, 1)</f>
        <v>512</v>
      </c>
      <c r="J31" s="91">
        <f>IF( SUBTOTAL( 9, J20:J23) - SUBTOTAL( 9, J24:J29) &gt;= 0, 0, ABS( SUBTOTAL( 9, J20:J23) - SUBTOTAL( 9, J24:J29)) )</f>
        <v>1201740</v>
      </c>
      <c r="K31" s="92">
        <f>IF( SUBTOTAL( 9, K20:K23) - SUBTOTAL( 9, K24:K29) &gt;= 0, 0, ABS( SUBTOTAL( 9, K20:K23) - SUBTOTAL( 9, K24:K29)) )</f>
        <v>1538606</v>
      </c>
      <c r="O31" s="29"/>
    </row>
    <row r="32" spans="2:15" x14ac:dyDescent="0.2">
      <c r="B32" s="66">
        <v>284</v>
      </c>
      <c r="C32" s="82" t="str">
        <f>VLOOKUP( $B32, T_Aop[], 5, 1)</f>
        <v>14.</v>
      </c>
      <c r="D32" s="464" t="str">
        <f>VLOOKUP( $B32, T_Aop[], 6, 1)</f>
        <v>B. TOKOVI GOTOVINE IZ AKTIVNOSTI INVESTIRANJA</v>
      </c>
      <c r="E32" s="464"/>
      <c r="F32" s="464"/>
      <c r="G32" s="464"/>
      <c r="H32" s="464"/>
      <c r="I32" s="83">
        <f>VLOOKUP( $B32, T_Aop[], 4, 1)</f>
        <v>0</v>
      </c>
      <c r="J32" s="204"/>
      <c r="K32" s="206"/>
      <c r="O32" s="29"/>
    </row>
    <row r="33" spans="2:15" x14ac:dyDescent="0.2">
      <c r="B33" s="66">
        <v>285</v>
      </c>
      <c r="C33" s="86" t="str">
        <f>VLOOKUP( $B33, T_Aop[], 5, 1)</f>
        <v>15.</v>
      </c>
      <c r="D33" s="469" t="str">
        <f>VLOOKUP( $B33, T_Aop[], 6, 1)</f>
        <v xml:space="preserve">  I - PRILIVI GOTOVINE IZ AKTIVNOSTI INVESTIRANJA (514 do 519)</v>
      </c>
      <c r="E33" s="469"/>
      <c r="F33" s="469"/>
      <c r="G33" s="469"/>
      <c r="H33" s="469"/>
      <c r="I33" s="114">
        <f>VLOOKUP( $B33, T_Aop[], 4, 1)</f>
        <v>513</v>
      </c>
      <c r="J33" s="91">
        <f>SUBTOTAL( 9, J34:J39)</f>
        <v>0</v>
      </c>
      <c r="K33" s="92">
        <f>SUBTOTAL( 9, K34:K39)</f>
        <v>0</v>
      </c>
      <c r="O33" s="29"/>
    </row>
    <row r="34" spans="2:15" x14ac:dyDescent="0.2">
      <c r="B34" s="66">
        <v>286</v>
      </c>
      <c r="C34" s="82" t="str">
        <f>VLOOKUP( $B34, T_Aop[], 5, 1)</f>
        <v>16.</v>
      </c>
      <c r="D34" s="465" t="str">
        <f>VLOOKUP( $B34, T_Aop[], 6, 1)</f>
        <v xml:space="preserve">    1. Prilivi po osnovu kratkoročnih finansijskih plasmana</v>
      </c>
      <c r="E34" s="465"/>
      <c r="F34" s="465"/>
      <c r="G34" s="465"/>
      <c r="H34" s="465"/>
      <c r="I34" s="83">
        <f>VLOOKUP( $B34, T_Aop[], 4, 1)</f>
        <v>514</v>
      </c>
      <c r="J34" s="215"/>
      <c r="K34" s="216"/>
      <c r="O34" s="29"/>
    </row>
    <row r="35" spans="2:15" x14ac:dyDescent="0.2">
      <c r="B35" s="66">
        <v>287</v>
      </c>
      <c r="C35" s="86" t="str">
        <f>VLOOKUP( $B35, T_Aop[], 5, 1)</f>
        <v>17.</v>
      </c>
      <c r="D35" s="458" t="str">
        <f>VLOOKUP( $B35, T_Aop[], 6, 1)</f>
        <v xml:space="preserve">    2. Prilivi po osnovu prodaje akcija i udjela</v>
      </c>
      <c r="E35" s="458"/>
      <c r="F35" s="458"/>
      <c r="G35" s="458"/>
      <c r="H35" s="458"/>
      <c r="I35" s="114">
        <f>VLOOKUP( $B35, T_Aop[], 4, 1)</f>
        <v>515</v>
      </c>
      <c r="J35" s="219"/>
      <c r="K35" s="220"/>
      <c r="O35" s="29"/>
    </row>
    <row r="36" spans="2:15" ht="25.5" x14ac:dyDescent="0.2">
      <c r="B36" s="66">
        <v>288</v>
      </c>
      <c r="C36" s="82" t="str">
        <f>VLOOKUP( $B36, T_Aop[], 5, 1)</f>
        <v>18.</v>
      </c>
      <c r="D36" s="465" t="str">
        <f>VLOOKUP( $B36, T_Aop[], 6, 1)</f>
        <v xml:space="preserve">    3. Prilivi po osnovu prodaje nematerijalnih sredstava, nekretnina, postrojenja, opreme, investicionih nekretnina i bioloških sredstava</v>
      </c>
      <c r="E36" s="465"/>
      <c r="F36" s="465"/>
      <c r="G36" s="465"/>
      <c r="H36" s="465"/>
      <c r="I36" s="83">
        <f>VLOOKUP( $B36, T_Aop[], 4, 1)</f>
        <v>516</v>
      </c>
      <c r="J36" s="215"/>
      <c r="K36" s="216"/>
      <c r="O36" s="184" t="s">
        <v>625</v>
      </c>
    </row>
    <row r="37" spans="2:15" x14ac:dyDescent="0.2">
      <c r="B37" s="66">
        <v>289</v>
      </c>
      <c r="C37" s="86" t="str">
        <f>VLOOKUP( $B37, T_Aop[], 5, 1)</f>
        <v>19.</v>
      </c>
      <c r="D37" s="458" t="str">
        <f>VLOOKUP( $B37, T_Aop[], 6, 1)</f>
        <v xml:space="preserve">    4. Prilivi po osnovu kamata</v>
      </c>
      <c r="E37" s="458"/>
      <c r="F37" s="458"/>
      <c r="G37" s="458"/>
      <c r="H37" s="458"/>
      <c r="I37" s="114">
        <f>VLOOKUP( $B37, T_Aop[], 4, 1)</f>
        <v>517</v>
      </c>
      <c r="J37" s="219"/>
      <c r="K37" s="220"/>
      <c r="O37" s="29"/>
    </row>
    <row r="38" spans="2:15" x14ac:dyDescent="0.2">
      <c r="B38" s="66">
        <v>290</v>
      </c>
      <c r="C38" s="82" t="str">
        <f>VLOOKUP( $B38, T_Aop[], 5, 1)</f>
        <v>20.</v>
      </c>
      <c r="D38" s="465" t="str">
        <f>VLOOKUP( $B38, T_Aop[], 6, 1)</f>
        <v xml:space="preserve">    5. Prilivi od dividendi i učešća u dobitku</v>
      </c>
      <c r="E38" s="465"/>
      <c r="F38" s="465"/>
      <c r="G38" s="465"/>
      <c r="H38" s="465"/>
      <c r="I38" s="83">
        <f>VLOOKUP( $B38, T_Aop[], 4, 1)</f>
        <v>518</v>
      </c>
      <c r="J38" s="215"/>
      <c r="K38" s="216"/>
      <c r="O38" s="29"/>
    </row>
    <row r="39" spans="2:15" x14ac:dyDescent="0.2">
      <c r="B39" s="66">
        <v>291</v>
      </c>
      <c r="C39" s="86" t="str">
        <f>VLOOKUP( $B39, T_Aop[], 5, 1)</f>
        <v>21.</v>
      </c>
      <c r="D39" s="458" t="str">
        <f>VLOOKUP( $B39, T_Aop[], 6, 1)</f>
        <v xml:space="preserve">    6. Prilivi po osnovu ostalih dugoročnih finansijskih plasmana</v>
      </c>
      <c r="E39" s="458"/>
      <c r="F39" s="458"/>
      <c r="G39" s="458"/>
      <c r="H39" s="458"/>
      <c r="I39" s="114">
        <f>VLOOKUP( $B39, T_Aop[], 4, 1)</f>
        <v>519</v>
      </c>
      <c r="J39" s="219"/>
      <c r="K39" s="220"/>
      <c r="O39" s="29"/>
    </row>
    <row r="40" spans="2:15" x14ac:dyDescent="0.2">
      <c r="B40" s="66">
        <v>292</v>
      </c>
      <c r="C40" s="82" t="str">
        <f>VLOOKUP( $B40, T_Aop[], 5, 1)</f>
        <v>22.</v>
      </c>
      <c r="D40" s="464" t="str">
        <f>VLOOKUP( $B40, T_Aop[], 6, 1)</f>
        <v xml:space="preserve">  II - ODLIVI GOTOVINE IZ AKTIVNOSTI INVESTIRANJA (521 do 524)</v>
      </c>
      <c r="E40" s="464"/>
      <c r="F40" s="464"/>
      <c r="G40" s="464"/>
      <c r="H40" s="464"/>
      <c r="I40" s="83">
        <f>VLOOKUP( $B40, T_Aop[], 4, 1)</f>
        <v>520</v>
      </c>
      <c r="J40" s="84">
        <f>SUBTOTAL( 9, J41:J44)</f>
        <v>0</v>
      </c>
      <c r="K40" s="85">
        <f>SUBTOTAL( 9, K41:K44)</f>
        <v>0</v>
      </c>
      <c r="O40" s="29"/>
    </row>
    <row r="41" spans="2:15" x14ac:dyDescent="0.2">
      <c r="B41" s="66">
        <v>293</v>
      </c>
      <c r="C41" s="86" t="str">
        <f>VLOOKUP( $B41, T_Aop[], 5, 1)</f>
        <v>23.</v>
      </c>
      <c r="D41" s="458" t="str">
        <f>VLOOKUP( $B41, T_Aop[], 6, 1)</f>
        <v xml:space="preserve">    1. Odlivi po osnovu kratkoročnih finansijskih plasmana</v>
      </c>
      <c r="E41" s="458"/>
      <c r="F41" s="458"/>
      <c r="G41" s="458"/>
      <c r="H41" s="458"/>
      <c r="I41" s="114">
        <f>VLOOKUP( $B41, T_Aop[], 4, 1)</f>
        <v>521</v>
      </c>
      <c r="J41" s="219"/>
      <c r="K41" s="220"/>
      <c r="O41" s="29"/>
    </row>
    <row r="42" spans="2:15" x14ac:dyDescent="0.2">
      <c r="B42" s="66">
        <v>294</v>
      </c>
      <c r="C42" s="82" t="str">
        <f>VLOOKUP( $B42, T_Aop[], 5, 1)</f>
        <v>24.</v>
      </c>
      <c r="D42" s="465" t="str">
        <f>VLOOKUP( $B42, T_Aop[], 6, 1)</f>
        <v xml:space="preserve">    2. Odlivi po osnovu kupovine akcija i udjela</v>
      </c>
      <c r="E42" s="465"/>
      <c r="F42" s="465"/>
      <c r="G42" s="465"/>
      <c r="H42" s="465"/>
      <c r="I42" s="83">
        <f>VLOOKUP( $B42, T_Aop[], 4, 1)</f>
        <v>522</v>
      </c>
      <c r="J42" s="215"/>
      <c r="K42" s="216"/>
      <c r="O42" s="29"/>
    </row>
    <row r="43" spans="2:15" ht="25.5" x14ac:dyDescent="0.2">
      <c r="B43" s="66">
        <v>295</v>
      </c>
      <c r="C43" s="86" t="str">
        <f>VLOOKUP( $B43, T_Aop[], 5, 1)</f>
        <v>25.</v>
      </c>
      <c r="D43" s="458" t="str">
        <f>VLOOKUP( $B43, T_Aop[], 6, 1)</f>
        <v xml:space="preserve">    3. Odlivi po osnovu kupovine nematerijalnih sredstava, nekretnina, postrojenja, opreme, investicionih nekretnina i bioloških sredstava</v>
      </c>
      <c r="E43" s="458"/>
      <c r="F43" s="458"/>
      <c r="G43" s="458"/>
      <c r="H43" s="458"/>
      <c r="I43" s="114">
        <f>VLOOKUP( $B43, T_Aop[], 4, 1)</f>
        <v>523</v>
      </c>
      <c r="J43" s="219"/>
      <c r="K43" s="220"/>
      <c r="O43" s="184" t="s">
        <v>625</v>
      </c>
    </row>
    <row r="44" spans="2:15" x14ac:dyDescent="0.2">
      <c r="B44" s="66">
        <v>296</v>
      </c>
      <c r="C44" s="82" t="str">
        <f>VLOOKUP( $B44, T_Aop[], 5, 1)</f>
        <v>26.</v>
      </c>
      <c r="D44" s="465" t="str">
        <f>VLOOKUP( $B44, T_Aop[], 6, 1)</f>
        <v xml:space="preserve">    4. Odlivi po osnovu ostalih dugoročnih finansijskih plasmana</v>
      </c>
      <c r="E44" s="465"/>
      <c r="F44" s="465"/>
      <c r="G44" s="465"/>
      <c r="H44" s="465"/>
      <c r="I44" s="83">
        <f>VLOOKUP( $B44, T_Aop[], 4, 1)</f>
        <v>524</v>
      </c>
      <c r="J44" s="215"/>
      <c r="K44" s="216"/>
      <c r="O44" s="29"/>
    </row>
    <row r="45" spans="2:15" x14ac:dyDescent="0.2">
      <c r="B45" s="66">
        <v>297</v>
      </c>
      <c r="C45" s="86" t="str">
        <f>VLOOKUP( $B45, T_Aop[], 5, 1)</f>
        <v>27.</v>
      </c>
      <c r="D45" s="469" t="str">
        <f>VLOOKUP( $B45, T_Aop[], 6, 1)</f>
        <v xml:space="preserve">  III - NETO PRILIV GOTOVINE IZ AKTIVNOSTI INVESTIRANJA (513 - 520)</v>
      </c>
      <c r="E45" s="469"/>
      <c r="F45" s="469"/>
      <c r="G45" s="469"/>
      <c r="H45" s="469"/>
      <c r="I45" s="114">
        <f>VLOOKUP( $B45, T_Aop[], 4, 1)</f>
        <v>525</v>
      </c>
      <c r="J45" s="91">
        <f>IF( SUBTOTAL( 9, J33:J39) - SUBTOTAL( 9, J40:J44) &lt;= 0, 0, ABS( SUBTOTAL( 9, J33:J39) - SUBTOTAL( 9, J40:J44)) )</f>
        <v>0</v>
      </c>
      <c r="K45" s="92">
        <f>IF( SUBTOTAL( 9, K33:K39) - SUBTOTAL( 9, K40:K44) &lt;= 0, 0, ABS( SUBTOTAL( 9, K33:K39) - SUBTOTAL( 9, K40:K44)) )</f>
        <v>0</v>
      </c>
      <c r="O45" s="29"/>
    </row>
    <row r="46" spans="2:15" x14ac:dyDescent="0.2">
      <c r="B46" s="66">
        <v>298</v>
      </c>
      <c r="C46" s="82" t="str">
        <f>VLOOKUP( $B46, T_Aop[], 5, 1)</f>
        <v>28.</v>
      </c>
      <c r="D46" s="464" t="str">
        <f>VLOOKUP( $B46, T_Aop[], 6, 1)</f>
        <v xml:space="preserve">  IV - NETO ODLIV GOTOVINE IZ AKTIVNOSTI INVESTIRANJA (520 - 513)</v>
      </c>
      <c r="E46" s="464"/>
      <c r="F46" s="464"/>
      <c r="G46" s="464"/>
      <c r="H46" s="464"/>
      <c r="I46" s="83">
        <f>VLOOKUP( $B46, T_Aop[], 4, 1)</f>
        <v>526</v>
      </c>
      <c r="J46" s="84">
        <f>IF( SUBTOTAL( 9, J33:J39) - SUBTOTAL( 9, J40:J44) &gt;= 0, 0, ABS( SUBTOTAL( 9, J33:J39) - SUBTOTAL( 9, J40:J44)) )</f>
        <v>0</v>
      </c>
      <c r="K46" s="85">
        <f>IF( SUBTOTAL( 9, K33:K39) - SUBTOTAL( 9, K40:K44) &gt;= 0, 0, ABS( SUBTOTAL( 9, K33:K39) - SUBTOTAL( 9, K40:K44)) )</f>
        <v>0</v>
      </c>
      <c r="O46" s="29"/>
    </row>
    <row r="47" spans="2:15" x14ac:dyDescent="0.2">
      <c r="B47" s="66">
        <v>299</v>
      </c>
      <c r="C47" s="86" t="str">
        <f>VLOOKUP( $B47, T_Aop[], 5, 1)</f>
        <v>29.</v>
      </c>
      <c r="D47" s="469" t="str">
        <f>VLOOKUP( $B47, T_Aop[], 6, 1)</f>
        <v>V. TOKOVI GOTOVINE IZ AKTIVNOSTI FINANSIRANJA</v>
      </c>
      <c r="E47" s="469"/>
      <c r="F47" s="469"/>
      <c r="G47" s="469"/>
      <c r="H47" s="469"/>
      <c r="I47" s="114">
        <f>VLOOKUP( $B47, T_Aop[], 4, 1)</f>
        <v>0</v>
      </c>
      <c r="J47" s="91"/>
      <c r="K47" s="92"/>
      <c r="O47" s="29"/>
    </row>
    <row r="48" spans="2:15" x14ac:dyDescent="0.2">
      <c r="B48" s="66">
        <v>300</v>
      </c>
      <c r="C48" s="82" t="str">
        <f>VLOOKUP( $B48, T_Aop[], 5, 1)</f>
        <v>30.</v>
      </c>
      <c r="D48" s="464" t="str">
        <f>VLOOKUP( $B48, T_Aop[], 6, 1)</f>
        <v xml:space="preserve">  I - PRILIV GOTOVINE IZ AKTIVNOSTI FINANSIRANJA (528 do 531)</v>
      </c>
      <c r="E48" s="464"/>
      <c r="F48" s="464"/>
      <c r="G48" s="464"/>
      <c r="H48" s="464"/>
      <c r="I48" s="83">
        <f>VLOOKUP( $B48, T_Aop[], 4, 1)</f>
        <v>527</v>
      </c>
      <c r="J48" s="84">
        <f>SUBTOTAL( 9, J49:J52)</f>
        <v>0</v>
      </c>
      <c r="K48" s="85">
        <f>SUBTOTAL( 9, K49:K52)</f>
        <v>0</v>
      </c>
      <c r="O48" s="29"/>
    </row>
    <row r="49" spans="2:15" x14ac:dyDescent="0.2">
      <c r="B49" s="66">
        <v>301</v>
      </c>
      <c r="C49" s="86" t="str">
        <f>VLOOKUP( $B49, T_Aop[], 5, 1)</f>
        <v>31.</v>
      </c>
      <c r="D49" s="458" t="str">
        <f>VLOOKUP( $B49, T_Aop[], 6, 1)</f>
        <v xml:space="preserve">    1. Prilivi po osnovu povećanja osnovnog kapitala</v>
      </c>
      <c r="E49" s="458"/>
      <c r="F49" s="458"/>
      <c r="G49" s="458"/>
      <c r="H49" s="458"/>
      <c r="I49" s="114">
        <f>VLOOKUP( $B49, T_Aop[], 4, 1)</f>
        <v>528</v>
      </c>
      <c r="J49" s="219"/>
      <c r="K49" s="220"/>
      <c r="O49" s="29"/>
    </row>
    <row r="50" spans="2:15" x14ac:dyDescent="0.2">
      <c r="B50" s="66">
        <v>302</v>
      </c>
      <c r="C50" s="82" t="str">
        <f>VLOOKUP( $B50, T_Aop[], 5, 1)</f>
        <v>32.</v>
      </c>
      <c r="D50" s="465" t="str">
        <f>VLOOKUP( $B50, T_Aop[], 6, 1)</f>
        <v xml:space="preserve">    2. Prilivi po osnovu dugoročnih kredita</v>
      </c>
      <c r="E50" s="465"/>
      <c r="F50" s="465"/>
      <c r="G50" s="465"/>
      <c r="H50" s="465"/>
      <c r="I50" s="83">
        <f>VLOOKUP( $B50, T_Aop[], 4, 1)</f>
        <v>529</v>
      </c>
      <c r="J50" s="215"/>
      <c r="K50" s="216"/>
      <c r="O50" s="29"/>
    </row>
    <row r="51" spans="2:15" x14ac:dyDescent="0.2">
      <c r="B51" s="66">
        <v>303</v>
      </c>
      <c r="C51" s="86" t="str">
        <f>VLOOKUP( $B51, T_Aop[], 5, 1)</f>
        <v>33.</v>
      </c>
      <c r="D51" s="458" t="str">
        <f>VLOOKUP( $B51, T_Aop[], 6, 1)</f>
        <v xml:space="preserve">    3. Prilivi po osnovu kratkoročnih kredita</v>
      </c>
      <c r="E51" s="458"/>
      <c r="F51" s="458"/>
      <c r="G51" s="458"/>
      <c r="H51" s="458"/>
      <c r="I51" s="114">
        <f>VLOOKUP( $B51, T_Aop[], 4, 1)</f>
        <v>530</v>
      </c>
      <c r="J51" s="219"/>
      <c r="K51" s="220"/>
      <c r="O51" s="29"/>
    </row>
    <row r="52" spans="2:15" x14ac:dyDescent="0.2">
      <c r="B52" s="66">
        <v>304</v>
      </c>
      <c r="C52" s="82" t="str">
        <f>VLOOKUP( $B52, T_Aop[], 5, 1)</f>
        <v>34.</v>
      </c>
      <c r="D52" s="465" t="str">
        <f>VLOOKUP( $B52, T_Aop[], 6, 1)</f>
        <v xml:space="preserve">    4. Prilivi po osnovu ostalih dugoročnih i kratkoročnih obaveza</v>
      </c>
      <c r="E52" s="465"/>
      <c r="F52" s="465"/>
      <c r="G52" s="465"/>
      <c r="H52" s="465"/>
      <c r="I52" s="83">
        <f>VLOOKUP( $B52, T_Aop[], 4, 1)</f>
        <v>531</v>
      </c>
      <c r="J52" s="215"/>
      <c r="K52" s="216"/>
      <c r="O52" s="29"/>
    </row>
    <row r="53" spans="2:15" x14ac:dyDescent="0.2">
      <c r="B53" s="66">
        <v>305</v>
      </c>
      <c r="C53" s="86" t="str">
        <f>VLOOKUP( $B53, T_Aop[], 5, 1)</f>
        <v>35.</v>
      </c>
      <c r="D53" s="469" t="str">
        <f>VLOOKUP( $B53, T_Aop[], 6, 1)</f>
        <v xml:space="preserve">  II - ODLIVI GOTOVINE IZ AKTIVNOSTI FINANSIRANJA (533 do 538)</v>
      </c>
      <c r="E53" s="469"/>
      <c r="F53" s="469"/>
      <c r="G53" s="469"/>
      <c r="H53" s="469"/>
      <c r="I53" s="114">
        <f>VLOOKUP( $B53, T_Aop[], 4, 1)</f>
        <v>532</v>
      </c>
      <c r="J53" s="88">
        <f>SUBTOTAL( 9, J54:J59)</f>
        <v>34559</v>
      </c>
      <c r="K53" s="89">
        <f>SUBTOTAL( 9, K54:K59)</f>
        <v>31448</v>
      </c>
      <c r="O53" s="29"/>
    </row>
    <row r="54" spans="2:15" x14ac:dyDescent="0.2">
      <c r="B54" s="66">
        <v>306</v>
      </c>
      <c r="C54" s="82" t="str">
        <f>VLOOKUP( $B54, T_Aop[], 5, 1)</f>
        <v>36.</v>
      </c>
      <c r="D54" s="465" t="str">
        <f>VLOOKUP( $B54, T_Aop[], 6, 1)</f>
        <v xml:space="preserve">    1. Odlivi po osnovu otkupa sopstvenih akcija i udjela</v>
      </c>
      <c r="E54" s="465"/>
      <c r="F54" s="465"/>
      <c r="G54" s="465"/>
      <c r="H54" s="465"/>
      <c r="I54" s="83">
        <f>VLOOKUP( $B54, T_Aop[], 4, 1)</f>
        <v>533</v>
      </c>
      <c r="J54" s="215"/>
      <c r="K54" s="216"/>
      <c r="O54" s="29"/>
    </row>
    <row r="55" spans="2:15" x14ac:dyDescent="0.2">
      <c r="B55" s="66">
        <v>307</v>
      </c>
      <c r="C55" s="86" t="str">
        <f>VLOOKUP( $B55, T_Aop[], 5, 1)</f>
        <v>37.</v>
      </c>
      <c r="D55" s="458" t="str">
        <f>VLOOKUP( $B55, T_Aop[], 6, 1)</f>
        <v xml:space="preserve">    2. Odlivi po osnovu dugoročnih kredita</v>
      </c>
      <c r="E55" s="458"/>
      <c r="F55" s="458"/>
      <c r="G55" s="458"/>
      <c r="H55" s="458"/>
      <c r="I55" s="114">
        <f>VLOOKUP( $B55, T_Aop[], 4, 1)</f>
        <v>534</v>
      </c>
      <c r="J55" s="219"/>
      <c r="K55" s="220"/>
      <c r="O55" s="29"/>
    </row>
    <row r="56" spans="2:15" x14ac:dyDescent="0.2">
      <c r="B56" s="66">
        <v>308</v>
      </c>
      <c r="C56" s="82" t="str">
        <f>VLOOKUP( $B56, T_Aop[], 5, 1)</f>
        <v>38.</v>
      </c>
      <c r="D56" s="465" t="str">
        <f>VLOOKUP( $B56, T_Aop[], 6, 1)</f>
        <v xml:space="preserve">    3. Odlivi po osnovu kratkoročnih kredita</v>
      </c>
      <c r="E56" s="465"/>
      <c r="F56" s="465"/>
      <c r="G56" s="465"/>
      <c r="H56" s="465"/>
      <c r="I56" s="83">
        <f>VLOOKUP( $B56, T_Aop[], 4, 1)</f>
        <v>535</v>
      </c>
      <c r="J56" s="215">
        <v>34559</v>
      </c>
      <c r="K56" s="216">
        <v>31448</v>
      </c>
      <c r="O56" s="29"/>
    </row>
    <row r="57" spans="2:15" x14ac:dyDescent="0.2">
      <c r="B57" s="66">
        <v>309</v>
      </c>
      <c r="C57" s="86" t="str">
        <f>VLOOKUP( $B57, T_Aop[], 5, 1)</f>
        <v>39.</v>
      </c>
      <c r="D57" s="458" t="str">
        <f>VLOOKUP( $B57, T_Aop[], 6, 1)</f>
        <v xml:space="preserve">    4. Odlivi po osnovu finansijskog lizinga</v>
      </c>
      <c r="E57" s="458"/>
      <c r="F57" s="458"/>
      <c r="G57" s="458"/>
      <c r="H57" s="458"/>
      <c r="I57" s="114">
        <f>VLOOKUP( $B57, T_Aop[], 4, 1)</f>
        <v>536</v>
      </c>
      <c r="J57" s="217"/>
      <c r="K57" s="218"/>
      <c r="O57" s="29"/>
    </row>
    <row r="58" spans="2:15" x14ac:dyDescent="0.2">
      <c r="B58" s="66">
        <v>310</v>
      </c>
      <c r="C58" s="82" t="str">
        <f>VLOOKUP( $B58, T_Aop[], 5, 1)</f>
        <v>40.</v>
      </c>
      <c r="D58" s="465" t="str">
        <f>VLOOKUP( $B58, T_Aop[], 6, 1)</f>
        <v xml:space="preserve">    5. Odlivi po osnovu isplaćenih dividendi</v>
      </c>
      <c r="E58" s="465"/>
      <c r="F58" s="465"/>
      <c r="G58" s="465"/>
      <c r="H58" s="465"/>
      <c r="I58" s="83">
        <f>VLOOKUP( $B58, T_Aop[], 4, 1)</f>
        <v>537</v>
      </c>
      <c r="J58" s="215"/>
      <c r="K58" s="216"/>
      <c r="O58" s="29"/>
    </row>
    <row r="59" spans="2:15" x14ac:dyDescent="0.2">
      <c r="B59" s="66">
        <v>311</v>
      </c>
      <c r="C59" s="86" t="str">
        <f>VLOOKUP( $B59, T_Aop[], 5, 1)</f>
        <v>41.</v>
      </c>
      <c r="D59" s="458" t="str">
        <f>VLOOKUP( $B59, T_Aop[], 6, 1)</f>
        <v xml:space="preserve">    6. Odlivi po osnovu ostalih dugoročnih i kratkoročnih obaveza</v>
      </c>
      <c r="E59" s="458"/>
      <c r="F59" s="458"/>
      <c r="G59" s="458"/>
      <c r="H59" s="458"/>
      <c r="I59" s="114">
        <f>VLOOKUP( $B59, T_Aop[], 4, 1)</f>
        <v>538</v>
      </c>
      <c r="J59" s="219"/>
      <c r="K59" s="220"/>
      <c r="O59" s="29"/>
    </row>
    <row r="60" spans="2:15" x14ac:dyDescent="0.2">
      <c r="B60" s="66">
        <v>312</v>
      </c>
      <c r="C60" s="82" t="str">
        <f>VLOOKUP( $B60, T_Aop[], 5, 1)</f>
        <v>42.</v>
      </c>
      <c r="D60" s="464" t="str">
        <f>VLOOKUP( $B60, T_Aop[], 6, 1)</f>
        <v xml:space="preserve">  III - NETO PRILIV GOTOVINE IZ AKTIVNOST FINANSIRANJA (527 - 532)</v>
      </c>
      <c r="E60" s="464"/>
      <c r="F60" s="464"/>
      <c r="G60" s="464"/>
      <c r="H60" s="464"/>
      <c r="I60" s="83">
        <f>VLOOKUP( $B60, T_Aop[], 4, 1)</f>
        <v>539</v>
      </c>
      <c r="J60" s="84">
        <f>IF( SUBTOTAL( 9, J48:J52) - SUBTOTAL( 9, J53:J59) &lt;= 0, 0, ABS( SUBTOTAL( 9, J48:J52) - SUBTOTAL( 9, J53:J59)) )</f>
        <v>0</v>
      </c>
      <c r="K60" s="85">
        <f>IF( SUBTOTAL( 9, K48:K52) - SUBTOTAL( 9, K53:K59) &lt;= 0, 0, ABS( SUBTOTAL( 9, K48:K52) - SUBTOTAL( 9, K53:K59)) )</f>
        <v>0</v>
      </c>
      <c r="O60" s="29"/>
    </row>
    <row r="61" spans="2:15" x14ac:dyDescent="0.2">
      <c r="B61" s="66">
        <v>313</v>
      </c>
      <c r="C61" s="86" t="str">
        <f>VLOOKUP( $B61, T_Aop[], 5, 1)</f>
        <v>43.</v>
      </c>
      <c r="D61" s="469" t="str">
        <f>VLOOKUP( $B61, T_Aop[], 6, 1)</f>
        <v xml:space="preserve">  IV - NETO ODLIV GOTOVINE IZ AKTIVNOSTI FINANSIRANJA (532 - 527)</v>
      </c>
      <c r="E61" s="469"/>
      <c r="F61" s="469"/>
      <c r="G61" s="469"/>
      <c r="H61" s="469"/>
      <c r="I61" s="114">
        <f>VLOOKUP( $B61, T_Aop[], 4, 1)</f>
        <v>540</v>
      </c>
      <c r="J61" s="91">
        <f>IF( SUBTOTAL( 9, J48:J52) - SUBTOTAL( 9, J53:J59) &gt;= 0, 0, ABS( SUBTOTAL( 9, J48:J52) - SUBTOTAL( 9, J53:J59)) )</f>
        <v>34559</v>
      </c>
      <c r="K61" s="92">
        <f>IF( SUBTOTAL( 9, K48:K52) - SUBTOTAL( 9, K53:K59) &gt;= 0, 0, ABS( SUBTOTAL( 9, K48:K52) - SUBTOTAL( 9, K53:K59)) )</f>
        <v>31448</v>
      </c>
      <c r="O61" s="29"/>
    </row>
    <row r="62" spans="2:15" x14ac:dyDescent="0.2">
      <c r="B62" s="66">
        <v>314</v>
      </c>
      <c r="C62" s="82" t="str">
        <f>VLOOKUP( $B62, T_Aop[], 5, 1)</f>
        <v>44.</v>
      </c>
      <c r="D62" s="464" t="str">
        <f>VLOOKUP( $B62, T_Aop[], 6, 1)</f>
        <v>G. UKUPNI PRILIVI GOTOVINE (501 + 513 + 527)</v>
      </c>
      <c r="E62" s="464"/>
      <c r="F62" s="464"/>
      <c r="G62" s="464"/>
      <c r="H62" s="464"/>
      <c r="I62" s="83">
        <f>VLOOKUP( $B62, T_Aop[], 4, 1)</f>
        <v>541</v>
      </c>
      <c r="J62" s="84">
        <f>SUBTOTAL( 9, J20:J23, J33:J39, J48:J52)</f>
        <v>14139939</v>
      </c>
      <c r="K62" s="85">
        <f>SUBTOTAL( 9, K20:K23, K33:K39, K48:K52)</f>
        <v>13372236</v>
      </c>
      <c r="O62" s="29"/>
    </row>
    <row r="63" spans="2:15" x14ac:dyDescent="0.2">
      <c r="B63" s="66">
        <v>315</v>
      </c>
      <c r="C63" s="86" t="str">
        <f>VLOOKUP( $B63, T_Aop[], 5, 1)</f>
        <v>45.</v>
      </c>
      <c r="D63" s="469" t="str">
        <f>VLOOKUP( $B63, T_Aop[], 6, 1)</f>
        <v>D. UKUPNI ODLIVI GOTOVINE (505 + 520 + 532)</v>
      </c>
      <c r="E63" s="469"/>
      <c r="F63" s="469"/>
      <c r="G63" s="469"/>
      <c r="H63" s="469"/>
      <c r="I63" s="114">
        <f>VLOOKUP( $B63, T_Aop[], 4, 1)</f>
        <v>542</v>
      </c>
      <c r="J63" s="91">
        <f>SUBTOTAL( 9, J24:J29, J40:J44, J53:J59)</f>
        <v>15376238</v>
      </c>
      <c r="K63" s="92">
        <f>SUBTOTAL( 9, K24:K29, K40:K44, K53:K59)</f>
        <v>14942290</v>
      </c>
      <c r="O63" s="29"/>
    </row>
    <row r="64" spans="2:15" x14ac:dyDescent="0.2">
      <c r="B64" s="66">
        <v>316</v>
      </c>
      <c r="C64" s="82" t="str">
        <f>VLOOKUP( $B64, T_Aop[], 5, 1)</f>
        <v>46.</v>
      </c>
      <c r="D64" s="464" t="str">
        <f>VLOOKUP( $B64, T_Aop[], 6, 1)</f>
        <v>Đ. NETO PRILIV GOTOVINE (541 - 542)</v>
      </c>
      <c r="E64" s="464"/>
      <c r="F64" s="464"/>
      <c r="G64" s="464"/>
      <c r="H64" s="464"/>
      <c r="I64" s="83">
        <f>VLOOKUP( $B64, T_Aop[], 4, 1)</f>
        <v>543</v>
      </c>
      <c r="J64" s="84">
        <f>IF( SUBTOTAL( 9, J20:J23, J33:J39, J48:J52) - SUBTOTAL( 9, J24:J29, J40:J44, J53:J59) &lt;= 0, 0, ABS( SUBTOTAL( 9, J20:J23, J33:J39, J48:J52) - SUBTOTAL( 9, J24:J29, J40:J44, J53:J59)))</f>
        <v>0</v>
      </c>
      <c r="K64" s="85">
        <f>IF( SUBTOTAL( 9, K20:K23, K33:K39, K48:K52) - SUBTOTAL( 9, K24:K29, K40:K44, K53:K59) &lt;= 0, 0, ABS( SUBTOTAL( 9, K20:K23, K33:K39, K48:K52) - SUBTOTAL( 9, K24:K29, K40:K44, K53:K59)))</f>
        <v>0</v>
      </c>
      <c r="O64" s="29"/>
    </row>
    <row r="65" spans="2:15" x14ac:dyDescent="0.2">
      <c r="B65" s="66">
        <v>317</v>
      </c>
      <c r="C65" s="86" t="str">
        <f>VLOOKUP( $B65, T_Aop[], 5, 1)</f>
        <v>47.</v>
      </c>
      <c r="D65" s="469" t="str">
        <f>VLOOKUP( $B65, T_Aop[], 6, 1)</f>
        <v>E. NETO ODLIV GOTOVINE (542 - 541)</v>
      </c>
      <c r="E65" s="469"/>
      <c r="F65" s="469"/>
      <c r="G65" s="469"/>
      <c r="H65" s="469"/>
      <c r="I65" s="114">
        <f>VLOOKUP( $B65, T_Aop[], 4, 1)</f>
        <v>544</v>
      </c>
      <c r="J65" s="91">
        <f>IF( SUBTOTAL( 9, J20:J23, J33:J39, J48:J52) - SUBTOTAL( 9, J24:J29, J40:J44, J53:J59) &gt;= 0, 0, ABS( SUBTOTAL( 9, J20:J23, J33:J39, J48:J52) - SUBTOTAL( 9, J24:J29, J40:J44, J53:J59)) )</f>
        <v>1236299</v>
      </c>
      <c r="K65" s="92">
        <f>IF( SUBTOTAL( 9, K20:K23, K33:K39, K48:K52) - SUBTOTAL( 9, K24:K29, K40:K44, K53:K59) &gt;= 0, 0, ABS( SUBTOTAL( 9, K20:K23, K33:K39, K48:K52) - SUBTOTAL( 9, K24:K29, K40:K44, K53:K59)) )</f>
        <v>1570054</v>
      </c>
      <c r="O65" s="29"/>
    </row>
    <row r="66" spans="2:15" x14ac:dyDescent="0.2">
      <c r="B66" s="66">
        <v>318</v>
      </c>
      <c r="C66" s="82" t="str">
        <f>VLOOKUP( $B66, T_Aop[], 5, 1)</f>
        <v>48.</v>
      </c>
      <c r="D66" s="464" t="str">
        <f>VLOOKUP( $B66, T_Aop[], 6, 1)</f>
        <v>Ž. GOTOVINA NA POČETKU OBRAČUNSKOG PERIODA</v>
      </c>
      <c r="E66" s="464"/>
      <c r="F66" s="464"/>
      <c r="G66" s="464"/>
      <c r="H66" s="464"/>
      <c r="I66" s="83">
        <f>VLOOKUP( $B66, T_Aop[], 4, 1)</f>
        <v>545</v>
      </c>
      <c r="J66" s="122">
        <v>20733130</v>
      </c>
      <c r="K66" s="123">
        <v>13189652</v>
      </c>
      <c r="O66" s="29"/>
    </row>
    <row r="67" spans="2:15" x14ac:dyDescent="0.2">
      <c r="B67" s="66">
        <v>319</v>
      </c>
      <c r="C67" s="86" t="str">
        <f>VLOOKUP( $B67, T_Aop[], 5, 1)</f>
        <v>49.</v>
      </c>
      <c r="D67" s="469" t="str">
        <f>VLOOKUP( $B67, T_Aop[], 6, 1)</f>
        <v>Z. POZITIVNE KURSNE RAZLIKE PO OSNOVU PRERAČUNA GOTOVINE</v>
      </c>
      <c r="E67" s="469"/>
      <c r="F67" s="469"/>
      <c r="G67" s="469"/>
      <c r="H67" s="469"/>
      <c r="I67" s="114">
        <f>VLOOKUP( $B67, T_Aop[], 4, 1)</f>
        <v>546</v>
      </c>
      <c r="J67" s="221"/>
      <c r="K67" s="222"/>
      <c r="O67" s="29"/>
    </row>
    <row r="68" spans="2:15" x14ac:dyDescent="0.2">
      <c r="B68" s="66">
        <v>320</v>
      </c>
      <c r="C68" s="82" t="str">
        <f>VLOOKUP( $B68, T_Aop[], 5, 1)</f>
        <v>50.</v>
      </c>
      <c r="D68" s="464" t="str">
        <f>VLOOKUP( $B68, T_Aop[], 6, 1)</f>
        <v>I. NEGATIVNE KURSNE RAZLIKE PO OSNOVU PRERAČUNA GOTOVINE</v>
      </c>
      <c r="E68" s="464"/>
      <c r="F68" s="464"/>
      <c r="G68" s="464"/>
      <c r="H68" s="464"/>
      <c r="I68" s="83">
        <f>VLOOKUP( $B68, T_Aop[], 4, 1)</f>
        <v>547</v>
      </c>
      <c r="J68" s="122"/>
      <c r="K68" s="123"/>
      <c r="O68" s="29"/>
    </row>
    <row r="69" spans="2:15" x14ac:dyDescent="0.2">
      <c r="B69" s="66">
        <v>321</v>
      </c>
      <c r="C69" s="115" t="str">
        <f>VLOOKUP( $B69, T_Aop[], 5, 1)</f>
        <v>51.</v>
      </c>
      <c r="D69" s="485" t="str">
        <f>VLOOKUP( $B69, T_Aop[], 6, 1)</f>
        <v>J. GOTOVINA NA KRAJU OBRAČUNSKOG PERIODA (545 + 543 - 544 + 546 - 547)</v>
      </c>
      <c r="E69" s="485"/>
      <c r="F69" s="485"/>
      <c r="G69" s="485"/>
      <c r="H69" s="485"/>
      <c r="I69" s="116">
        <f>VLOOKUP( $B69, T_Aop[], 4, 1)</f>
        <v>548</v>
      </c>
      <c r="J69" s="321">
        <f>SUBTOTAL( 9, J20:J23, J33:J39, J48:J52, J66, J67) - SUBTOTAL( 9, J24:J29, J40:J44, J53:J59, J68)</f>
        <v>19496831</v>
      </c>
      <c r="K69" s="322">
        <f>SUBTOTAL( 9, K20:K23, K33:K39, K48:K52, K66, K67) - SUBTOTAL( 9, K24:K29, K40:K44, K53:K59, K68)</f>
        <v>11619598</v>
      </c>
      <c r="O69" s="29"/>
    </row>
    <row r="70" spans="2:15" x14ac:dyDescent="0.2"/>
    <row r="71" spans="2:15" x14ac:dyDescent="0.2">
      <c r="C71" s="272" t="str">
        <f>Podnozje_U</f>
        <v>U:</v>
      </c>
      <c r="D71" s="269" t="str">
        <f>Podatak_U</f>
        <v>Doboju</v>
      </c>
      <c r="E71" s="52"/>
      <c r="G71"/>
      <c r="H71" s="154" t="str">
        <f>Podnozje_Lice_sa_licencom</f>
        <v>Lice sa licencom:</v>
      </c>
      <c r="I71" s="270" t="str">
        <f>Podatak_Lice_sa_licencom</f>
        <v>Mira Simić</v>
      </c>
      <c r="J71" s="271"/>
      <c r="K71" s="271"/>
    </row>
    <row r="72" spans="2:15" x14ac:dyDescent="0.2">
      <c r="C72" s="30"/>
      <c r="D72" s="174"/>
      <c r="E72" s="53"/>
      <c r="F72" s="50" t="str">
        <f>Podnozje_MP</f>
        <v>(M.P.)</v>
      </c>
      <c r="G72"/>
      <c r="H72"/>
      <c r="I72"/>
    </row>
    <row r="73" spans="2:15" x14ac:dyDescent="0.2">
      <c r="C73" s="272" t="str">
        <f>Podnozje_Dana</f>
        <v>Datum:</v>
      </c>
      <c r="D73" s="270" t="str">
        <f>Podatak_Dana</f>
        <v>30.06.2021.</v>
      </c>
      <c r="E73" s="53"/>
      <c r="F73" s="51"/>
      <c r="G73"/>
      <c r="H73" s="154" t="str">
        <f>Podnozje_Direktor</f>
        <v>Lice ovlašćeno za zastupanje:</v>
      </c>
      <c r="I73" s="270" t="str">
        <f>Podatak_Direktor</f>
        <v>Željko Radić</v>
      </c>
      <c r="J73" s="271"/>
      <c r="K73" s="271"/>
    </row>
    <row r="74" spans="2:15" x14ac:dyDescent="0.2">
      <c r="G74" s="52"/>
      <c r="H74" s="50"/>
      <c r="I74" s="273"/>
      <c r="J74" s="52"/>
      <c r="K74" s="52"/>
    </row>
    <row r="75" spans="2:15" hidden="1" x14ac:dyDescent="0.2">
      <c r="F75" s="53"/>
      <c r="G75" s="53"/>
      <c r="H75" s="53"/>
      <c r="I75" s="9"/>
      <c r="J75" s="50"/>
      <c r="K75" s="50"/>
    </row>
  </sheetData>
  <sheetProtection password="832E" sheet="1" objects="1" scenarios="1"/>
  <mergeCells count="71">
    <mergeCell ref="D66:H66"/>
    <mergeCell ref="D67:H67"/>
    <mergeCell ref="D68:H68"/>
    <mergeCell ref="D69:H69"/>
    <mergeCell ref="C12:K12"/>
    <mergeCell ref="C13:K13"/>
    <mergeCell ref="C14:K14"/>
    <mergeCell ref="D60:H60"/>
    <mergeCell ref="D61:H61"/>
    <mergeCell ref="D62:H62"/>
    <mergeCell ref="D53:H53"/>
    <mergeCell ref="D63:H63"/>
    <mergeCell ref="D64:H64"/>
    <mergeCell ref="D65:H65"/>
    <mergeCell ref="D54:H54"/>
    <mergeCell ref="D55:H55"/>
    <mergeCell ref="D56:H56"/>
    <mergeCell ref="D57:H57"/>
    <mergeCell ref="D58:H58"/>
    <mergeCell ref="D59:H59"/>
    <mergeCell ref="D48:H48"/>
    <mergeCell ref="D49:H49"/>
    <mergeCell ref="D50:H50"/>
    <mergeCell ref="D51:H51"/>
    <mergeCell ref="D52:H52"/>
    <mergeCell ref="D43:H43"/>
    <mergeCell ref="D44:H44"/>
    <mergeCell ref="D45:H45"/>
    <mergeCell ref="D46:H46"/>
    <mergeCell ref="D47:H47"/>
    <mergeCell ref="D38:H38"/>
    <mergeCell ref="D39:H39"/>
    <mergeCell ref="D40:H40"/>
    <mergeCell ref="D41:H41"/>
    <mergeCell ref="D42:H42"/>
    <mergeCell ref="D33:H33"/>
    <mergeCell ref="D34:H34"/>
    <mergeCell ref="D35:H35"/>
    <mergeCell ref="D36:H36"/>
    <mergeCell ref="D37:H37"/>
    <mergeCell ref="D28:H28"/>
    <mergeCell ref="D29:H29"/>
    <mergeCell ref="D30:H30"/>
    <mergeCell ref="D31:H31"/>
    <mergeCell ref="D32:H32"/>
    <mergeCell ref="D23:H23"/>
    <mergeCell ref="D24:H24"/>
    <mergeCell ref="D25:H25"/>
    <mergeCell ref="D26:H26"/>
    <mergeCell ref="D27:H27"/>
    <mergeCell ref="D18:H18"/>
    <mergeCell ref="D19:H19"/>
    <mergeCell ref="D20:H20"/>
    <mergeCell ref="D21:H21"/>
    <mergeCell ref="D22:H22"/>
    <mergeCell ref="J10:K10"/>
    <mergeCell ref="D5:E5"/>
    <mergeCell ref="C16:C17"/>
    <mergeCell ref="J16:K16"/>
    <mergeCell ref="I16:I17"/>
    <mergeCell ref="D16:H17"/>
    <mergeCell ref="D6:E6"/>
    <mergeCell ref="D10:E10"/>
    <mergeCell ref="D11:E11"/>
    <mergeCell ref="C7:E8"/>
    <mergeCell ref="J5:K5"/>
    <mergeCell ref="J6:K6"/>
    <mergeCell ref="J7:K7"/>
    <mergeCell ref="J8:K8"/>
    <mergeCell ref="J9:K9"/>
    <mergeCell ref="C9:F9"/>
  </mergeCells>
  <phoneticPr fontId="1" type="noConversion"/>
  <dataValidations xWindow="1190" yWindow="354" count="2">
    <dataValidation type="whole" operator="greaterThanOrEqual" allowBlank="1" showInputMessage="1" showErrorMessage="1" errorTitle="Graška" error="Unose se vrijednosti u konvertibilnim markama, bez decimalnih mjesta. Nije dozvoljen unos negativnih brojeva." sqref="J66:K68 J54:K59 J49:K52 J47:K47 J41:K44 J34:K39 J32:K32 J25:K29 J19:K19 J21:K23">
      <formula1>0</formula1>
    </dataValidation>
    <dataValidation type="whole" operator="greaterThanOrEqual" allowBlank="1" showInputMessage="1" showErrorMessage="1" errorTitle="Graška" error="Unose se vrijednosti u konvertibilnim markama, bez decimalnih mjesta. Nije dozvoljen unos negativnih brojeva." prompt="U ovo polje se ne unosi iznos._x000a_Polje se automatski računa u skladu sa formulom." sqref="J20:K20 J24:K24 J30:K31 J33:K33 J40:K40 J45:K46 J48:K48 J53:K53 J60:K65 J69:K69">
      <formula1>0</formula1>
    </dataValidation>
  </dataValidations>
  <pageMargins left="0.39370078740157483" right="0.39370078740157483" top="0.39370078740157483" bottom="0.39370078740157483" header="0.31496062992125984" footer="0.23622047244094491"/>
  <pageSetup paperSize="9" scale="70" orientation="portrait" r:id="rId1"/>
  <headerFooter alignWithMargins="0">
    <oddFooter>&amp;R&amp;"Verdana,Regular"&amp;8Strana &amp;P od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5669" r:id="rId4" name="Navigacija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0</xdr:row>
                    <xdr:rowOff>47625</xdr:rowOff>
                  </from>
                  <to>
                    <xdr:col>7</xdr:col>
                    <xdr:colOff>1095375</xdr:colOff>
                    <xdr:row>3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04">
    <tabColor rgb="FFB2B2B2"/>
  </sheetPr>
  <dimension ref="A1:IU94"/>
  <sheetViews>
    <sheetView showGridLines="0" showRowColHeaders="0" zoomScaleNormal="100" zoomScaleSheetLayoutView="100" workbookViewId="0">
      <pane ySplit="4" topLeftCell="A5" activePane="bottomLeft" state="frozen"/>
      <selection activeCell="D15" sqref="D15"/>
      <selection pane="bottomLeft" activeCell="K37" sqref="K37"/>
    </sheetView>
  </sheetViews>
  <sheetFormatPr defaultColWidth="0" defaultRowHeight="12.75" zeroHeight="1" x14ac:dyDescent="0.2"/>
  <cols>
    <col min="1" max="1" width="5.7109375" style="8" customWidth="1"/>
    <col min="2" max="2" width="5.7109375" style="8" hidden="1" customWidth="1"/>
    <col min="3" max="3" width="19.5703125" style="8" customWidth="1"/>
    <col min="4" max="8" width="18.5703125" style="8" customWidth="1"/>
    <col min="9" max="9" width="7.140625" style="8" customWidth="1"/>
    <col min="10" max="11" width="14.28515625" style="8" customWidth="1"/>
    <col min="12" max="13" width="14.28515625" style="8" hidden="1" customWidth="1"/>
    <col min="14" max="14" width="5.7109375" style="8" customWidth="1"/>
    <col min="15" max="15" width="11.42578125" style="8" hidden="1" customWidth="1"/>
    <col min="16" max="255" width="9.140625" style="8" hidden="1" customWidth="1"/>
    <col min="256" max="16384" width="2.7109375" style="8" hidden="1"/>
  </cols>
  <sheetData>
    <row r="1" spans="3:13" x14ac:dyDescent="0.2">
      <c r="C1" s="20"/>
      <c r="D1" s="20"/>
      <c r="E1" s="20"/>
      <c r="F1" s="20"/>
      <c r="G1" s="20"/>
      <c r="H1" s="20"/>
      <c r="I1" s="20"/>
      <c r="J1" s="20"/>
      <c r="K1" s="20"/>
    </row>
    <row r="2" spans="3:13" x14ac:dyDescent="0.2">
      <c r="C2" s="20"/>
      <c r="D2" s="20"/>
      <c r="E2" s="20"/>
      <c r="F2" s="20"/>
      <c r="G2" s="20"/>
      <c r="H2" s="20"/>
      <c r="I2" s="20"/>
      <c r="J2" s="20"/>
      <c r="K2" s="20"/>
    </row>
    <row r="3" spans="3:13" x14ac:dyDescent="0.2">
      <c r="C3" s="20"/>
      <c r="D3" s="20"/>
      <c r="E3" s="20"/>
      <c r="F3" s="20"/>
      <c r="G3" s="20"/>
      <c r="H3" s="20"/>
      <c r="I3" s="20"/>
      <c r="J3" s="20"/>
      <c r="K3" s="20"/>
    </row>
    <row r="4" spans="3:13" x14ac:dyDescent="0.2">
      <c r="C4" s="20"/>
      <c r="D4" s="20"/>
      <c r="E4" s="20"/>
      <c r="F4" s="20"/>
      <c r="G4" s="20"/>
      <c r="H4" s="20"/>
      <c r="I4" s="20"/>
      <c r="J4" s="20"/>
      <c r="K4" s="20"/>
    </row>
    <row r="5" spans="3:13" x14ac:dyDescent="0.2">
      <c r="C5" s="16" t="str">
        <f>Zaglavlje_MB</f>
        <v>Matični broj:</v>
      </c>
      <c r="D5" s="474" t="str">
        <f>Podatak_MB</f>
        <v>01494562</v>
      </c>
      <c r="E5" s="474"/>
      <c r="I5" s="17" t="str">
        <f>Zaglavlje_Ziro_racun</f>
        <v>Poslovni računi:</v>
      </c>
      <c r="J5" s="470" t="str">
        <f>Podatak_Ziro_racun_1</f>
        <v>562-005-00003035-69</v>
      </c>
      <c r="K5" s="470"/>
    </row>
    <row r="6" spans="3:13" x14ac:dyDescent="0.2">
      <c r="C6" s="16" t="str">
        <f>Zaglavlje_Sifra_djelatnosti</f>
        <v>Šifra djelatnosti:</v>
      </c>
      <c r="D6" s="474" t="str">
        <f>Podatak_Sifra_djelatnosti</f>
        <v>49.10</v>
      </c>
      <c r="E6" s="474"/>
      <c r="F6" s="9"/>
      <c r="J6" s="470" t="str">
        <f>Podatak_Ziro_racun_2</f>
        <v>551-004-00009770-60</v>
      </c>
      <c r="K6" s="470"/>
    </row>
    <row r="7" spans="3:13" x14ac:dyDescent="0.2">
      <c r="C7" s="475" t="str">
        <f>Zaglavlje_Naziv_preduzeca</f>
        <v>Naziv privrednog društva, zadruge, drugog pravnog lica ili preduzetnika:</v>
      </c>
      <c r="D7" s="475"/>
      <c r="E7" s="475"/>
      <c r="F7" s="19"/>
      <c r="J7" s="470" t="str">
        <f>Podatak_Ziro_racun_3</f>
        <v>562-005-80858186-91</v>
      </c>
      <c r="K7" s="470"/>
    </row>
    <row r="8" spans="3:13" x14ac:dyDescent="0.2">
      <c r="C8" s="475"/>
      <c r="D8" s="475"/>
      <c r="E8" s="475"/>
      <c r="F8" s="19"/>
      <c r="J8" s="470" t="str">
        <f>Podatak_Ziro_racun_4</f>
        <v/>
      </c>
      <c r="K8" s="470"/>
    </row>
    <row r="9" spans="3:13" x14ac:dyDescent="0.2">
      <c r="C9" s="477" t="str">
        <f>Podatak_Naziv_preduzeca</f>
        <v>Željeznice RS a.d. Doboj</v>
      </c>
      <c r="D9" s="477"/>
      <c r="E9" s="477"/>
      <c r="F9" s="477"/>
      <c r="J9" s="470" t="str">
        <f>Podatak_Ziro_racun_5</f>
        <v/>
      </c>
      <c r="K9" s="470"/>
    </row>
    <row r="10" spans="3:13" x14ac:dyDescent="0.2">
      <c r="C10" s="16" t="str">
        <f>Zaglavlje_Sjediste</f>
        <v>Sjedište:</v>
      </c>
      <c r="D10" s="474" t="str">
        <f>Podatak_Sjediste</f>
        <v>Svetog Save 71</v>
      </c>
      <c r="E10" s="474"/>
      <c r="F10" s="16"/>
      <c r="J10" s="470" t="str">
        <f>Podatak_Ziro_racun_6</f>
        <v/>
      </c>
      <c r="K10" s="470"/>
    </row>
    <row r="11" spans="3:13" x14ac:dyDescent="0.2">
      <c r="C11" s="16" t="str">
        <f>Zaglavlje_JIB</f>
        <v>JIB:</v>
      </c>
      <c r="D11" s="474" t="str">
        <f>Podatak_JIB</f>
        <v>4400025960001</v>
      </c>
      <c r="E11" s="474"/>
      <c r="F11" s="20"/>
      <c r="G11" s="20"/>
      <c r="H11" s="20"/>
      <c r="I11" s="20"/>
      <c r="J11"/>
      <c r="K11"/>
    </row>
    <row r="12" spans="3:13" ht="15.75" x14ac:dyDescent="0.2">
      <c r="C12" s="486" t="str">
        <f>IF( Id_Konsolidovani, Nazivi_bilansa_Konsolidovani_naziv &amp; LOWER( Nazivi_bilansa_Aneks), Nazivi_bilansa_Aneks)</f>
        <v>Aneks</v>
      </c>
      <c r="D12" s="486"/>
      <c r="E12" s="486"/>
      <c r="F12" s="486"/>
      <c r="G12" s="486"/>
      <c r="H12" s="486"/>
      <c r="I12" s="486"/>
      <c r="J12" s="486"/>
      <c r="K12" s="486"/>
    </row>
    <row r="13" spans="3:13" x14ac:dyDescent="0.2">
      <c r="C13" s="487" t="str">
        <f>Nazivi_bilansa_Aneks1</f>
        <v>(Dodatni računovodstveni izvještaj)</v>
      </c>
      <c r="D13" s="487"/>
      <c r="E13" s="487"/>
      <c r="F13" s="487"/>
      <c r="G13" s="487"/>
      <c r="H13" s="487"/>
      <c r="I13" s="487"/>
      <c r="J13" s="487"/>
      <c r="K13" s="487"/>
    </row>
    <row r="14" spans="3:13" x14ac:dyDescent="0.2">
      <c r="C14" s="487" t="str">
        <f>Datumi_Datum_Aneks</f>
        <v>za period od 01.01. do 30.06.2021. godine</v>
      </c>
      <c r="D14" s="487"/>
      <c r="E14" s="487"/>
      <c r="F14" s="487"/>
      <c r="G14" s="487"/>
      <c r="H14" s="487"/>
      <c r="I14" s="487"/>
      <c r="J14" s="487"/>
      <c r="K14" s="487"/>
    </row>
    <row r="15" spans="3:13" x14ac:dyDescent="0.2">
      <c r="C15" s="56"/>
      <c r="D15" s="56"/>
      <c r="E15" s="56"/>
      <c r="F15" s="56"/>
      <c r="G15" s="56"/>
      <c r="H15" s="56"/>
      <c r="I15" s="56"/>
      <c r="J15" s="56"/>
      <c r="K15" s="23" t="str">
        <f>Tabele_zaglavlje_Valuta</f>
        <v>- u konvertibilnim markama -</v>
      </c>
    </row>
    <row r="16" spans="3:13" x14ac:dyDescent="0.2">
      <c r="C16" s="471" t="str">
        <f>Tabele_zaglavlje_Grupa_racuna</f>
        <v>Grupa računa, račun</v>
      </c>
      <c r="D16" s="462" t="str">
        <f>Tabele_zaglavlje_Pozicija</f>
        <v>POZICIJA</v>
      </c>
      <c r="E16" s="462"/>
      <c r="F16" s="462"/>
      <c r="G16" s="462"/>
      <c r="H16" s="462"/>
      <c r="I16" s="460" t="str">
        <f>Tabele_zaglavlje_Oznaka_aop</f>
        <v>Oznaka za AOP</v>
      </c>
      <c r="J16" s="462" t="str">
        <f>Tabele_zaglavlje_Iznos</f>
        <v>Iznos</v>
      </c>
      <c r="K16" s="463"/>
      <c r="M16" s="57"/>
    </row>
    <row r="17" spans="2:15" ht="25.5" x14ac:dyDescent="0.2">
      <c r="C17" s="472"/>
      <c r="D17" s="476"/>
      <c r="E17" s="476"/>
      <c r="F17" s="476"/>
      <c r="G17" s="476"/>
      <c r="H17" s="476"/>
      <c r="I17" s="461"/>
      <c r="J17" s="58" t="str">
        <f>Tabele_zaglavlje_Tekuca_godina</f>
        <v>Tekuća godina</v>
      </c>
      <c r="K17" s="59" t="str">
        <f>Tabele_zaglavlje_Prethodna_godina</f>
        <v>Prethodna godina</v>
      </c>
      <c r="M17" s="57"/>
      <c r="O17" s="185" t="s">
        <v>824</v>
      </c>
    </row>
    <row r="18" spans="2:15" x14ac:dyDescent="0.2">
      <c r="B18" s="60" t="s">
        <v>408</v>
      </c>
      <c r="C18" s="95">
        <v>1</v>
      </c>
      <c r="D18" s="478">
        <v>2</v>
      </c>
      <c r="E18" s="478"/>
      <c r="F18" s="478"/>
      <c r="G18" s="478"/>
      <c r="H18" s="478"/>
      <c r="I18" s="96">
        <v>3</v>
      </c>
      <c r="J18" s="117">
        <v>4</v>
      </c>
      <c r="K18" s="118">
        <v>5</v>
      </c>
    </row>
    <row r="19" spans="2:15" x14ac:dyDescent="0.2">
      <c r="B19" s="66">
        <v>322</v>
      </c>
      <c r="C19" s="311" t="str">
        <f>VLOOKUP( $B19, T_Aop[], 5, 1)</f>
        <v>010</v>
      </c>
      <c r="D19" s="500" t="str">
        <f>VLOOKUP( $B19, T_Aop[], 6, 1)</f>
        <v>Ulaganja u istraživanje i razvoj (dugovni promet bez početnog stanja)</v>
      </c>
      <c r="E19" s="500"/>
      <c r="F19" s="500"/>
      <c r="G19" s="500"/>
      <c r="H19" s="500"/>
      <c r="I19" s="312">
        <f>VLOOKUP( $B19, T_Aop[], 4, 1)</f>
        <v>601</v>
      </c>
      <c r="J19" s="350"/>
      <c r="K19" s="351"/>
      <c r="O19" s="29"/>
    </row>
    <row r="20" spans="2:15" ht="25.5" x14ac:dyDescent="0.2">
      <c r="B20" s="66">
        <v>323</v>
      </c>
      <c r="C20" s="313" t="str">
        <f>VLOOKUP( $B20, T_Aop[], 5, 1)</f>
        <v>201, dio 200</v>
      </c>
      <c r="D20" s="465" t="str">
        <f>VLOOKUP( $B20, T_Aop[], 6, 1)</f>
        <v>Kupci iz Republike Srpske i kupci - povezana pravna lica iz RS (dugovni promet bez početnog stanja)</v>
      </c>
      <c r="E20" s="465"/>
      <c r="F20" s="465"/>
      <c r="G20" s="465"/>
      <c r="H20" s="465"/>
      <c r="I20" s="263">
        <f>VLOOKUP( $B20, T_Aop[], 4, 1)</f>
        <v>602</v>
      </c>
      <c r="J20" s="215">
        <v>628117</v>
      </c>
      <c r="K20" s="216">
        <v>974032</v>
      </c>
      <c r="O20" s="184" t="s">
        <v>625</v>
      </c>
    </row>
    <row r="21" spans="2:15" ht="25.5" customHeight="1" x14ac:dyDescent="0.2">
      <c r="B21" s="66">
        <v>324</v>
      </c>
      <c r="C21" s="314" t="str">
        <f>VLOOKUP( $B21, T_Aop[], 5, 1)</f>
        <v>202, dio 200</v>
      </c>
      <c r="D21" s="488" t="str">
        <f>VLOOKUP( $B21, T_Aop[], 6, 1)</f>
        <v>Kupci iz Federacije BiH i kupci - povezana pravna lica iz FBiH (dugovni promet bez početnog stanja)</v>
      </c>
      <c r="E21" s="489"/>
      <c r="F21" s="489"/>
      <c r="G21" s="489"/>
      <c r="H21" s="490"/>
      <c r="I21" s="315">
        <f>VLOOKUP( $B21, T_Aop[], 4, 1)</f>
        <v>603</v>
      </c>
      <c r="J21" s="217">
        <v>9447934</v>
      </c>
      <c r="K21" s="218">
        <v>9492894</v>
      </c>
      <c r="O21" s="184" t="s">
        <v>625</v>
      </c>
    </row>
    <row r="22" spans="2:15" ht="25.5" customHeight="1" x14ac:dyDescent="0.2">
      <c r="B22" s="66">
        <v>325</v>
      </c>
      <c r="C22" s="313" t="str">
        <f>VLOOKUP( $B22, T_Aop[], 5, 1)</f>
        <v>203, dio 200</v>
      </c>
      <c r="D22" s="491" t="str">
        <f>VLOOKUP( $B22, T_Aop[], 6, 1)</f>
        <v>Kupci iz Brčko Distrikta BiH i kupci - povezana pravna lica iz BD (dugovni promet bez početnog stanja)</v>
      </c>
      <c r="E22" s="492"/>
      <c r="F22" s="492"/>
      <c r="G22" s="492"/>
      <c r="H22" s="493"/>
      <c r="I22" s="263">
        <f>VLOOKUP( $B22, T_Aop[], 4, 1)</f>
        <v>604</v>
      </c>
      <c r="J22" s="215">
        <v>86478</v>
      </c>
      <c r="K22" s="216">
        <v>143215</v>
      </c>
      <c r="O22" s="184" t="s">
        <v>625</v>
      </c>
    </row>
    <row r="23" spans="2:15" ht="25.5" x14ac:dyDescent="0.2">
      <c r="B23" s="66">
        <v>326</v>
      </c>
      <c r="C23" s="314" t="str">
        <f>VLOOKUP( $B23, T_Aop[], 5, 1)</f>
        <v>432, dio 431</v>
      </c>
      <c r="D23" s="488" t="str">
        <f>VLOOKUP( $B23, T_Aop[], 6, 1)</f>
        <v>Dobavljači iz Republike Srpske i dobavljači - povezana pravna lica iz RS (potražni promet bez početnog stanja)</v>
      </c>
      <c r="E23" s="489"/>
      <c r="F23" s="489"/>
      <c r="G23" s="489"/>
      <c r="H23" s="490"/>
      <c r="I23" s="315">
        <f>VLOOKUP( $B23, T_Aop[], 4, 1)</f>
        <v>605</v>
      </c>
      <c r="J23" s="217">
        <v>3454490</v>
      </c>
      <c r="K23" s="218">
        <v>2268321</v>
      </c>
      <c r="O23" s="184" t="s">
        <v>625</v>
      </c>
    </row>
    <row r="24" spans="2:15" ht="25.5" x14ac:dyDescent="0.2">
      <c r="B24" s="66">
        <v>327</v>
      </c>
      <c r="C24" s="313" t="str">
        <f>VLOOKUP( $B24, T_Aop[], 5, 1)</f>
        <v>433, dio 431</v>
      </c>
      <c r="D24" s="491" t="str">
        <f>VLOOKUP( $B24, T_Aop[], 6, 1)</f>
        <v>Dobavljači iz Federacije BiH i dobavljači - povezana pravna lica iz FBiH (potražni promet bez početnog stanja)</v>
      </c>
      <c r="E24" s="492"/>
      <c r="F24" s="492"/>
      <c r="G24" s="492"/>
      <c r="H24" s="493"/>
      <c r="I24" s="263">
        <f>VLOOKUP( $B24, T_Aop[], 4, 1)</f>
        <v>606</v>
      </c>
      <c r="J24" s="215">
        <v>2935741</v>
      </c>
      <c r="K24" s="216">
        <v>3142602</v>
      </c>
      <c r="O24" s="184" t="s">
        <v>625</v>
      </c>
    </row>
    <row r="25" spans="2:15" ht="25.5" x14ac:dyDescent="0.2">
      <c r="B25" s="66">
        <v>328</v>
      </c>
      <c r="C25" s="314" t="str">
        <f>VLOOKUP( $B25, T_Aop[], 5, 1)</f>
        <v>434, dio 431</v>
      </c>
      <c r="D25" s="488" t="str">
        <f>VLOOKUP( $B25, T_Aop[], 6, 1)</f>
        <v>Dobavljači iz Brčko Distrikta BiH i dobavljači - povezana pravna lica iz DB (potražni promet bez početnog stanja)</v>
      </c>
      <c r="E25" s="489"/>
      <c r="F25" s="489"/>
      <c r="G25" s="489"/>
      <c r="H25" s="490"/>
      <c r="I25" s="315">
        <f>VLOOKUP( $B25, T_Aop[], 4, 1)</f>
        <v>607</v>
      </c>
      <c r="J25" s="217">
        <v>7280</v>
      </c>
      <c r="K25" s="218">
        <v>79407</v>
      </c>
      <c r="O25" s="184" t="s">
        <v>625</v>
      </c>
    </row>
    <row r="26" spans="2:15" ht="25.5" customHeight="1" x14ac:dyDescent="0.2">
      <c r="B26" s="66">
        <v>329</v>
      </c>
      <c r="C26" s="313" t="str">
        <f>VLOOKUP( $B26, T_Aop[], 5, 1)</f>
        <v>601, dio 600</v>
      </c>
      <c r="D26" s="491" t="str">
        <f>VLOOKUP( $B26, T_Aop[], 6, 1)</f>
        <v>Prihodi od prodaje robe u Republici Srpskoj i prihodi od prodaje robe povezanim pravnim licima u RS</v>
      </c>
      <c r="E26" s="492"/>
      <c r="F26" s="492"/>
      <c r="G26" s="492"/>
      <c r="H26" s="493"/>
      <c r="I26" s="263">
        <f>VLOOKUP( $B26, T_Aop[], 4, 1)</f>
        <v>608</v>
      </c>
      <c r="J26" s="215"/>
      <c r="K26" s="216"/>
      <c r="O26" s="184" t="s">
        <v>625</v>
      </c>
    </row>
    <row r="27" spans="2:15" ht="25.5" customHeight="1" x14ac:dyDescent="0.2">
      <c r="B27" s="66">
        <v>330</v>
      </c>
      <c r="C27" s="314" t="str">
        <f>VLOOKUP( $B27, T_Aop[], 5, 1)</f>
        <v>602, dio 600</v>
      </c>
      <c r="D27" s="488" t="str">
        <f>VLOOKUP( $B27, T_Aop[], 6, 1)</f>
        <v>Prihodi od prodaje robe u Federaciji BiH i prihodi od prodaje robe povezanim pravnim licima u FBiH</v>
      </c>
      <c r="E27" s="489"/>
      <c r="F27" s="489"/>
      <c r="G27" s="489"/>
      <c r="H27" s="490"/>
      <c r="I27" s="315">
        <f>VLOOKUP( $B27, T_Aop[], 4, 1)</f>
        <v>609</v>
      </c>
      <c r="J27" s="217"/>
      <c r="K27" s="218"/>
      <c r="O27" s="184" t="s">
        <v>625</v>
      </c>
    </row>
    <row r="28" spans="2:15" ht="25.5" customHeight="1" x14ac:dyDescent="0.2">
      <c r="B28" s="66">
        <v>331</v>
      </c>
      <c r="C28" s="313" t="str">
        <f>VLOOKUP( $B28, T_Aop[], 5, 1)</f>
        <v>603, dio 600</v>
      </c>
      <c r="D28" s="491" t="str">
        <f>VLOOKUP( $B28, T_Aop[], 6, 1)</f>
        <v>Prihodi od prodaje robe u Brčko Distriktu BiH i prihodi od prodaje robe povezanim pravnim licima u BD</v>
      </c>
      <c r="E28" s="492"/>
      <c r="F28" s="492"/>
      <c r="G28" s="492"/>
      <c r="H28" s="493"/>
      <c r="I28" s="263">
        <f>VLOOKUP( $B28, T_Aop[], 4, 1)</f>
        <v>610</v>
      </c>
      <c r="J28" s="215"/>
      <c r="K28" s="216"/>
      <c r="O28" s="184" t="s">
        <v>625</v>
      </c>
    </row>
    <row r="29" spans="2:15" ht="12.75" customHeight="1" x14ac:dyDescent="0.2">
      <c r="B29" s="66">
        <v>332</v>
      </c>
      <c r="C29" s="314" t="str">
        <f>VLOOKUP( $B29, T_Aop[], 5, 1)</f>
        <v>dio 61</v>
      </c>
      <c r="D29" s="488" t="str">
        <f>VLOOKUP( $B29, T_Aop[], 6, 1)</f>
        <v>Prihodi od prodaje proizvoda</v>
      </c>
      <c r="E29" s="489"/>
      <c r="F29" s="489"/>
      <c r="G29" s="489"/>
      <c r="H29" s="490"/>
      <c r="I29" s="315">
        <f>VLOOKUP( $B29, T_Aop[], 4, 1)</f>
        <v>611</v>
      </c>
      <c r="J29" s="217"/>
      <c r="K29" s="218"/>
      <c r="O29"/>
    </row>
    <row r="30" spans="2:15" ht="12.75" customHeight="1" x14ac:dyDescent="0.2">
      <c r="B30" s="66">
        <v>333</v>
      </c>
      <c r="C30" s="313" t="str">
        <f>VLOOKUP( $B30, T_Aop[], 5, 1)</f>
        <v>dio 61</v>
      </c>
      <c r="D30" s="491" t="str">
        <f>VLOOKUP( $B30, T_Aop[], 6, 1)</f>
        <v>Prihodi od prodaje usluga</v>
      </c>
      <c r="E30" s="492"/>
      <c r="F30" s="492"/>
      <c r="G30" s="492"/>
      <c r="H30" s="493"/>
      <c r="I30" s="263">
        <f>VLOOKUP( $B30, T_Aop[], 4, 1)</f>
        <v>612</v>
      </c>
      <c r="J30" s="215"/>
      <c r="K30" s="216"/>
      <c r="O30"/>
    </row>
    <row r="31" spans="2:15" ht="25.5" customHeight="1" x14ac:dyDescent="0.2">
      <c r="B31" s="66">
        <v>334</v>
      </c>
      <c r="C31" s="314" t="str">
        <f>VLOOKUP( $B31, T_Aop[], 5, 1)</f>
        <v>611, dio 610</v>
      </c>
      <c r="D31" s="488" t="str">
        <f>VLOOKUP( $B31, T_Aop[], 6, 1)</f>
        <v>Prihodi od prodaje učinaka u Republici Srpskoj i prihodi od prodaje učinaka povezanim pravnim licima u RS</v>
      </c>
      <c r="E31" s="489"/>
      <c r="F31" s="489"/>
      <c r="G31" s="489"/>
      <c r="H31" s="490"/>
      <c r="I31" s="315">
        <f>VLOOKUP( $B31, T_Aop[], 4, 1)</f>
        <v>613</v>
      </c>
      <c r="J31" s="217"/>
      <c r="K31" s="218"/>
      <c r="O31" s="184" t="s">
        <v>625</v>
      </c>
    </row>
    <row r="32" spans="2:15" ht="25.5" customHeight="1" x14ac:dyDescent="0.2">
      <c r="B32" s="66">
        <v>335</v>
      </c>
      <c r="C32" s="313" t="str">
        <f>VLOOKUP( $B32, T_Aop[], 5, 1)</f>
        <v>612, dio 610</v>
      </c>
      <c r="D32" s="491" t="str">
        <f>VLOOKUP( $B32, T_Aop[], 6, 1)</f>
        <v>Prihodi od prodaje učinaka u Federaciji BiH i prihodi od prodaje učinaka povezanim pravnim licima u FBiH</v>
      </c>
      <c r="E32" s="492"/>
      <c r="F32" s="492"/>
      <c r="G32" s="492"/>
      <c r="H32" s="493"/>
      <c r="I32" s="263">
        <f>VLOOKUP( $B32, T_Aop[], 4, 1)</f>
        <v>614</v>
      </c>
      <c r="J32" s="215"/>
      <c r="K32" s="216"/>
      <c r="O32" s="184" t="s">
        <v>625</v>
      </c>
    </row>
    <row r="33" spans="2:15" ht="25.5" customHeight="1" x14ac:dyDescent="0.2">
      <c r="B33" s="66">
        <v>336</v>
      </c>
      <c r="C33" s="314" t="str">
        <f>VLOOKUP( $B33, T_Aop[], 5, 1)</f>
        <v>613, dio 610</v>
      </c>
      <c r="D33" s="488" t="str">
        <f>VLOOKUP( $B33, T_Aop[], 6, 1)</f>
        <v>Prihodi od prodaje učinaka u Brčko Distriktu BiH i prihodi od prodaje učinaka povezanim pravnim licima u BD</v>
      </c>
      <c r="E33" s="489"/>
      <c r="F33" s="489"/>
      <c r="G33" s="489"/>
      <c r="H33" s="490"/>
      <c r="I33" s="315">
        <f>VLOOKUP( $B33, T_Aop[], 4, 1)</f>
        <v>615</v>
      </c>
      <c r="J33" s="217"/>
      <c r="K33" s="218"/>
      <c r="O33" s="184" t="s">
        <v>625</v>
      </c>
    </row>
    <row r="34" spans="2:15" ht="12.75" customHeight="1" x14ac:dyDescent="0.2">
      <c r="B34" s="66">
        <v>337</v>
      </c>
      <c r="C34" s="313" t="str">
        <f>VLOOKUP( $B34, T_Aop[], 5, 1)</f>
        <v>dio 611</v>
      </c>
      <c r="D34" s="491" t="str">
        <f>VLOOKUP( $B34, T_Aop[], 6, 1)</f>
        <v>Prihodi od prodaje usluga u Republici Srpskoj</v>
      </c>
      <c r="E34" s="492"/>
      <c r="F34" s="492"/>
      <c r="G34" s="492"/>
      <c r="H34" s="493"/>
      <c r="I34" s="263">
        <f>VLOOKUP( $B34, T_Aop[], 4, 1)</f>
        <v>616</v>
      </c>
      <c r="J34" s="215">
        <v>459481</v>
      </c>
      <c r="K34" s="216">
        <v>806269</v>
      </c>
      <c r="O34" s="29"/>
    </row>
    <row r="35" spans="2:15" ht="12.75" customHeight="1" x14ac:dyDescent="0.2">
      <c r="B35" s="66">
        <v>338</v>
      </c>
      <c r="C35" s="314" t="str">
        <f>VLOOKUP( $B35, T_Aop[], 5, 1)</f>
        <v>dio 612</v>
      </c>
      <c r="D35" s="488" t="str">
        <f>VLOOKUP( $B35, T_Aop[], 6, 1)</f>
        <v>Prihodi od prodaje usluga u Federaciji BiH</v>
      </c>
      <c r="E35" s="489"/>
      <c r="F35" s="489"/>
      <c r="G35" s="489"/>
      <c r="H35" s="490"/>
      <c r="I35" s="315">
        <f>VLOOKUP( $B35, T_Aop[], 4, 1)</f>
        <v>617</v>
      </c>
      <c r="J35" s="217">
        <v>6492235</v>
      </c>
      <c r="K35" s="218">
        <v>6925029</v>
      </c>
      <c r="O35" s="29"/>
    </row>
    <row r="36" spans="2:15" ht="12.75" customHeight="1" x14ac:dyDescent="0.2">
      <c r="B36" s="66">
        <v>339</v>
      </c>
      <c r="C36" s="313" t="str">
        <f>VLOOKUP( $B36, T_Aop[], 5, 1)</f>
        <v>dio 613</v>
      </c>
      <c r="D36" s="491" t="str">
        <f>VLOOKUP( $B36, T_Aop[], 6, 1)</f>
        <v>Prihodi od prodaje usluga u Brčko Distriktu BiH</v>
      </c>
      <c r="E36" s="492"/>
      <c r="F36" s="492"/>
      <c r="G36" s="492"/>
      <c r="H36" s="493"/>
      <c r="I36" s="263">
        <f>VLOOKUP( $B36, T_Aop[], 4, 1)</f>
        <v>618</v>
      </c>
      <c r="J36" s="215">
        <v>77567</v>
      </c>
      <c r="K36" s="216">
        <v>136643</v>
      </c>
      <c r="O36" s="29"/>
    </row>
    <row r="37" spans="2:15" ht="12.75" customHeight="1" x14ac:dyDescent="0.2">
      <c r="B37" s="66">
        <v>340</v>
      </c>
      <c r="C37" s="309">
        <f>VLOOKUP( $B37, T_Aop[], 5, 1)</f>
        <v>65</v>
      </c>
      <c r="D37" s="466" t="str">
        <f>VLOOKUP( $B37, T_Aop[], 6, 1)</f>
        <v>OSTALI POSLOVNI PRIHODI (620 + 623 + 624 + 625 + 626 + 627 + 628)</v>
      </c>
      <c r="E37" s="467"/>
      <c r="F37" s="467"/>
      <c r="G37" s="467"/>
      <c r="H37" s="468"/>
      <c r="I37" s="310">
        <f>VLOOKUP( $B37, T_Aop[], 4, 1)</f>
        <v>619</v>
      </c>
      <c r="J37" s="88">
        <f>SUBTOTAL( 9, J38, J41:J46)</f>
        <v>5187752</v>
      </c>
      <c r="K37" s="89">
        <f>SUBTOTAL( 9, K38, K41:K46)</f>
        <v>6989082</v>
      </c>
      <c r="O37" s="29"/>
    </row>
    <row r="38" spans="2:15" ht="12.75" customHeight="1" x14ac:dyDescent="0.2">
      <c r="B38" s="66">
        <v>341</v>
      </c>
      <c r="C38" s="313">
        <f>VLOOKUP( $B38, T_Aop[], 5, 1)</f>
        <v>650</v>
      </c>
      <c r="D38" s="491" t="str">
        <f>VLOOKUP( $B38, T_Aop[], 6, 1)</f>
        <v xml:space="preserve">  a) Prihodi od premija, subvencija, dotacija, regresa, podsticaja i slično</v>
      </c>
      <c r="E38" s="492"/>
      <c r="F38" s="492"/>
      <c r="G38" s="492"/>
      <c r="H38" s="493"/>
      <c r="I38" s="263">
        <f>VLOOKUP( $B38, T_Aop[], 4, 1)</f>
        <v>620</v>
      </c>
      <c r="J38" s="215">
        <v>5052020</v>
      </c>
      <c r="K38" s="216">
        <v>6390426</v>
      </c>
      <c r="O38" s="29"/>
    </row>
    <row r="39" spans="2:15" ht="25.5" customHeight="1" x14ac:dyDescent="0.2">
      <c r="B39" s="66">
        <v>342</v>
      </c>
      <c r="C39" s="314" t="str">
        <f>VLOOKUP( $B39, T_Aop[], 5, 1)</f>
        <v>dio 650</v>
      </c>
      <c r="D39" s="488" t="str">
        <f>VLOOKUP( $B39, T_Aop[], 6, 1)</f>
        <v xml:space="preserve">    Od toga: prihodi po osnovu subvencija na proizvode (subvencije koje se mogu prikazati po jedinici proizvoda, npr. vozna karta, brašno, hljeb, mlijeko i dr.)</v>
      </c>
      <c r="E39" s="489"/>
      <c r="F39" s="489"/>
      <c r="G39" s="489"/>
      <c r="H39" s="490"/>
      <c r="I39" s="315">
        <f>VLOOKUP( $B39, T_Aop[], 4, 1)</f>
        <v>621</v>
      </c>
      <c r="J39" s="217"/>
      <c r="K39" s="218"/>
      <c r="O39" s="184" t="s">
        <v>625</v>
      </c>
    </row>
    <row r="40" spans="2:15" ht="25.5" customHeight="1" x14ac:dyDescent="0.2">
      <c r="B40" s="66">
        <v>343</v>
      </c>
      <c r="C40" s="313" t="str">
        <f>VLOOKUP( $B40, T_Aop[], 5, 1)</f>
        <v>dio 650</v>
      </c>
      <c r="D40" s="491" t="str">
        <f>VLOOKUP( $B40, T_Aop[], 6, 1)</f>
        <v xml:space="preserve">    Od toga: prihodi po osnovu subvencija na proizvodnju (na zapošljavanje, platu, kamatnu stopu, za smanjenje zagađenja i dr.)</v>
      </c>
      <c r="E40" s="492"/>
      <c r="F40" s="492"/>
      <c r="G40" s="492"/>
      <c r="H40" s="493"/>
      <c r="I40" s="263">
        <f>VLOOKUP( $B40, T_Aop[], 4, 1)</f>
        <v>622</v>
      </c>
      <c r="J40" s="215"/>
      <c r="K40" s="216"/>
      <c r="O40" s="184" t="s">
        <v>625</v>
      </c>
    </row>
    <row r="41" spans="2:15" ht="12.75" customHeight="1" x14ac:dyDescent="0.2">
      <c r="B41" s="66">
        <v>344</v>
      </c>
      <c r="C41" s="314">
        <f>VLOOKUP( $B41, T_Aop[], 5, 1)</f>
        <v>651</v>
      </c>
      <c r="D41" s="488" t="str">
        <f>VLOOKUP( $B41, T_Aop[], 6, 1)</f>
        <v xml:space="preserve">  b) Prihod od zakupnina</v>
      </c>
      <c r="E41" s="489"/>
      <c r="F41" s="489"/>
      <c r="G41" s="489"/>
      <c r="H41" s="490"/>
      <c r="I41" s="315">
        <f>VLOOKUP( $B41, T_Aop[], 4, 1)</f>
        <v>623</v>
      </c>
      <c r="J41" s="217">
        <v>135732</v>
      </c>
      <c r="K41" s="218">
        <v>529139</v>
      </c>
      <c r="O41" s="29"/>
    </row>
    <row r="42" spans="2:15" ht="12.75" customHeight="1" x14ac:dyDescent="0.2">
      <c r="B42" s="66">
        <v>345</v>
      </c>
      <c r="C42" s="313">
        <f>VLOOKUP( $B42, T_Aop[], 5, 1)</f>
        <v>652</v>
      </c>
      <c r="D42" s="491" t="str">
        <f>VLOOKUP( $B42, T_Aop[], 6, 1)</f>
        <v xml:space="preserve">  v) Prihod od donacija</v>
      </c>
      <c r="E42" s="492"/>
      <c r="F42" s="492"/>
      <c r="G42" s="492"/>
      <c r="H42" s="493"/>
      <c r="I42" s="263">
        <f>VLOOKUP( $B42, T_Aop[], 4, 1)</f>
        <v>624</v>
      </c>
      <c r="J42" s="215"/>
      <c r="K42" s="216">
        <v>44253</v>
      </c>
      <c r="O42" s="29"/>
    </row>
    <row r="43" spans="2:15" ht="12.75" customHeight="1" x14ac:dyDescent="0.2">
      <c r="B43" s="66">
        <v>346</v>
      </c>
      <c r="C43" s="314">
        <f>VLOOKUP( $B43, T_Aop[], 5, 1)</f>
        <v>653</v>
      </c>
      <c r="D43" s="488" t="str">
        <f>VLOOKUP( $B43, T_Aop[], 6, 1)</f>
        <v xml:space="preserve">  g) Prihod od članarina</v>
      </c>
      <c r="E43" s="489"/>
      <c r="F43" s="489"/>
      <c r="G43" s="489"/>
      <c r="H43" s="490"/>
      <c r="I43" s="315">
        <f>VLOOKUP( $B43, T_Aop[], 4, 1)</f>
        <v>625</v>
      </c>
      <c r="J43" s="217"/>
      <c r="K43" s="218"/>
      <c r="O43" s="29"/>
    </row>
    <row r="44" spans="2:15" ht="12.75" customHeight="1" x14ac:dyDescent="0.2">
      <c r="B44" s="66">
        <v>347</v>
      </c>
      <c r="C44" s="313">
        <f>VLOOKUP( $B44, T_Aop[], 5, 1)</f>
        <v>654</v>
      </c>
      <c r="D44" s="491" t="str">
        <f>VLOOKUP( $B44, T_Aop[], 6, 1)</f>
        <v xml:space="preserve">  d) Prihod od tantijema i licencnih prava</v>
      </c>
      <c r="E44" s="492"/>
      <c r="F44" s="492"/>
      <c r="G44" s="492"/>
      <c r="H44" s="493"/>
      <c r="I44" s="263">
        <f>VLOOKUP( $B44, T_Aop[], 4, 1)</f>
        <v>626</v>
      </c>
      <c r="J44" s="215"/>
      <c r="K44" s="216"/>
      <c r="O44" s="29"/>
    </row>
    <row r="45" spans="2:15" ht="12.75" customHeight="1" x14ac:dyDescent="0.2">
      <c r="B45" s="66">
        <v>348</v>
      </c>
      <c r="C45" s="314">
        <f>VLOOKUP( $B45, T_Aop[], 5, 1)</f>
        <v>655</v>
      </c>
      <c r="D45" s="488" t="str">
        <f>VLOOKUP( $B45, T_Aop[], 6, 1)</f>
        <v xml:space="preserve">  đ) Prihod iz namjenskih izvora finansiranja (iz budžeta, fondova i dr.)</v>
      </c>
      <c r="E45" s="489"/>
      <c r="F45" s="489"/>
      <c r="G45" s="489"/>
      <c r="H45" s="490"/>
      <c r="I45" s="315">
        <f>VLOOKUP( $B45, T_Aop[], 4, 1)</f>
        <v>627</v>
      </c>
      <c r="J45" s="217"/>
      <c r="K45" s="218">
        <v>25264</v>
      </c>
      <c r="O45" s="29"/>
    </row>
    <row r="46" spans="2:15" ht="12.75" customHeight="1" x14ac:dyDescent="0.2">
      <c r="B46" s="66">
        <v>349</v>
      </c>
      <c r="C46" s="313">
        <f>VLOOKUP( $B46, T_Aop[], 5, 1)</f>
        <v>659</v>
      </c>
      <c r="D46" s="491" t="str">
        <f>VLOOKUP( $B46, T_Aop[], 6, 1)</f>
        <v xml:space="preserve">  e) Ostali poslovni prihodi po drugim osnovima</v>
      </c>
      <c r="E46" s="492"/>
      <c r="F46" s="492"/>
      <c r="G46" s="492"/>
      <c r="H46" s="493"/>
      <c r="I46" s="263">
        <f>VLOOKUP( $B46, T_Aop[], 4, 1)</f>
        <v>628</v>
      </c>
      <c r="J46" s="215"/>
      <c r="K46" s="216"/>
      <c r="O46" s="29"/>
    </row>
    <row r="47" spans="2:15" ht="12.75" customHeight="1" x14ac:dyDescent="0.2">
      <c r="B47" s="66">
        <v>350</v>
      </c>
      <c r="C47" s="309" t="str">
        <f>VLOOKUP( $B47, T_Aop[], 5, 1)</f>
        <v>66 + 67</v>
      </c>
      <c r="D47" s="466" t="str">
        <f>VLOOKUP( $B47, T_Aop[], 6, 1)</f>
        <v>FINANSIJSKI I OSTALI PRIHODI</v>
      </c>
      <c r="E47" s="467"/>
      <c r="F47" s="467"/>
      <c r="G47" s="467"/>
      <c r="H47" s="468"/>
      <c r="I47" s="310">
        <f>VLOOKUP( $B47, T_Aop[], 4, 1)</f>
        <v>629</v>
      </c>
      <c r="J47" s="340">
        <v>486409</v>
      </c>
      <c r="K47" s="341">
        <v>102360</v>
      </c>
      <c r="O47" s="29"/>
    </row>
    <row r="48" spans="2:15" ht="12.75" customHeight="1" x14ac:dyDescent="0.2">
      <c r="B48" s="66">
        <v>351</v>
      </c>
      <c r="C48" s="313" t="str">
        <f>VLOOKUP( $B48, T_Aop[], 5, 1)</f>
        <v>dio 660</v>
      </c>
      <c r="D48" s="491" t="str">
        <f>VLOOKUP( $B48, T_Aop[], 6, 1)</f>
        <v xml:space="preserve">    Od toga: prihodi od učešća u dobiti (dividendi)</v>
      </c>
      <c r="E48" s="492"/>
      <c r="F48" s="492"/>
      <c r="G48" s="492"/>
      <c r="H48" s="493"/>
      <c r="I48" s="263">
        <f>VLOOKUP( $B48, T_Aop[], 4, 1)</f>
        <v>630</v>
      </c>
      <c r="J48" s="215"/>
      <c r="K48" s="216"/>
      <c r="O48" s="29"/>
    </row>
    <row r="49" spans="2:15" ht="12.75" customHeight="1" x14ac:dyDescent="0.2">
      <c r="B49" s="66">
        <v>352</v>
      </c>
      <c r="C49" s="314" t="str">
        <f>VLOOKUP( $B49, T_Aop[], 5, 1)</f>
        <v>dio 670</v>
      </c>
      <c r="D49" s="488" t="str">
        <f>VLOOKUP( $B49, T_Aop[], 6, 1)</f>
        <v xml:space="preserve">  Dobici po osnovu prodaje nekretnina, postrojenja i opreme</v>
      </c>
      <c r="E49" s="489"/>
      <c r="F49" s="489"/>
      <c r="G49" s="489"/>
      <c r="H49" s="490"/>
      <c r="I49" s="315">
        <f>VLOOKUP( $B49, T_Aop[], 4, 1)</f>
        <v>631</v>
      </c>
      <c r="J49" s="217"/>
      <c r="K49" s="218"/>
      <c r="O49" s="78"/>
    </row>
    <row r="50" spans="2:15" ht="12.75" customHeight="1" x14ac:dyDescent="0.2">
      <c r="B50" s="66">
        <v>353</v>
      </c>
      <c r="C50" s="313">
        <f>VLOOKUP( $B50, T_Aop[], 5, 1)</f>
        <v>678</v>
      </c>
      <c r="D50" s="491" t="str">
        <f>VLOOKUP( $B50, T_Aop[], 6, 1)</f>
        <v xml:space="preserve">  Prihodi po osnovu ugovorene zaštite od rizika koji ne ispunjavaju uslove da se iskažu u okviru revalorizacionih rezervi</v>
      </c>
      <c r="E50" s="492"/>
      <c r="F50" s="492"/>
      <c r="G50" s="492"/>
      <c r="H50" s="493"/>
      <c r="I50" s="263">
        <f>VLOOKUP( $B50, T_Aop[], 4, 1)</f>
        <v>632</v>
      </c>
      <c r="J50" s="215"/>
      <c r="K50" s="216"/>
      <c r="O50" s="29"/>
    </row>
    <row r="51" spans="2:15" ht="12.75" customHeight="1" x14ac:dyDescent="0.2">
      <c r="B51" s="66">
        <v>354</v>
      </c>
      <c r="C51" s="309">
        <f>VLOOKUP( $B51, T_Aop[], 5, 1)</f>
        <v>51</v>
      </c>
      <c r="D51" s="466" t="str">
        <f>VLOOKUP( $B51, T_Aop[], 6, 1)</f>
        <v>TROŠKOVI MATERIJALA</v>
      </c>
      <c r="E51" s="467"/>
      <c r="F51" s="467"/>
      <c r="G51" s="467"/>
      <c r="H51" s="468"/>
      <c r="I51" s="310">
        <f>VLOOKUP( $B51, T_Aop[], 4, 1)</f>
        <v>633</v>
      </c>
      <c r="J51" s="340">
        <v>1699832</v>
      </c>
      <c r="K51" s="341">
        <v>1783251</v>
      </c>
      <c r="O51" s="29"/>
    </row>
    <row r="52" spans="2:15" ht="12.75" customHeight="1" x14ac:dyDescent="0.2">
      <c r="B52" s="66">
        <v>355</v>
      </c>
      <c r="C52" s="313">
        <f>VLOOKUP( $B52, T_Aop[], 5, 1)</f>
        <v>513</v>
      </c>
      <c r="D52" s="491" t="str">
        <f>VLOOKUP( $B52, T_Aop[], 6, 1)</f>
        <v xml:space="preserve">    Od toga: troškovi goriva i energije</v>
      </c>
      <c r="E52" s="492"/>
      <c r="F52" s="492"/>
      <c r="G52" s="492"/>
      <c r="H52" s="493"/>
      <c r="I52" s="263">
        <f>VLOOKUP( $B52, T_Aop[], 4, 1)</f>
        <v>634</v>
      </c>
      <c r="J52" s="215">
        <v>1052036</v>
      </c>
      <c r="K52" s="216">
        <v>1162779</v>
      </c>
      <c r="O52" s="29"/>
    </row>
    <row r="53" spans="2:15" ht="12.75" customHeight="1" x14ac:dyDescent="0.2">
      <c r="B53" s="66">
        <v>356</v>
      </c>
      <c r="C53" s="309">
        <f>VLOOKUP( $B53, T_Aop[], 5, 1)</f>
        <v>52</v>
      </c>
      <c r="D53" s="466" t="str">
        <f>VLOOKUP( $B53, T_Aop[], 6, 1)</f>
        <v>TROŠKOVI ZARADA, NAKNADA ZARADA I OSTALIH LIČNIH RASHODA</v>
      </c>
      <c r="E53" s="467"/>
      <c r="F53" s="467"/>
      <c r="G53" s="467"/>
      <c r="H53" s="468"/>
      <c r="I53" s="310">
        <f>VLOOKUP( $B53, T_Aop[], 4, 1)</f>
        <v>635</v>
      </c>
      <c r="J53" s="340">
        <v>10024358</v>
      </c>
      <c r="K53" s="341">
        <v>10747733</v>
      </c>
      <c r="O53" s="29"/>
    </row>
    <row r="54" spans="2:15" ht="12.75" customHeight="1" x14ac:dyDescent="0.2">
      <c r="B54" s="66">
        <v>357</v>
      </c>
      <c r="C54" s="313" t="str">
        <f>VLOOKUP( $B54, T_Aop[], 5, 1)</f>
        <v>522 + 523</v>
      </c>
      <c r="D54" s="491" t="str">
        <f>VLOOKUP( $B54, T_Aop[], 6, 1)</f>
        <v xml:space="preserve">  Troškovi bruto naknada članovima upravnog, nadzornog, odbora za reviziju i dr.</v>
      </c>
      <c r="E54" s="492"/>
      <c r="F54" s="492"/>
      <c r="G54" s="492"/>
      <c r="H54" s="493"/>
      <c r="I54" s="263">
        <f>VLOOKUP( $B54, T_Aop[], 4, 1)</f>
        <v>636</v>
      </c>
      <c r="J54" s="215">
        <v>23314</v>
      </c>
      <c r="K54" s="216">
        <v>23313</v>
      </c>
      <c r="O54" s="29"/>
    </row>
    <row r="55" spans="2:15" ht="12.75" customHeight="1" x14ac:dyDescent="0.2">
      <c r="B55" s="66">
        <v>358</v>
      </c>
      <c r="C55" s="314">
        <f>VLOOKUP( $B55, T_Aop[], 5, 1)</f>
        <v>525</v>
      </c>
      <c r="D55" s="488" t="str">
        <f>VLOOKUP( $B55, T_Aop[], 6, 1)</f>
        <v xml:space="preserve">  Troškovi zaposlenih na službenom putu</v>
      </c>
      <c r="E55" s="489"/>
      <c r="F55" s="489"/>
      <c r="G55" s="489"/>
      <c r="H55" s="490"/>
      <c r="I55" s="315">
        <f>VLOOKUP( $B55, T_Aop[], 4, 1)</f>
        <v>637</v>
      </c>
      <c r="J55" s="217">
        <v>22601</v>
      </c>
      <c r="K55" s="218">
        <v>26839</v>
      </c>
      <c r="O55" s="29"/>
    </row>
    <row r="56" spans="2:15" x14ac:dyDescent="0.2">
      <c r="B56" s="66">
        <v>359</v>
      </c>
      <c r="C56" s="313" t="str">
        <f>VLOOKUP( $B56, T_Aop[], 5, 1)</f>
        <v>dio 525</v>
      </c>
      <c r="D56" s="491" t="str">
        <f>VLOOKUP( $B56, T_Aop[], 6, 1)</f>
        <v xml:space="preserve">    Od toga: dnevnice</v>
      </c>
      <c r="E56" s="492"/>
      <c r="F56" s="492"/>
      <c r="G56" s="492"/>
      <c r="H56" s="493"/>
      <c r="I56" s="263">
        <f>VLOOKUP( $B56, T_Aop[], 4, 1)</f>
        <v>638</v>
      </c>
      <c r="J56" s="215">
        <v>16701</v>
      </c>
      <c r="K56" s="216">
        <v>21416</v>
      </c>
      <c r="O56" s="29"/>
    </row>
    <row r="57" spans="2:15" ht="12.75" customHeight="1" x14ac:dyDescent="0.2">
      <c r="B57" s="66">
        <v>360</v>
      </c>
      <c r="C57" s="309">
        <f>VLOOKUP( $B57, T_Aop[], 5, 1)</f>
        <v>53</v>
      </c>
      <c r="D57" s="466" t="str">
        <f>VLOOKUP( $B57, T_Aop[], 6, 1)</f>
        <v>TROŠKOVI PROIZVODNIH USLUGA (640 + 641 + 642 + 643 + 644 + 645 + 646 + 647)</v>
      </c>
      <c r="E57" s="467"/>
      <c r="F57" s="467"/>
      <c r="G57" s="467"/>
      <c r="H57" s="468"/>
      <c r="I57" s="310">
        <f>VLOOKUP( $B57, T_Aop[], 4, 1)</f>
        <v>639</v>
      </c>
      <c r="J57" s="88">
        <f>SUBTOTAL( 9, J58:J65)</f>
        <v>706192</v>
      </c>
      <c r="K57" s="89">
        <f>SUBTOTAL( 9, K58:K65)</f>
        <v>829933</v>
      </c>
      <c r="O57" s="29"/>
    </row>
    <row r="58" spans="2:15" ht="12.75" customHeight="1" x14ac:dyDescent="0.2">
      <c r="B58" s="66">
        <v>361</v>
      </c>
      <c r="C58" s="313">
        <f>VLOOKUP( $B58, T_Aop[], 5, 1)</f>
        <v>530</v>
      </c>
      <c r="D58" s="491" t="str">
        <f>VLOOKUP( $B58, T_Aop[], 6, 1)</f>
        <v xml:space="preserve">  a) Troškovi usluga na izradi učinaka</v>
      </c>
      <c r="E58" s="492"/>
      <c r="F58" s="492"/>
      <c r="G58" s="492"/>
      <c r="H58" s="493"/>
      <c r="I58" s="263">
        <f>VLOOKUP( $B58, T_Aop[], 4, 1)</f>
        <v>640</v>
      </c>
      <c r="J58" s="215"/>
      <c r="K58" s="216"/>
      <c r="O58" s="29"/>
    </row>
    <row r="59" spans="2:15" ht="12.75" customHeight="1" x14ac:dyDescent="0.2">
      <c r="B59" s="66">
        <v>362</v>
      </c>
      <c r="C59" s="314">
        <f>VLOOKUP( $B59, T_Aop[], 5, 1)</f>
        <v>531</v>
      </c>
      <c r="D59" s="488" t="str">
        <f>VLOOKUP( $B59, T_Aop[], 6, 1)</f>
        <v xml:space="preserve">  b) Troškovi transportnih usluga</v>
      </c>
      <c r="E59" s="489"/>
      <c r="F59" s="489"/>
      <c r="G59" s="489"/>
      <c r="H59" s="490"/>
      <c r="I59" s="315">
        <f>VLOOKUP( $B59, T_Aop[], 4, 1)</f>
        <v>641</v>
      </c>
      <c r="J59" s="217">
        <v>422150</v>
      </c>
      <c r="K59" s="218">
        <v>421020</v>
      </c>
      <c r="O59" s="29"/>
    </row>
    <row r="60" spans="2:15" ht="12.75" customHeight="1" x14ac:dyDescent="0.2">
      <c r="B60" s="66">
        <v>363</v>
      </c>
      <c r="C60" s="313" t="str">
        <f>VLOOKUP( $B60, T_Aop[], 5, 1)</f>
        <v>dio 532</v>
      </c>
      <c r="D60" s="491" t="str">
        <f>VLOOKUP( $B60, T_Aop[], 6, 1)</f>
        <v xml:space="preserve">  v) Troškovi za usluge tekućeg održavanja osnovnih sredstava</v>
      </c>
      <c r="E60" s="492"/>
      <c r="F60" s="492"/>
      <c r="G60" s="492"/>
      <c r="H60" s="493"/>
      <c r="I60" s="263">
        <f>VLOOKUP( $B60, T_Aop[], 4, 1)</f>
        <v>642</v>
      </c>
      <c r="J60" s="215">
        <v>97091</v>
      </c>
      <c r="K60" s="216">
        <v>18719</v>
      </c>
      <c r="O60" s="29"/>
    </row>
    <row r="61" spans="2:15" ht="12.75" customHeight="1" x14ac:dyDescent="0.2">
      <c r="B61" s="66">
        <v>364</v>
      </c>
      <c r="C61" s="314" t="str">
        <f>VLOOKUP( $B61, T_Aop[], 5, 1)</f>
        <v>dio 532</v>
      </c>
      <c r="D61" s="488" t="str">
        <f>VLOOKUP( $B61, T_Aop[], 6, 1)</f>
        <v xml:space="preserve">  g) Troškovi za usluge investicionog održavanja osnovnih sredstava</v>
      </c>
      <c r="E61" s="489"/>
      <c r="F61" s="489"/>
      <c r="G61" s="489"/>
      <c r="H61" s="490"/>
      <c r="I61" s="315">
        <f>VLOOKUP( $B61, T_Aop[], 4, 1)</f>
        <v>643</v>
      </c>
      <c r="J61" s="217">
        <v>5889</v>
      </c>
      <c r="K61" s="218">
        <v>52721</v>
      </c>
      <c r="O61" s="29"/>
    </row>
    <row r="62" spans="2:15" x14ac:dyDescent="0.2">
      <c r="B62" s="66">
        <v>365</v>
      </c>
      <c r="C62" s="313">
        <f>VLOOKUP( $B62, T_Aop[], 5, 1)</f>
        <v>533</v>
      </c>
      <c r="D62" s="491" t="str">
        <f>VLOOKUP( $B62, T_Aop[], 6, 1)</f>
        <v xml:space="preserve">  d) Troškovi zakupa</v>
      </c>
      <c r="E62" s="492"/>
      <c r="F62" s="492"/>
      <c r="G62" s="492"/>
      <c r="H62" s="493"/>
      <c r="I62" s="263">
        <f>VLOOKUP( $B62, T_Aop[], 4, 1)</f>
        <v>644</v>
      </c>
      <c r="J62" s="215">
        <v>164604</v>
      </c>
      <c r="K62" s="216">
        <v>323217</v>
      </c>
      <c r="O62" s="29"/>
    </row>
    <row r="63" spans="2:15" ht="12.75" customHeight="1" x14ac:dyDescent="0.2">
      <c r="B63" s="66">
        <v>366</v>
      </c>
      <c r="C63" s="314" t="str">
        <f>VLOOKUP( $B63, T_Aop[], 5, 1)</f>
        <v>534 + 535</v>
      </c>
      <c r="D63" s="488" t="str">
        <f>VLOOKUP( $B63, T_Aop[], 6, 1)</f>
        <v xml:space="preserve">  đ) Troškovi sajmova, reklame i propagande</v>
      </c>
      <c r="E63" s="489"/>
      <c r="F63" s="489"/>
      <c r="G63" s="489"/>
      <c r="H63" s="490"/>
      <c r="I63" s="315">
        <f>VLOOKUP( $B63, T_Aop[], 4, 1)</f>
        <v>645</v>
      </c>
      <c r="J63" s="217">
        <v>468</v>
      </c>
      <c r="K63" s="218">
        <v>3079</v>
      </c>
      <c r="O63" s="29"/>
    </row>
    <row r="64" spans="2:15" ht="12.75" customHeight="1" x14ac:dyDescent="0.2">
      <c r="B64" s="66">
        <v>367</v>
      </c>
      <c r="C64" s="313" t="str">
        <f>VLOOKUP( $B64, T_Aop[], 5, 1)</f>
        <v>536 + 537</v>
      </c>
      <c r="D64" s="491" t="str">
        <f>VLOOKUP( $B64, T_Aop[], 6, 1)</f>
        <v xml:space="preserve">  e) Troškovi istraživanja i razvoja koji se ne kapitalizuju</v>
      </c>
      <c r="E64" s="492"/>
      <c r="F64" s="492"/>
      <c r="G64" s="492"/>
      <c r="H64" s="493"/>
      <c r="I64" s="263">
        <f>VLOOKUP( $B64, T_Aop[], 4, 1)</f>
        <v>646</v>
      </c>
      <c r="J64" s="215"/>
      <c r="K64" s="216"/>
      <c r="O64" s="29"/>
    </row>
    <row r="65" spans="2:15" ht="12.75" customHeight="1" x14ac:dyDescent="0.2">
      <c r="B65" s="66">
        <v>368</v>
      </c>
      <c r="C65" s="314">
        <f>VLOOKUP( $B65, T_Aop[], 5, 1)</f>
        <v>539</v>
      </c>
      <c r="D65" s="488" t="str">
        <f>VLOOKUP( $B65, T_Aop[], 6, 1)</f>
        <v xml:space="preserve">  ž) Troškovi ostalih usluga</v>
      </c>
      <c r="E65" s="489"/>
      <c r="F65" s="489"/>
      <c r="G65" s="489"/>
      <c r="H65" s="490"/>
      <c r="I65" s="315">
        <f>VLOOKUP( $B65, T_Aop[], 4, 1)</f>
        <v>647</v>
      </c>
      <c r="J65" s="217">
        <v>15990</v>
      </c>
      <c r="K65" s="218">
        <v>11177</v>
      </c>
      <c r="O65" s="29"/>
    </row>
    <row r="66" spans="2:15" ht="12.75" customHeight="1" x14ac:dyDescent="0.2">
      <c r="B66" s="66">
        <v>369</v>
      </c>
      <c r="C66" s="313" t="str">
        <f>VLOOKUP( $B66, T_Aop[], 5, 1)</f>
        <v>dio 539</v>
      </c>
      <c r="D66" s="491" t="str">
        <f>VLOOKUP( $B66, T_Aop[], 6, 1)</f>
        <v xml:space="preserve">    Od toga: bruto iznosi naknada po ugovorima sa fizičkim licima van radnog odnosa</v>
      </c>
      <c r="E66" s="492"/>
      <c r="F66" s="492"/>
      <c r="G66" s="492"/>
      <c r="H66" s="493"/>
      <c r="I66" s="263">
        <f>VLOOKUP( $B66, T_Aop[], 4, 1)</f>
        <v>648</v>
      </c>
      <c r="J66" s="215"/>
      <c r="K66" s="216"/>
      <c r="O66" s="29"/>
    </row>
    <row r="67" spans="2:15" ht="12.75" customHeight="1" x14ac:dyDescent="0.2">
      <c r="B67" s="66">
        <v>370</v>
      </c>
      <c r="C67" s="309">
        <f>VLOOKUP( $B67, T_Aop[], 5, 1)</f>
        <v>55</v>
      </c>
      <c r="D67" s="466" t="str">
        <f>VLOOKUP( $B67, T_Aop[], 6, 1)</f>
        <v>NEMATERIJALNI TROŠKOVI (650 + 653 + 654 + 655 + 656 + 657 + 658 + 659)</v>
      </c>
      <c r="E67" s="467"/>
      <c r="F67" s="467"/>
      <c r="G67" s="467"/>
      <c r="H67" s="468"/>
      <c r="I67" s="310">
        <f>VLOOKUP( $B67, T_Aop[], 4, 1)</f>
        <v>649</v>
      </c>
      <c r="J67" s="88">
        <f>SUBTOTAL( 9, J68, J71:J77)</f>
        <v>253930</v>
      </c>
      <c r="K67" s="89">
        <f>SUBTOTAL( 9, K68, K71:K77)</f>
        <v>282081</v>
      </c>
      <c r="O67" s="29"/>
    </row>
    <row r="68" spans="2:15" ht="12.75" customHeight="1" x14ac:dyDescent="0.2">
      <c r="B68" s="66">
        <v>371</v>
      </c>
      <c r="C68" s="313">
        <f>VLOOKUP( $B68, T_Aop[], 5, 1)</f>
        <v>550</v>
      </c>
      <c r="D68" s="491" t="str">
        <f>VLOOKUP( $B68, T_Aop[], 6, 1)</f>
        <v xml:space="preserve">  a) Troškovi neproizvodnih usluga</v>
      </c>
      <c r="E68" s="492"/>
      <c r="F68" s="492"/>
      <c r="G68" s="492"/>
      <c r="H68" s="493"/>
      <c r="I68" s="263">
        <f>VLOOKUP( $B68, T_Aop[], 4, 1)</f>
        <v>650</v>
      </c>
      <c r="J68" s="215">
        <v>35529</v>
      </c>
      <c r="K68" s="216">
        <v>61635</v>
      </c>
      <c r="O68" s="29"/>
    </row>
    <row r="69" spans="2:15" ht="12.75" customHeight="1" x14ac:dyDescent="0.2">
      <c r="B69" s="66">
        <v>372</v>
      </c>
      <c r="C69" s="314" t="str">
        <f>VLOOKUP( $B69, T_Aop[], 5, 1)</f>
        <v>dio 550</v>
      </c>
      <c r="D69" s="488" t="str">
        <f>VLOOKUP( $B69, T_Aop[], 6, 1)</f>
        <v xml:space="preserve">    Od toga: troškovi stručnog obrazovanja i usavršavanja zaposlenih</v>
      </c>
      <c r="E69" s="489"/>
      <c r="F69" s="489"/>
      <c r="G69" s="489"/>
      <c r="H69" s="490"/>
      <c r="I69" s="315">
        <f>VLOOKUP( $B69, T_Aop[], 4, 1)</f>
        <v>651</v>
      </c>
      <c r="J69" s="217">
        <v>633</v>
      </c>
      <c r="K69" s="218">
        <v>2143</v>
      </c>
      <c r="O69"/>
    </row>
    <row r="70" spans="2:15" ht="12.75" customHeight="1" x14ac:dyDescent="0.2">
      <c r="B70" s="66">
        <v>373</v>
      </c>
      <c r="C70" s="313" t="str">
        <f>VLOOKUP( $B70, T_Aop[], 5, 1)</f>
        <v>dio 550</v>
      </c>
      <c r="D70" s="491" t="str">
        <f>VLOOKUP( $B70, T_Aop[], 6, 1)</f>
        <v xml:space="preserve">    Od toga: bruto iznosi naknada po ugovorima sa fizičkim licima van radnog odnosa</v>
      </c>
      <c r="E70" s="492"/>
      <c r="F70" s="492"/>
      <c r="G70" s="492"/>
      <c r="H70" s="493"/>
      <c r="I70" s="263">
        <f>VLOOKUP( $B70, T_Aop[], 4, 1)</f>
        <v>652</v>
      </c>
      <c r="J70" s="215"/>
      <c r="K70" s="216"/>
      <c r="O70"/>
    </row>
    <row r="71" spans="2:15" ht="12.75" customHeight="1" x14ac:dyDescent="0.2">
      <c r="B71" s="66">
        <v>374</v>
      </c>
      <c r="C71" s="314">
        <f>VLOOKUP( $B71, T_Aop[], 5, 1)</f>
        <v>551</v>
      </c>
      <c r="D71" s="488" t="str">
        <f>VLOOKUP( $B71, T_Aop[], 6, 1)</f>
        <v xml:space="preserve">  b) Troškovi reprezentacije</v>
      </c>
      <c r="E71" s="489"/>
      <c r="F71" s="489"/>
      <c r="G71" s="489"/>
      <c r="H71" s="490"/>
      <c r="I71" s="315">
        <f>VLOOKUP( $B71, T_Aop[], 4, 1)</f>
        <v>653</v>
      </c>
      <c r="J71" s="217">
        <v>15983</v>
      </c>
      <c r="K71" s="218">
        <v>7021</v>
      </c>
      <c r="O71"/>
    </row>
    <row r="72" spans="2:15" ht="12.75" customHeight="1" x14ac:dyDescent="0.2">
      <c r="B72" s="66">
        <v>375</v>
      </c>
      <c r="C72" s="313">
        <f>VLOOKUP( $B72, T_Aop[], 5, 1)</f>
        <v>552</v>
      </c>
      <c r="D72" s="491" t="str">
        <f>VLOOKUP( $B72, T_Aop[], 6, 1)</f>
        <v xml:space="preserve">  v) Troškovi premije osiguranja</v>
      </c>
      <c r="E72" s="492"/>
      <c r="F72" s="492"/>
      <c r="G72" s="492"/>
      <c r="H72" s="493"/>
      <c r="I72" s="263">
        <f>VLOOKUP( $B72, T_Aop[], 4, 1)</f>
        <v>654</v>
      </c>
      <c r="J72" s="215">
        <v>22831</v>
      </c>
      <c r="K72" s="216">
        <v>19414</v>
      </c>
      <c r="O72" s="29"/>
    </row>
    <row r="73" spans="2:15" ht="12.75" customHeight="1" x14ac:dyDescent="0.2">
      <c r="B73" s="66">
        <v>376</v>
      </c>
      <c r="C73" s="314">
        <f>VLOOKUP( $B73, T_Aop[], 5, 1)</f>
        <v>553</v>
      </c>
      <c r="D73" s="488" t="str">
        <f>VLOOKUP( $B73, T_Aop[], 6, 1)</f>
        <v xml:space="preserve">  g) Troškovi platnog prometa</v>
      </c>
      <c r="E73" s="489"/>
      <c r="F73" s="489"/>
      <c r="G73" s="489"/>
      <c r="H73" s="490"/>
      <c r="I73" s="315">
        <f>VLOOKUP( $B73, T_Aop[], 4, 1)</f>
        <v>655</v>
      </c>
      <c r="J73" s="217">
        <v>7685</v>
      </c>
      <c r="K73" s="218">
        <v>8601</v>
      </c>
      <c r="O73" s="29"/>
    </row>
    <row r="74" spans="2:15" ht="12.75" customHeight="1" x14ac:dyDescent="0.2">
      <c r="B74" s="66">
        <v>377</v>
      </c>
      <c r="C74" s="313">
        <f>VLOOKUP( $B74, T_Aop[], 5, 1)</f>
        <v>554</v>
      </c>
      <c r="D74" s="491" t="str">
        <f>VLOOKUP( $B74, T_Aop[], 6, 1)</f>
        <v xml:space="preserve">  d) Troškovi članarina</v>
      </c>
      <c r="E74" s="492"/>
      <c r="F74" s="492"/>
      <c r="G74" s="492"/>
      <c r="H74" s="493"/>
      <c r="I74" s="263">
        <f>VLOOKUP( $B74, T_Aop[], 4, 1)</f>
        <v>656</v>
      </c>
      <c r="J74" s="215">
        <v>126578</v>
      </c>
      <c r="K74" s="216">
        <v>113680</v>
      </c>
      <c r="O74" s="29"/>
    </row>
    <row r="75" spans="2:15" ht="12.75" customHeight="1" x14ac:dyDescent="0.2">
      <c r="B75" s="66">
        <v>378</v>
      </c>
      <c r="C75" s="314" t="str">
        <f>VLOOKUP( $B75, T_Aop[], 5, 1)</f>
        <v>dio 555</v>
      </c>
      <c r="D75" s="488" t="str">
        <f>VLOOKUP( $B75, T_Aop[], 6, 1)</f>
        <v xml:space="preserve">  đ) Troškovi poreza na proizvode, carine, boravišne takse, porez na igre na sreću i sl.</v>
      </c>
      <c r="E75" s="489"/>
      <c r="F75" s="489"/>
      <c r="G75" s="489"/>
      <c r="H75" s="490"/>
      <c r="I75" s="315">
        <f>VLOOKUP( $B75, T_Aop[], 4, 1)</f>
        <v>657</v>
      </c>
      <c r="J75" s="217"/>
      <c r="K75" s="218"/>
      <c r="O75" s="29"/>
    </row>
    <row r="76" spans="2:15" ht="25.5" customHeight="1" x14ac:dyDescent="0.2">
      <c r="B76" s="66">
        <v>379</v>
      </c>
      <c r="C76" s="313" t="str">
        <f>VLOOKUP( $B76, T_Aop[], 5, 1)</f>
        <v>dio 555</v>
      </c>
      <c r="D76" s="491" t="str">
        <f>VLOOKUP( $B76, T_Aop[], 6, 1)</f>
        <v xml:space="preserve">  e) Troškovi poreza na proizvodnju: na imovinu, na zemljište, za korišćenje voda i šuma, za protivpožarnu zaštitu i sl.</v>
      </c>
      <c r="E76" s="492"/>
      <c r="F76" s="492"/>
      <c r="G76" s="492"/>
      <c r="H76" s="493"/>
      <c r="I76" s="263">
        <f>VLOOKUP( $B76, T_Aop[], 4, 1)</f>
        <v>658</v>
      </c>
      <c r="J76" s="215">
        <v>20948</v>
      </c>
      <c r="K76" s="216">
        <v>38407</v>
      </c>
      <c r="O76" s="184" t="s">
        <v>625</v>
      </c>
    </row>
    <row r="77" spans="2:15" ht="12.75" customHeight="1" x14ac:dyDescent="0.2">
      <c r="B77" s="66">
        <v>380</v>
      </c>
      <c r="C77" s="314">
        <f>VLOOKUP( $B77, T_Aop[], 5, 1)</f>
        <v>559</v>
      </c>
      <c r="D77" s="488" t="str">
        <f>VLOOKUP( $B77, T_Aop[], 6, 1)</f>
        <v xml:space="preserve">  ž) Ostali nematerijalni troškovi</v>
      </c>
      <c r="E77" s="489"/>
      <c r="F77" s="489"/>
      <c r="G77" s="489"/>
      <c r="H77" s="490"/>
      <c r="I77" s="315">
        <f>VLOOKUP( $B77, T_Aop[], 4, 1)</f>
        <v>659</v>
      </c>
      <c r="J77" s="217">
        <v>24376</v>
      </c>
      <c r="K77" s="218">
        <v>33323</v>
      </c>
      <c r="O77" s="29"/>
    </row>
    <row r="78" spans="2:15" ht="12.75" customHeight="1" x14ac:dyDescent="0.2">
      <c r="B78" s="66">
        <v>381</v>
      </c>
      <c r="C78" s="308">
        <f>VLOOKUP( $B78, T_Aop[], 5, 1)</f>
        <v>0</v>
      </c>
      <c r="D78" s="497" t="str">
        <f>VLOOKUP( $B78, T_Aop[], 6, 1)</f>
        <v>OBAVEZE I POTRAŽIVANJA</v>
      </c>
      <c r="E78" s="498"/>
      <c r="F78" s="498"/>
      <c r="G78" s="498"/>
      <c r="H78" s="499"/>
      <c r="I78" s="265">
        <f>VLOOKUP( $B78, T_Aop[], 4, 1)</f>
        <v>660</v>
      </c>
      <c r="J78" s="122"/>
      <c r="K78" s="123"/>
      <c r="O78" s="29"/>
    </row>
    <row r="79" spans="2:15" ht="12.75" customHeight="1" x14ac:dyDescent="0.2">
      <c r="B79" s="66">
        <v>382</v>
      </c>
      <c r="C79" s="314" t="str">
        <f>VLOOKUP( $B79, T_Aop[], 5, 1)</f>
        <v>47, osim 479</v>
      </c>
      <c r="D79" s="488" t="str">
        <f>VLOOKUP( $B79, T_Aop[], 6, 1)</f>
        <v xml:space="preserve">  Obračunati (fakturisani) porez na dodatu vrijednost (kumulativan promet konta)</v>
      </c>
      <c r="E79" s="489"/>
      <c r="F79" s="489"/>
      <c r="G79" s="489"/>
      <c r="H79" s="490"/>
      <c r="I79" s="315">
        <f>VLOOKUP( $B79, T_Aop[], 4, 1)</f>
        <v>661</v>
      </c>
      <c r="J79" s="217">
        <v>1245207</v>
      </c>
      <c r="K79" s="218">
        <v>1064611</v>
      </c>
      <c r="O79" s="29"/>
    </row>
    <row r="80" spans="2:15" ht="12.75" customHeight="1" x14ac:dyDescent="0.2">
      <c r="B80" s="66">
        <v>383</v>
      </c>
      <c r="C80" s="313" t="str">
        <f>VLOOKUP( $B80, T_Aop[], 5, 1)</f>
        <v>27, osim 279</v>
      </c>
      <c r="D80" s="491" t="str">
        <f>VLOOKUP( $B80, T_Aop[], 6, 1)</f>
        <v xml:space="preserve">  Ulazni porez na dodatu vrijednost (kumulativan promet konta)</v>
      </c>
      <c r="E80" s="492"/>
      <c r="F80" s="492"/>
      <c r="G80" s="492"/>
      <c r="H80" s="493"/>
      <c r="I80" s="263">
        <f>VLOOKUP( $B80, T_Aop[], 4, 1)</f>
        <v>662</v>
      </c>
      <c r="J80" s="215">
        <v>1134731</v>
      </c>
      <c r="K80" s="216">
        <v>780542</v>
      </c>
      <c r="O80" s="29"/>
    </row>
    <row r="81" spans="2:15" ht="12.75" customHeight="1" x14ac:dyDescent="0.2">
      <c r="B81" s="66">
        <v>384</v>
      </c>
      <c r="C81" s="314">
        <f>VLOOKUP( $B81, T_Aop[], 5, 1)</f>
        <v>479</v>
      </c>
      <c r="D81" s="488" t="str">
        <f>VLOOKUP( $B81, T_Aop[], 6, 1)</f>
        <v xml:space="preserve">  Obaveze za PDV po osnovu razlike između obračunatog i akontacionog PDV-a (saldo konta)</v>
      </c>
      <c r="E81" s="489"/>
      <c r="F81" s="489"/>
      <c r="G81" s="489"/>
      <c r="H81" s="490"/>
      <c r="I81" s="315">
        <f>VLOOKUP( $B81, T_Aop[], 4, 1)</f>
        <v>663</v>
      </c>
      <c r="J81" s="217">
        <v>69006</v>
      </c>
      <c r="K81" s="218">
        <v>36040</v>
      </c>
      <c r="O81" s="29"/>
    </row>
    <row r="82" spans="2:15" ht="12.75" customHeight="1" x14ac:dyDescent="0.2">
      <c r="B82" s="66">
        <v>385</v>
      </c>
      <c r="C82" s="313">
        <f>VLOOKUP( $B82, T_Aop[], 5, 1)</f>
        <v>279</v>
      </c>
      <c r="D82" s="491" t="str">
        <f>VLOOKUP( $B82, T_Aop[], 6, 1)</f>
        <v xml:space="preserve">  Potraživanja po osnovu razlike između akontacionog i obračunatog PDV-a (saldo konta)</v>
      </c>
      <c r="E82" s="492"/>
      <c r="F82" s="492"/>
      <c r="G82" s="492"/>
      <c r="H82" s="493"/>
      <c r="I82" s="263">
        <f>VLOOKUP( $B82, T_Aop[], 4, 1)</f>
        <v>664</v>
      </c>
      <c r="J82" s="215"/>
      <c r="K82" s="216">
        <v>41760</v>
      </c>
      <c r="O82" s="29"/>
    </row>
    <row r="83" spans="2:15" ht="12.75" customHeight="1" x14ac:dyDescent="0.2">
      <c r="B83" s="66">
        <v>386</v>
      </c>
      <c r="C83" s="314">
        <f>VLOOKUP( $B83, T_Aop[], 5, 1)</f>
        <v>271</v>
      </c>
      <c r="D83" s="488" t="str">
        <f>VLOOKUP( $B83, T_Aop[], 6, 1)</f>
        <v xml:space="preserve">  PDV plaćen pri uvozu (kumulativan promet konta)</v>
      </c>
      <c r="E83" s="489"/>
      <c r="F83" s="489"/>
      <c r="G83" s="489"/>
      <c r="H83" s="490"/>
      <c r="I83" s="315">
        <f>VLOOKUP( $B83, T_Aop[], 4, 1)</f>
        <v>665</v>
      </c>
      <c r="J83" s="217"/>
      <c r="K83" s="218"/>
      <c r="O83" s="29"/>
    </row>
    <row r="84" spans="2:15" ht="12.75" customHeight="1" x14ac:dyDescent="0.2">
      <c r="B84" s="66">
        <v>387</v>
      </c>
      <c r="C84" s="313">
        <f>VLOOKUP( $B84, T_Aop[], 5, 1)</f>
        <v>484</v>
      </c>
      <c r="D84" s="491" t="str">
        <f>VLOOKUP( $B84, T_Aop[], 6, 1)</f>
        <v xml:space="preserve">  Obaveze za PDV plaćen pri uvozu (kumulativan promet konta)</v>
      </c>
      <c r="E84" s="492"/>
      <c r="F84" s="492"/>
      <c r="G84" s="492"/>
      <c r="H84" s="493"/>
      <c r="I84" s="263">
        <f>VLOOKUP( $B84, T_Aop[], 4, 1)</f>
        <v>666</v>
      </c>
      <c r="J84" s="215">
        <v>165228</v>
      </c>
      <c r="K84" s="216">
        <v>10304</v>
      </c>
      <c r="O84" s="29"/>
    </row>
    <row r="85" spans="2:15" ht="12.75" customHeight="1" x14ac:dyDescent="0.2">
      <c r="B85" s="66">
        <v>388</v>
      </c>
      <c r="C85" s="314">
        <f>VLOOKUP( $B85, T_Aop[], 5, 1)</f>
        <v>480</v>
      </c>
      <c r="D85" s="488" t="str">
        <f>VLOOKUP( $B85, T_Aop[], 6, 1)</f>
        <v xml:space="preserve">  Obaveze za akcize (kumulativan promet konta)</v>
      </c>
      <c r="E85" s="489"/>
      <c r="F85" s="489"/>
      <c r="G85" s="489"/>
      <c r="H85" s="490"/>
      <c r="I85" s="315">
        <f>VLOOKUP( $B85, T_Aop[], 4, 1)</f>
        <v>667</v>
      </c>
      <c r="J85" s="217"/>
      <c r="K85" s="218"/>
      <c r="O85" s="29"/>
    </row>
    <row r="86" spans="2:15" ht="12.75" customHeight="1" x14ac:dyDescent="0.2">
      <c r="B86" s="66">
        <v>389</v>
      </c>
      <c r="C86" s="313" t="str">
        <f>VLOOKUP( $B86, T_Aop[], 5, 1)</f>
        <v>nema konta</v>
      </c>
      <c r="D86" s="491" t="str">
        <f>VLOOKUP( $B86, T_Aop[], 6, 1)</f>
        <v xml:space="preserve">  Prihodi ostvareni na bazi podugovaranja</v>
      </c>
      <c r="E86" s="492"/>
      <c r="F86" s="492"/>
      <c r="G86" s="492"/>
      <c r="H86" s="493"/>
      <c r="I86" s="263">
        <f>VLOOKUP( $B86, T_Aop[], 4, 1)</f>
        <v>668</v>
      </c>
      <c r="J86" s="215"/>
      <c r="K86" s="216"/>
      <c r="O86" s="29"/>
    </row>
    <row r="87" spans="2:15" ht="12.75" customHeight="1" x14ac:dyDescent="0.2">
      <c r="B87" s="66">
        <v>390</v>
      </c>
      <c r="C87" s="314" t="str">
        <f>VLOOKUP( $B87, T_Aop[], 5, 1)</f>
        <v>nema konta</v>
      </c>
      <c r="D87" s="488" t="str">
        <f>VLOOKUP( $B87, T_Aop[], 6, 1)</f>
        <v xml:space="preserve">  Plaćanja podugovaračima za rad, isporučene proizvode i usluge</v>
      </c>
      <c r="E87" s="489"/>
      <c r="F87" s="489"/>
      <c r="G87" s="489"/>
      <c r="H87" s="490"/>
      <c r="I87" s="315">
        <f>VLOOKUP( $B87, T_Aop[], 4, 1)</f>
        <v>669</v>
      </c>
      <c r="J87" s="217"/>
      <c r="K87" s="218"/>
      <c r="O87" s="29"/>
    </row>
    <row r="88" spans="2:15" ht="25.5" customHeight="1" x14ac:dyDescent="0.2">
      <c r="B88" s="66">
        <v>391</v>
      </c>
      <c r="C88" s="316" t="str">
        <f>VLOOKUP( $B88, T_Aop[], 5, 1)</f>
        <v>nema konta</v>
      </c>
      <c r="D88" s="494" t="str">
        <f>VLOOKUP( $B88, T_Aop[], 6, 1)</f>
        <v xml:space="preserve">  Ukupan broj odrađenih časova rada (efektivni časovi rada bez bolovanja, godišnjih odmora, državnih praznika i sl.)</v>
      </c>
      <c r="E88" s="495"/>
      <c r="F88" s="495"/>
      <c r="G88" s="495"/>
      <c r="H88" s="496"/>
      <c r="I88" s="304">
        <f>VLOOKUP( $B88, T_Aop[], 4, 1)</f>
        <v>670</v>
      </c>
      <c r="J88" s="352">
        <v>1096889</v>
      </c>
      <c r="K88" s="353">
        <v>1099150</v>
      </c>
      <c r="O88" s="184" t="s">
        <v>625</v>
      </c>
    </row>
    <row r="89" spans="2:15" x14ac:dyDescent="0.2"/>
    <row r="90" spans="2:15" x14ac:dyDescent="0.2">
      <c r="C90" s="272" t="str">
        <f>Podnozje_U</f>
        <v>U:</v>
      </c>
      <c r="D90" s="269" t="str">
        <f>Podatak_U</f>
        <v>Doboju</v>
      </c>
      <c r="E90" s="52"/>
      <c r="G90"/>
      <c r="H90" s="154" t="str">
        <f>Podnozje_Lice_sa_licencom</f>
        <v>Lice sa licencom:</v>
      </c>
      <c r="I90" s="270" t="str">
        <f>Podatak_Lice_sa_licencom</f>
        <v>Mira Simić</v>
      </c>
      <c r="J90" s="271"/>
      <c r="K90" s="271"/>
    </row>
    <row r="91" spans="2:15" x14ac:dyDescent="0.2">
      <c r="C91" s="30"/>
      <c r="D91" s="174"/>
      <c r="E91" s="53"/>
      <c r="F91" s="50" t="str">
        <f>Podnozje_MP</f>
        <v>(M.P.)</v>
      </c>
      <c r="G91"/>
      <c r="H91"/>
      <c r="I91"/>
    </row>
    <row r="92" spans="2:15" x14ac:dyDescent="0.2">
      <c r="C92" s="272" t="str">
        <f>Podnozje_Dana</f>
        <v>Datum:</v>
      </c>
      <c r="D92" s="270" t="str">
        <f>Podatak_Dana</f>
        <v>30.06.2021.</v>
      </c>
      <c r="E92" s="53"/>
      <c r="F92" s="51"/>
      <c r="G92"/>
      <c r="H92" s="154" t="str">
        <f>Podnozje_Direktor</f>
        <v>Lice ovlašćeno za zastupanje:</v>
      </c>
      <c r="I92" s="270" t="str">
        <f>Podatak_Direktor</f>
        <v>Željko Radić</v>
      </c>
      <c r="J92" s="271"/>
      <c r="K92" s="271"/>
    </row>
    <row r="93" spans="2:15" x14ac:dyDescent="0.2">
      <c r="G93" s="52"/>
      <c r="H93" s="50"/>
      <c r="I93" s="273"/>
      <c r="J93" s="52"/>
      <c r="K93" s="52"/>
    </row>
    <row r="94" spans="2:15" hidden="1" x14ac:dyDescent="0.2">
      <c r="F94" s="53"/>
      <c r="G94" s="53"/>
      <c r="H94" s="53"/>
      <c r="I94" s="9"/>
      <c r="J94" s="50"/>
      <c r="K94" s="50"/>
    </row>
  </sheetData>
  <sheetProtection password="832E" sheet="1" objects="1" scenarios="1"/>
  <mergeCells count="90">
    <mergeCell ref="D40:H40"/>
    <mergeCell ref="D27:H27"/>
    <mergeCell ref="D35:H35"/>
    <mergeCell ref="D36:H36"/>
    <mergeCell ref="D37:H37"/>
    <mergeCell ref="D38:H38"/>
    <mergeCell ref="D39:H39"/>
    <mergeCell ref="D28:H28"/>
    <mergeCell ref="D31:H31"/>
    <mergeCell ref="D32:H32"/>
    <mergeCell ref="D33:H33"/>
    <mergeCell ref="D34:H34"/>
    <mergeCell ref="D29:H29"/>
    <mergeCell ref="D30:H30"/>
    <mergeCell ref="D52:H52"/>
    <mergeCell ref="D41:H41"/>
    <mergeCell ref="D42:H42"/>
    <mergeCell ref="D43:H43"/>
    <mergeCell ref="D44:H44"/>
    <mergeCell ref="D45:H45"/>
    <mergeCell ref="D46:H46"/>
    <mergeCell ref="D47:H47"/>
    <mergeCell ref="D48:H48"/>
    <mergeCell ref="D49:H49"/>
    <mergeCell ref="D50:H50"/>
    <mergeCell ref="D51:H51"/>
    <mergeCell ref="D26:H26"/>
    <mergeCell ref="D5:E5"/>
    <mergeCell ref="I16:I17"/>
    <mergeCell ref="J16:K16"/>
    <mergeCell ref="C16:C17"/>
    <mergeCell ref="D16:H17"/>
    <mergeCell ref="C7:E8"/>
    <mergeCell ref="J5:K5"/>
    <mergeCell ref="J6:K6"/>
    <mergeCell ref="J7:K7"/>
    <mergeCell ref="D19:H19"/>
    <mergeCell ref="D20:H20"/>
    <mergeCell ref="D21:H21"/>
    <mergeCell ref="D22:H22"/>
    <mergeCell ref="D25:H25"/>
    <mergeCell ref="C9:F9"/>
    <mergeCell ref="D18:H18"/>
    <mergeCell ref="D6:E6"/>
    <mergeCell ref="D10:E10"/>
    <mergeCell ref="D11:E11"/>
    <mergeCell ref="J10:K10"/>
    <mergeCell ref="J8:K8"/>
    <mergeCell ref="J9:K9"/>
    <mergeCell ref="C12:K12"/>
    <mergeCell ref="C13:K13"/>
    <mergeCell ref="C14:K14"/>
    <mergeCell ref="D65:H65"/>
    <mergeCell ref="D53:H53"/>
    <mergeCell ref="D59:H59"/>
    <mergeCell ref="D60:H60"/>
    <mergeCell ref="D61:H61"/>
    <mergeCell ref="D62:H62"/>
    <mergeCell ref="D63:H63"/>
    <mergeCell ref="D64:H64"/>
    <mergeCell ref="D54:H54"/>
    <mergeCell ref="D55:H55"/>
    <mergeCell ref="D56:H56"/>
    <mergeCell ref="D57:H57"/>
    <mergeCell ref="D58:H58"/>
    <mergeCell ref="D77:H77"/>
    <mergeCell ref="D78:H78"/>
    <mergeCell ref="D66:H66"/>
    <mergeCell ref="D67:H67"/>
    <mergeCell ref="D68:H68"/>
    <mergeCell ref="D69:H69"/>
    <mergeCell ref="D70:H70"/>
    <mergeCell ref="D72:H72"/>
    <mergeCell ref="D71:H71"/>
    <mergeCell ref="D23:H23"/>
    <mergeCell ref="D24:H24"/>
    <mergeCell ref="D85:H85"/>
    <mergeCell ref="D86:H86"/>
    <mergeCell ref="D88:H88"/>
    <mergeCell ref="D79:H79"/>
    <mergeCell ref="D80:H80"/>
    <mergeCell ref="D81:H81"/>
    <mergeCell ref="D82:H82"/>
    <mergeCell ref="D83:H83"/>
    <mergeCell ref="D84:H84"/>
    <mergeCell ref="D87:H87"/>
    <mergeCell ref="D73:H73"/>
    <mergeCell ref="D74:H74"/>
    <mergeCell ref="D75:H75"/>
    <mergeCell ref="D76:H76"/>
  </mergeCells>
  <phoneticPr fontId="1" type="noConversion"/>
  <dataValidations xWindow="1237" yWindow="723" count="2">
    <dataValidation type="whole" operator="greaterThanOrEqual" allowBlank="1" showInputMessage="1" showErrorMessage="1" errorTitle="Greška" error="Unose se vrijednosti u konvertibilnim markama, bez decimalnih mjesta. Nije dozvoljen unos negativnih brojeva." sqref="J19:K36 J38:K56 J58:K66 J68:K88">
      <formula1>0</formula1>
    </dataValidation>
    <dataValidation type="whole" operator="greaterThanOrEqual" allowBlank="1" showInputMessage="1" showErrorMessage="1" errorTitle="Graška" error="Unose se vrijednosti u konvertibilnim markama, bez decimalnih mjesta. Nije dozvoljen unos negativnih brojeva." prompt="U ovo polje se ne unosi iznos._x000a_Polje se automatski računa u skladu sa formulom." sqref="J37:K37 J57:K57 J67:K67">
      <formula1>0</formula1>
    </dataValidation>
  </dataValidations>
  <pageMargins left="0.39370078740157483" right="0.39370078740157483" top="0.39370078740157483" bottom="0.39370078740157483" header="0.31496062992125984" footer="0.23622047244094491"/>
  <pageSetup paperSize="9" scale="70" orientation="portrait" r:id="rId1"/>
  <headerFooter alignWithMargins="0">
    <oddFooter>&amp;R&amp;"Verdana,Regular"&amp;8Strana &amp;P od &amp;N</oddFooter>
  </headerFooter>
  <rowBreaks count="1" manualBreakCount="1">
    <brk id="50" min="2" max="1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079" r:id="rId4" name="Navigacija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0</xdr:row>
                    <xdr:rowOff>47625</xdr:rowOff>
                  </from>
                  <to>
                    <xdr:col>7</xdr:col>
                    <xdr:colOff>1095375</xdr:colOff>
                    <xdr:row>3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05">
    <tabColor rgb="FFB2B2B2"/>
  </sheetPr>
  <dimension ref="B1:Q45"/>
  <sheetViews>
    <sheetView showGridLines="0" showRowColHeaders="0" zoomScaleNormal="100" zoomScaleSheetLayoutView="100" workbookViewId="0">
      <pane ySplit="4" topLeftCell="A5" activePane="bottomLeft" state="frozen"/>
      <selection activeCell="D15" sqref="D15"/>
      <selection pane="bottomLeft" activeCell="N34" sqref="N34"/>
    </sheetView>
  </sheetViews>
  <sheetFormatPr defaultColWidth="0" defaultRowHeight="12.75" zeroHeight="1" x14ac:dyDescent="0.2"/>
  <cols>
    <col min="1" max="1" width="5.7109375" style="8" customWidth="1"/>
    <col min="2" max="2" width="5.7109375" style="8" hidden="1" customWidth="1"/>
    <col min="3" max="3" width="13.7109375" style="8" customWidth="1"/>
    <col min="4" max="6" width="25.140625" style="8" customWidth="1"/>
    <col min="7" max="7" width="7.140625" style="8" customWidth="1"/>
    <col min="8" max="15" width="15.7109375" style="8" customWidth="1"/>
    <col min="16" max="16" width="5.7109375" style="8" customWidth="1"/>
    <col min="17" max="17" width="9.140625" style="8" hidden="1" customWidth="1"/>
    <col min="18" max="16384" width="0" style="8" hidden="1"/>
  </cols>
  <sheetData>
    <row r="1" spans="3:17" x14ac:dyDescent="0.2"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3:17" x14ac:dyDescent="0.2"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3:17" x14ac:dyDescent="0.2"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3:17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3:17" x14ac:dyDescent="0.2">
      <c r="C5" s="16" t="str">
        <f>Zaglavlje_MB</f>
        <v>Matični broj:</v>
      </c>
      <c r="D5" s="524" t="str">
        <f>Podatak_MB</f>
        <v>01494562</v>
      </c>
      <c r="E5" s="524"/>
      <c r="F5"/>
      <c r="M5" s="17" t="str">
        <f>Zaglavlje_Ziro_racun</f>
        <v>Poslovni računi:</v>
      </c>
      <c r="N5" s="501" t="str">
        <f>Podatak_Ziro_racun_1</f>
        <v>562-005-00003035-69</v>
      </c>
      <c r="O5" s="501"/>
    </row>
    <row r="6" spans="3:17" x14ac:dyDescent="0.2">
      <c r="C6" s="16" t="str">
        <f>Zaglavlje_Sifra_djelatnosti</f>
        <v>Šifra djelatnosti:</v>
      </c>
      <c r="D6" s="525" t="str">
        <f>Podatak_Sifra_djelatnosti</f>
        <v>49.10</v>
      </c>
      <c r="E6" s="525"/>
      <c r="F6"/>
      <c r="H6" s="9"/>
      <c r="N6" s="501" t="str">
        <f>Podatak_Ziro_racun_2</f>
        <v>551-004-00009770-60</v>
      </c>
      <c r="O6" s="501"/>
    </row>
    <row r="7" spans="3:17" ht="15" customHeight="1" x14ac:dyDescent="0.2">
      <c r="C7" s="508" t="str">
        <f>Zaglavlje_Naziv_preduzeca</f>
        <v>Naziv privrednog društva, zadruge, drugog pravnog lica ili preduzetnika:</v>
      </c>
      <c r="D7" s="508"/>
      <c r="E7" s="231"/>
      <c r="F7"/>
      <c r="H7" s="19"/>
      <c r="N7" s="501" t="str">
        <f>Podatak_Ziro_racun_3</f>
        <v>562-005-80858186-91</v>
      </c>
      <c r="O7" s="501"/>
    </row>
    <row r="8" spans="3:17" x14ac:dyDescent="0.2">
      <c r="C8" s="508"/>
      <c r="D8" s="508"/>
      <c r="E8" s="231"/>
      <c r="F8"/>
      <c r="H8" s="19"/>
      <c r="N8" s="501" t="str">
        <f>Podatak_Ziro_racun_4</f>
        <v/>
      </c>
      <c r="O8" s="501"/>
    </row>
    <row r="9" spans="3:17" x14ac:dyDescent="0.2">
      <c r="C9" s="509" t="str">
        <f>Podatak_Naziv_preduzeca</f>
        <v>Željeznice RS a.d. Doboj</v>
      </c>
      <c r="D9" s="509"/>
      <c r="E9" s="232"/>
      <c r="F9"/>
      <c r="H9" s="16"/>
      <c r="N9" s="501" t="str">
        <f>Podatak_Ziro_racun_5</f>
        <v/>
      </c>
      <c r="O9" s="501"/>
    </row>
    <row r="10" spans="3:17" x14ac:dyDescent="0.2">
      <c r="C10" s="16" t="str">
        <f>Zaglavlje_Sjediste</f>
        <v>Sjedište:</v>
      </c>
      <c r="D10" s="67" t="str">
        <f>Podatak_Sjediste</f>
        <v>Svetog Save 71</v>
      </c>
      <c r="E10" s="67"/>
      <c r="F10"/>
      <c r="H10" s="16"/>
      <c r="N10" s="501" t="str">
        <f>Podatak_Ziro_racun_6</f>
        <v/>
      </c>
      <c r="O10" s="501"/>
    </row>
    <row r="11" spans="3:17" x14ac:dyDescent="0.2">
      <c r="C11" s="16" t="str">
        <f>Zaglavlje_JIB</f>
        <v>JIB:</v>
      </c>
      <c r="D11" s="67" t="str">
        <f>Podatak_JIB</f>
        <v>4400025960001</v>
      </c>
      <c r="E11" s="67"/>
      <c r="F11"/>
      <c r="H11" s="20"/>
      <c r="I11" s="20"/>
      <c r="J11" s="20"/>
      <c r="K11" s="21"/>
      <c r="L11" s="21"/>
      <c r="M11" s="20"/>
      <c r="N11"/>
      <c r="O11"/>
    </row>
    <row r="12" spans="3:17" ht="15.75" x14ac:dyDescent="0.2">
      <c r="C12" s="457" t="str">
        <f>IF( Id_Konsolidovani, Nazivi_bilansa_Konsolidovani_naziv &amp; LOWER( Nazivi_bilansa_BPK), Nazivi_bilansa_BPK)</f>
        <v>Izvještaj o promjenama u kapitalu</v>
      </c>
      <c r="D12" s="457"/>
      <c r="E12" s="457"/>
      <c r="F12" s="457"/>
      <c r="G12" s="457"/>
      <c r="H12" s="457"/>
      <c r="I12" s="457"/>
      <c r="J12" s="457"/>
      <c r="K12" s="457"/>
      <c r="L12" s="457"/>
      <c r="M12" s="457"/>
      <c r="N12" s="457"/>
      <c r="O12" s="457"/>
    </row>
    <row r="13" spans="3:17" x14ac:dyDescent="0.2">
      <c r="C13" s="454" t="str">
        <f>Datumi_Datum_BPK</f>
        <v>za period koji se završava na dan 30.06.2021. godine</v>
      </c>
      <c r="D13" s="454"/>
      <c r="E13" s="454"/>
      <c r="F13" s="454"/>
      <c r="G13" s="454"/>
      <c r="H13" s="454"/>
      <c r="I13" s="454"/>
      <c r="J13" s="454"/>
      <c r="K13" s="454"/>
      <c r="L13" s="454"/>
      <c r="M13" s="454"/>
      <c r="N13" s="454"/>
      <c r="O13" s="454"/>
    </row>
    <row r="14" spans="3:17" x14ac:dyDescent="0.2"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3" t="str">
        <f>Tabele_zaglavlje_Valuta</f>
        <v>- u konvertibilnim markama -</v>
      </c>
    </row>
    <row r="15" spans="3:17" x14ac:dyDescent="0.2">
      <c r="C15" s="510" t="str">
        <f>Tabele_zaglavlje_Redni_broj</f>
        <v>Redni broj</v>
      </c>
      <c r="D15" s="439" t="str">
        <f>Tabele_zaglavlje_BPK1</f>
        <v>Vrsta promjene u kapitalu</v>
      </c>
      <c r="E15" s="503"/>
      <c r="F15" s="440"/>
      <c r="G15" s="453" t="str">
        <f>Tabele_zaglavlje_BPK0</f>
        <v>Dio kapitala koji pripada vlasnicima matičnog privrednog društva</v>
      </c>
      <c r="H15" s="453"/>
      <c r="I15" s="453"/>
      <c r="J15" s="453"/>
      <c r="K15" s="453"/>
      <c r="L15" s="453"/>
      <c r="M15" s="453"/>
      <c r="N15" s="407" t="str">
        <f>Tabele_zaglavlje_BPK9</f>
        <v>Manjinski interes</v>
      </c>
      <c r="O15" s="431" t="str">
        <f>Tabele_zaglavlje_BPK10</f>
        <v>UKUPNI KAPITAL</v>
      </c>
    </row>
    <row r="16" spans="3:17" ht="89.25" x14ac:dyDescent="0.2">
      <c r="C16" s="511"/>
      <c r="D16" s="441"/>
      <c r="E16" s="504"/>
      <c r="F16" s="442"/>
      <c r="G16" s="68" t="str">
        <f>Tabele_zaglavlje_Oznaka_aop</f>
        <v>Oznaka za AOP</v>
      </c>
      <c r="H16" s="68" t="str">
        <f>Tabele_zaglavlje_BPK3</f>
        <v>Akcijski kapital i udjeli u društvo sa ograničenom odgovornošću</v>
      </c>
      <c r="I16" s="68" t="str">
        <f>Tabele_zaglavlje_BPK4</f>
        <v>Revalorizacione rezerve (MRS 16, MRS 21 i MRS 38)</v>
      </c>
      <c r="J16" s="68" t="str">
        <f>Tabele_zaglavlje_BPK5</f>
        <v>Nerealizovani dobici/ gubici po osnovu finansijskih sredstava raspoloživih za prodaju</v>
      </c>
      <c r="K16" s="68" t="str">
        <f>Tabele_zaglavlje_BPK6</f>
        <v xml:space="preserve">Ostale rezerve (emisiona premija, zakonske i statutarne rezerve, zaštita gotovinskih tokova) </v>
      </c>
      <c r="L16" s="68" t="str">
        <f>Tabele_zaglavlje_BPK7</f>
        <v>Akumulisani neraspoređeni dobitak / nepokriveni gubitak</v>
      </c>
      <c r="M16" s="68" t="str">
        <f>Tabele_zaglavlje_BPK8</f>
        <v>Ukupno</v>
      </c>
      <c r="N16" s="502"/>
      <c r="O16" s="432"/>
      <c r="Q16" s="185" t="s">
        <v>824</v>
      </c>
    </row>
    <row r="17" spans="2:17" x14ac:dyDescent="0.2">
      <c r="B17" s="60" t="s">
        <v>408</v>
      </c>
      <c r="C17" s="69"/>
      <c r="D17" s="526">
        <v>1</v>
      </c>
      <c r="E17" s="527"/>
      <c r="F17" s="528"/>
      <c r="G17" s="27">
        <v>2</v>
      </c>
      <c r="H17" s="27">
        <v>3</v>
      </c>
      <c r="I17" s="27">
        <v>4</v>
      </c>
      <c r="J17" s="27">
        <v>5</v>
      </c>
      <c r="K17" s="27">
        <v>6</v>
      </c>
      <c r="L17" s="27">
        <v>7</v>
      </c>
      <c r="M17" s="27">
        <v>8</v>
      </c>
      <c r="N17" s="27">
        <v>9</v>
      </c>
      <c r="O17" s="28">
        <v>10</v>
      </c>
    </row>
    <row r="18" spans="2:17" x14ac:dyDescent="0.2">
      <c r="B18" s="66">
        <v>392</v>
      </c>
      <c r="C18" s="291" t="str">
        <f>VLOOKUP($B18,Aop!$A$2:$L$415,5,1)</f>
        <v>1.</v>
      </c>
      <c r="D18" s="529" t="str">
        <f>VLOOKUP($B18,Aop!$A$2:$L$415,6,1)</f>
        <v>Stanje na dan 01.01.2020. god.</v>
      </c>
      <c r="E18" s="530"/>
      <c r="F18" s="531"/>
      <c r="G18" s="292">
        <f>VLOOKUP($B18,Aop!$A$2:$L$415,4,1)</f>
        <v>901</v>
      </c>
      <c r="H18" s="354">
        <v>50000</v>
      </c>
      <c r="I18" s="354">
        <v>225286778</v>
      </c>
      <c r="J18" s="354"/>
      <c r="K18" s="354"/>
      <c r="L18" s="354">
        <v>-81872253</v>
      </c>
      <c r="M18" s="214">
        <f>SUM(H18:L18)</f>
        <v>143464525</v>
      </c>
      <c r="N18" s="354"/>
      <c r="O18" s="100">
        <f>SUM(M18:N18)</f>
        <v>143464525</v>
      </c>
    </row>
    <row r="19" spans="2:17" x14ac:dyDescent="0.2">
      <c r="B19" s="66">
        <v>393</v>
      </c>
      <c r="C19" s="299" t="str">
        <f>VLOOKUP($B19,Aop!$A$2:$L$415,5,1)</f>
        <v>2.</v>
      </c>
      <c r="D19" s="512" t="str">
        <f>VLOOKUP($B19,Aop!$A$2:$L$415,6,1)</f>
        <v xml:space="preserve">    Efekti promjena u računovodstvenim politikama </v>
      </c>
      <c r="E19" s="513"/>
      <c r="F19" s="514"/>
      <c r="G19" s="300">
        <f>VLOOKUP($B19,Aop!$A$2:$L$415,4,1)</f>
        <v>902</v>
      </c>
      <c r="H19" s="215"/>
      <c r="I19" s="215"/>
      <c r="J19" s="215"/>
      <c r="K19" s="215"/>
      <c r="L19" s="215"/>
      <c r="M19" s="204">
        <f t="shared" ref="M19:M40" si="0">SUM(H19:L19)</f>
        <v>0</v>
      </c>
      <c r="N19" s="215"/>
      <c r="O19" s="206">
        <f t="shared" ref="O19:O40" si="1">SUM(M19:N19)</f>
        <v>0</v>
      </c>
    </row>
    <row r="20" spans="2:17" x14ac:dyDescent="0.2">
      <c r="B20" s="66">
        <v>394</v>
      </c>
      <c r="C20" s="301" t="str">
        <f>VLOOKUP($B20,Aop!$A$2:$L$415,5,1)</f>
        <v>3.</v>
      </c>
      <c r="D20" s="505" t="str">
        <f>VLOOKUP($B20,Aop!$A$2:$L$415,6,1)</f>
        <v xml:space="preserve">    Efekti ispravke grešaka</v>
      </c>
      <c r="E20" s="506"/>
      <c r="F20" s="507"/>
      <c r="G20" s="302">
        <f>VLOOKUP($B20,Aop!$A$2:$L$415,4,1)</f>
        <v>903</v>
      </c>
      <c r="H20" s="217"/>
      <c r="I20" s="217"/>
      <c r="J20" s="217"/>
      <c r="K20" s="217"/>
      <c r="L20" s="217"/>
      <c r="M20" s="205">
        <f t="shared" si="0"/>
        <v>0</v>
      </c>
      <c r="N20" s="217"/>
      <c r="O20" s="207">
        <f t="shared" si="1"/>
        <v>0</v>
      </c>
    </row>
    <row r="21" spans="2:17" x14ac:dyDescent="0.2">
      <c r="B21" s="66">
        <v>395</v>
      </c>
      <c r="C21" s="293" t="str">
        <f>VLOOKUP($B21,Aop!$A$2:$L$415,5,1)</f>
        <v>4.</v>
      </c>
      <c r="D21" s="518" t="str">
        <f>VLOOKUP($B21,Aop!$A$2:$L$415,6,1)</f>
        <v>Ponovo iskazano stanje na dan 01.01.2020. god. (901 ± 902 ± 903)</v>
      </c>
      <c r="E21" s="519"/>
      <c r="F21" s="520"/>
      <c r="G21" s="294">
        <f>VLOOKUP($B21,Aop!$A$2:$L$415,4,1)</f>
        <v>904</v>
      </c>
      <c r="H21" s="84">
        <f>SUM(H18:H20)</f>
        <v>50000</v>
      </c>
      <c r="I21" s="84">
        <f>SUM(I18:I20)</f>
        <v>225286778</v>
      </c>
      <c r="J21" s="84">
        <f>SUM(J18:J20)</f>
        <v>0</v>
      </c>
      <c r="K21" s="84">
        <f>SUM(K18:K20)</f>
        <v>0</v>
      </c>
      <c r="L21" s="84">
        <f>SUM(L18:L20)</f>
        <v>-81872253</v>
      </c>
      <c r="M21" s="204">
        <f t="shared" si="0"/>
        <v>143464525</v>
      </c>
      <c r="N21" s="84">
        <f>SUM(N18:N20)</f>
        <v>0</v>
      </c>
      <c r="O21" s="85">
        <f t="shared" si="1"/>
        <v>143464525</v>
      </c>
    </row>
    <row r="22" spans="2:17" x14ac:dyDescent="0.2">
      <c r="B22" s="66">
        <v>396</v>
      </c>
      <c r="C22" s="301" t="str">
        <f>VLOOKUP($B22,Aop!$A$2:$L$415,5,1)</f>
        <v>5.</v>
      </c>
      <c r="D22" s="505" t="str">
        <f>VLOOKUP($B22,Aop!$A$2:$L$415,6,1)</f>
        <v xml:space="preserve">    Efekti revalorizacije materijalnih i nematerijalnih sredstava</v>
      </c>
      <c r="E22" s="506"/>
      <c r="F22" s="507"/>
      <c r="G22" s="302">
        <f>VLOOKUP($B22,Aop!$A$2:$L$415,4,1)</f>
        <v>905</v>
      </c>
      <c r="H22" s="217"/>
      <c r="I22" s="217"/>
      <c r="J22" s="217"/>
      <c r="K22" s="217"/>
      <c r="L22" s="217"/>
      <c r="M22" s="205">
        <f t="shared" si="0"/>
        <v>0</v>
      </c>
      <c r="N22" s="217"/>
      <c r="O22" s="207">
        <f t="shared" si="1"/>
        <v>0</v>
      </c>
    </row>
    <row r="23" spans="2:17" ht="25.5" x14ac:dyDescent="0.2">
      <c r="B23" s="66">
        <v>397</v>
      </c>
      <c r="C23" s="299" t="str">
        <f>VLOOKUP($B23,Aop!$A$2:$L$415,5,1)</f>
        <v>6.</v>
      </c>
      <c r="D23" s="512" t="str">
        <f>VLOOKUP($B23,Aop!$A$2:$L$415,6,1)</f>
        <v xml:space="preserve">    Nerealizovani dobici/gubici po osnovu finansijskih sredstava raspoloživih za prodaju</v>
      </c>
      <c r="E23" s="513"/>
      <c r="F23" s="514"/>
      <c r="G23" s="300">
        <f>VLOOKUP($B23,Aop!$A$2:$L$415,4,1)</f>
        <v>906</v>
      </c>
      <c r="H23" s="215"/>
      <c r="I23" s="215"/>
      <c r="J23" s="215"/>
      <c r="K23" s="215"/>
      <c r="L23" s="215"/>
      <c r="M23" s="204">
        <f t="shared" si="0"/>
        <v>0</v>
      </c>
      <c r="N23" s="215"/>
      <c r="O23" s="206">
        <f t="shared" si="1"/>
        <v>0</v>
      </c>
      <c r="Q23" s="184" t="s">
        <v>625</v>
      </c>
    </row>
    <row r="24" spans="2:17" ht="25.5" x14ac:dyDescent="0.2">
      <c r="B24" s="66">
        <v>398</v>
      </c>
      <c r="C24" s="301" t="str">
        <f>VLOOKUP($B24,Aop!$A$2:$L$415,5,1)</f>
        <v>7.</v>
      </c>
      <c r="D24" s="505" t="str">
        <f>VLOOKUP($B24,Aop!$A$2:$L$415,6,1)</f>
        <v xml:space="preserve">    Kursne razlike nastale po osnovu preračuna finansijskih izvještaja u drugu funkcionalnu valutu</v>
      </c>
      <c r="E24" s="506"/>
      <c r="F24" s="507"/>
      <c r="G24" s="302">
        <f>VLOOKUP($B24,Aop!$A$2:$L$415,4,1)</f>
        <v>907</v>
      </c>
      <c r="H24" s="217"/>
      <c r="I24" s="217"/>
      <c r="J24" s="217"/>
      <c r="K24" s="217"/>
      <c r="L24" s="217"/>
      <c r="M24" s="205">
        <f t="shared" si="0"/>
        <v>0</v>
      </c>
      <c r="N24" s="217"/>
      <c r="O24" s="207">
        <f t="shared" si="1"/>
        <v>0</v>
      </c>
      <c r="Q24" s="184" t="s">
        <v>625</v>
      </c>
    </row>
    <row r="25" spans="2:17" x14ac:dyDescent="0.2">
      <c r="B25" s="66">
        <v>399</v>
      </c>
      <c r="C25" s="299" t="str">
        <f>VLOOKUP($B25,Aop!$A$2:$L$415,5,1)</f>
        <v>8.</v>
      </c>
      <c r="D25" s="512" t="str">
        <f>VLOOKUP($B25,Aop!$A$2:$L$415,6,1)</f>
        <v xml:space="preserve">    Neto dobitak/gubitak perioda iskazan u bilansu uspjeha</v>
      </c>
      <c r="E25" s="513"/>
      <c r="F25" s="514"/>
      <c r="G25" s="300">
        <f>VLOOKUP($B25,Aop!$A$2:$L$415,4,1)</f>
        <v>908</v>
      </c>
      <c r="H25" s="215"/>
      <c r="I25" s="215"/>
      <c r="J25" s="215"/>
      <c r="K25" s="215"/>
      <c r="L25" s="215">
        <v>-18525929</v>
      </c>
      <c r="M25" s="204">
        <f t="shared" si="0"/>
        <v>-18525929</v>
      </c>
      <c r="N25" s="215"/>
      <c r="O25" s="206">
        <f t="shared" si="1"/>
        <v>-18525929</v>
      </c>
    </row>
    <row r="26" spans="2:17" x14ac:dyDescent="0.2">
      <c r="B26" s="66">
        <v>400</v>
      </c>
      <c r="C26" s="301" t="str">
        <f>VLOOKUP($B26,Aop!$A$2:$L$415,5,1)</f>
        <v>9.</v>
      </c>
      <c r="D26" s="505" t="str">
        <f>VLOOKUP($B26,Aop!$A$2:$L$415,6,1)</f>
        <v xml:space="preserve">    Neto dobici/gubici perioda priznati direktno u kapitalu</v>
      </c>
      <c r="E26" s="506"/>
      <c r="F26" s="507"/>
      <c r="G26" s="302">
        <f>VLOOKUP($B26,Aop!$A$2:$L$415,4,1)</f>
        <v>909</v>
      </c>
      <c r="H26" s="217"/>
      <c r="I26" s="217"/>
      <c r="J26" s="217"/>
      <c r="K26" s="217"/>
      <c r="L26" s="217"/>
      <c r="M26" s="205">
        <f t="shared" si="0"/>
        <v>0</v>
      </c>
      <c r="N26" s="217"/>
      <c r="O26" s="207">
        <f t="shared" si="1"/>
        <v>0</v>
      </c>
    </row>
    <row r="27" spans="2:17" x14ac:dyDescent="0.2">
      <c r="B27" s="66">
        <v>401</v>
      </c>
      <c r="C27" s="299" t="str">
        <f>VLOOKUP($B27,Aop!$A$2:$L$415,5,1)</f>
        <v>10.</v>
      </c>
      <c r="D27" s="512" t="str">
        <f>VLOOKUP($B27,Aop!$A$2:$L$415,6,1)</f>
        <v xml:space="preserve">    Objavljene dividende i drugi vidovi raspodjele dobitka i pokriće gubitka</v>
      </c>
      <c r="E27" s="513"/>
      <c r="F27" s="514"/>
      <c r="G27" s="300">
        <f>VLOOKUP($B27,Aop!$A$2:$L$415,4,1)</f>
        <v>910</v>
      </c>
      <c r="H27" s="215"/>
      <c r="I27" s="215"/>
      <c r="J27" s="215"/>
      <c r="K27" s="215"/>
      <c r="L27" s="215"/>
      <c r="M27" s="204">
        <f t="shared" si="0"/>
        <v>0</v>
      </c>
      <c r="N27" s="215"/>
      <c r="O27" s="206">
        <f t="shared" si="1"/>
        <v>0</v>
      </c>
    </row>
    <row r="28" spans="2:17" x14ac:dyDescent="0.2">
      <c r="B28" s="66">
        <v>402</v>
      </c>
      <c r="C28" s="301" t="str">
        <f>VLOOKUP($B28,Aop!$A$2:$L$415,5,1)</f>
        <v>11.</v>
      </c>
      <c r="D28" s="505" t="str">
        <f>VLOOKUP($B28,Aop!$A$2:$L$415,6,1)</f>
        <v xml:space="preserve">    Emisija akcijskog kapitala i drugi vidovi povećanja ili smanjenje osnovnog kapitala</v>
      </c>
      <c r="E28" s="506"/>
      <c r="F28" s="507"/>
      <c r="G28" s="302">
        <f>VLOOKUP($B28,Aop!$A$2:$L$415,4,1)</f>
        <v>911</v>
      </c>
      <c r="H28" s="217"/>
      <c r="I28" s="217"/>
      <c r="J28" s="217"/>
      <c r="K28" s="217"/>
      <c r="L28" s="217"/>
      <c r="M28" s="205">
        <f t="shared" si="0"/>
        <v>0</v>
      </c>
      <c r="N28" s="217"/>
      <c r="O28" s="207">
        <f t="shared" si="1"/>
        <v>0</v>
      </c>
    </row>
    <row r="29" spans="2:17" ht="25.5" x14ac:dyDescent="0.2">
      <c r="B29" s="66">
        <v>403</v>
      </c>
      <c r="C29" s="293" t="str">
        <f>VLOOKUP($B29,Aop!$A$2:$L$415,5,1)</f>
        <v>12.</v>
      </c>
      <c r="D29" s="518" t="str">
        <f>VLOOKUP($B29,Aop!$A$2:$L$415,6,1)</f>
        <v>Stanje na dan 31.12.2020. god. / 01.01.2021. god. (904 ± 905 ± 906 ± 907 ± 908 ± 909 - 910 + 911)</v>
      </c>
      <c r="E29" s="519"/>
      <c r="F29" s="520"/>
      <c r="G29" s="294">
        <f>VLOOKUP($B29,Aop!$A$2:$L$415,4,1)</f>
        <v>912</v>
      </c>
      <c r="H29" s="84">
        <f>SUM(H21:H26,-H27,H28)</f>
        <v>50000</v>
      </c>
      <c r="I29" s="84">
        <f>SUM(I21:I26,-I27,I28)</f>
        <v>225286778</v>
      </c>
      <c r="J29" s="84">
        <f>SUM(J21:J26,-J27,J28)</f>
        <v>0</v>
      </c>
      <c r="K29" s="84">
        <f>SUM(K21:K26,-K27,K28)</f>
        <v>0</v>
      </c>
      <c r="L29" s="84">
        <f>SUM(L21:L26,-L27,L28)</f>
        <v>-100398182</v>
      </c>
      <c r="M29" s="84">
        <f t="shared" si="0"/>
        <v>124938596</v>
      </c>
      <c r="N29" s="84">
        <f>SUM(N21:N26,-N27,N28)</f>
        <v>0</v>
      </c>
      <c r="O29" s="85">
        <f t="shared" si="1"/>
        <v>124938596</v>
      </c>
      <c r="Q29" s="184" t="s">
        <v>625</v>
      </c>
    </row>
    <row r="30" spans="2:17" x14ac:dyDescent="0.2">
      <c r="B30" s="66">
        <v>404</v>
      </c>
      <c r="C30" s="301" t="str">
        <f>VLOOKUP($B30,Aop!$A$2:$L$415,5,1)</f>
        <v>13.</v>
      </c>
      <c r="D30" s="505" t="str">
        <f>VLOOKUP($B30,Aop!$A$2:$L$415,6,1)</f>
        <v xml:space="preserve">    Efekti promjena u računovodstvenim politikama</v>
      </c>
      <c r="E30" s="506"/>
      <c r="F30" s="507"/>
      <c r="G30" s="302">
        <f>VLOOKUP($B30,Aop!$A$2:$L$415,4,1)</f>
        <v>913</v>
      </c>
      <c r="H30" s="217"/>
      <c r="I30" s="217"/>
      <c r="J30" s="217"/>
      <c r="K30" s="217"/>
      <c r="L30" s="217"/>
      <c r="M30" s="205">
        <f t="shared" si="0"/>
        <v>0</v>
      </c>
      <c r="N30" s="217"/>
      <c r="O30" s="207">
        <f t="shared" si="1"/>
        <v>0</v>
      </c>
    </row>
    <row r="31" spans="2:17" x14ac:dyDescent="0.2">
      <c r="B31" s="66">
        <v>405</v>
      </c>
      <c r="C31" s="299" t="str">
        <f>VLOOKUP($B31,Aop!$A$2:$L$415,5,1)</f>
        <v>14.</v>
      </c>
      <c r="D31" s="512" t="str">
        <f>VLOOKUP($B31,Aop!$A$2:$L$415,6,1)</f>
        <v xml:space="preserve">    Efekti ispravke grešaka</v>
      </c>
      <c r="E31" s="513"/>
      <c r="F31" s="514"/>
      <c r="G31" s="300">
        <f>VLOOKUP($B31,Aop!$A$2:$L$415,4,1)</f>
        <v>914</v>
      </c>
      <c r="H31" s="215"/>
      <c r="I31" s="215"/>
      <c r="J31" s="215"/>
      <c r="K31" s="215"/>
      <c r="L31" s="215"/>
      <c r="M31" s="204">
        <f t="shared" si="0"/>
        <v>0</v>
      </c>
      <c r="N31" s="215"/>
      <c r="O31" s="206">
        <f t="shared" si="1"/>
        <v>0</v>
      </c>
    </row>
    <row r="32" spans="2:17" x14ac:dyDescent="0.2">
      <c r="B32" s="66">
        <v>406</v>
      </c>
      <c r="C32" s="295" t="str">
        <f>VLOOKUP($B32,Aop!$A$2:$L$415,5,1)</f>
        <v>15.</v>
      </c>
      <c r="D32" s="521" t="str">
        <f>VLOOKUP($B32,Aop!$A$2:$L$415,6,1)</f>
        <v>Ponovo iskazano stanje na dan 01.01.2021. god. (912 ± 913 ± 914)</v>
      </c>
      <c r="E32" s="522"/>
      <c r="F32" s="523"/>
      <c r="G32" s="296">
        <f>VLOOKUP($B32,Aop!$A$2:$L$415,4,1)</f>
        <v>915</v>
      </c>
      <c r="H32" s="88">
        <f>SUM(H29:H31)</f>
        <v>50000</v>
      </c>
      <c r="I32" s="88">
        <f t="shared" ref="I32:N32" si="2">SUM(I29:I31)</f>
        <v>225286778</v>
      </c>
      <c r="J32" s="88">
        <f t="shared" si="2"/>
        <v>0</v>
      </c>
      <c r="K32" s="88">
        <f t="shared" si="2"/>
        <v>0</v>
      </c>
      <c r="L32" s="88">
        <f t="shared" si="2"/>
        <v>-100398182</v>
      </c>
      <c r="M32" s="88">
        <f t="shared" si="0"/>
        <v>124938596</v>
      </c>
      <c r="N32" s="88">
        <f t="shared" si="2"/>
        <v>0</v>
      </c>
      <c r="O32" s="89">
        <f t="shared" si="1"/>
        <v>124938596</v>
      </c>
    </row>
    <row r="33" spans="2:17" x14ac:dyDescent="0.2">
      <c r="B33" s="66">
        <v>407</v>
      </c>
      <c r="C33" s="299" t="str">
        <f>VLOOKUP($B33,Aop!$A$2:$L$415,5,1)</f>
        <v>16.</v>
      </c>
      <c r="D33" s="512" t="str">
        <f>VLOOKUP($B33,Aop!$A$2:$L$415,6,1)</f>
        <v xml:space="preserve">    Efekti revalorizacije materijalnih i nematerijalnih sredstava</v>
      </c>
      <c r="E33" s="513"/>
      <c r="F33" s="514"/>
      <c r="G33" s="300">
        <f>VLOOKUP($B33,Aop!$A$2:$L$415,4,1)</f>
        <v>916</v>
      </c>
      <c r="H33" s="215"/>
      <c r="I33" s="215"/>
      <c r="J33" s="215"/>
      <c r="K33" s="215"/>
      <c r="L33" s="215"/>
      <c r="M33" s="204">
        <f t="shared" si="0"/>
        <v>0</v>
      </c>
      <c r="N33" s="215"/>
      <c r="O33" s="206">
        <f t="shared" si="1"/>
        <v>0</v>
      </c>
    </row>
    <row r="34" spans="2:17" ht="25.5" x14ac:dyDescent="0.2">
      <c r="B34" s="66">
        <v>408</v>
      </c>
      <c r="C34" s="301" t="str">
        <f>VLOOKUP($B34,Aop!$A$2:$L$415,5,1)</f>
        <v>17.</v>
      </c>
      <c r="D34" s="505" t="str">
        <f>VLOOKUP($B34,Aop!$A$2:$L$415,6,1)</f>
        <v xml:space="preserve">    Nerealizovani dobici/gubici po osnovu finansijskih sredstava raspoloživih za prodaju</v>
      </c>
      <c r="E34" s="506"/>
      <c r="F34" s="507"/>
      <c r="G34" s="302">
        <f>VLOOKUP($B34,Aop!$A$2:$L$415,4,1)</f>
        <v>917</v>
      </c>
      <c r="H34" s="217"/>
      <c r="I34" s="217"/>
      <c r="J34" s="217"/>
      <c r="K34" s="217"/>
      <c r="L34" s="217"/>
      <c r="M34" s="205">
        <f t="shared" si="0"/>
        <v>0</v>
      </c>
      <c r="N34" s="217"/>
      <c r="O34" s="207">
        <f t="shared" si="1"/>
        <v>0</v>
      </c>
      <c r="Q34" s="184" t="s">
        <v>625</v>
      </c>
    </row>
    <row r="35" spans="2:17" ht="25.5" x14ac:dyDescent="0.2">
      <c r="B35" s="66">
        <v>409</v>
      </c>
      <c r="C35" s="299" t="str">
        <f>VLOOKUP($B35,Aop!$A$2:$L$415,5,1)</f>
        <v>18.</v>
      </c>
      <c r="D35" s="512" t="str">
        <f>VLOOKUP($B35,Aop!$A$2:$L$415,6,1)</f>
        <v xml:space="preserve">    Kursne razlike nastale po osnovu preračuna finansijskih izvještaja u drugu funkcionalnu valutu</v>
      </c>
      <c r="E35" s="513"/>
      <c r="F35" s="514"/>
      <c r="G35" s="300">
        <f>VLOOKUP($B35,Aop!$A$2:$L$415,4,1)</f>
        <v>918</v>
      </c>
      <c r="H35" s="215"/>
      <c r="I35" s="215"/>
      <c r="J35" s="215"/>
      <c r="K35" s="215"/>
      <c r="L35" s="215"/>
      <c r="M35" s="204">
        <f t="shared" si="0"/>
        <v>0</v>
      </c>
      <c r="N35" s="215"/>
      <c r="O35" s="206">
        <f t="shared" si="1"/>
        <v>0</v>
      </c>
      <c r="Q35" s="184" t="s">
        <v>625</v>
      </c>
    </row>
    <row r="36" spans="2:17" x14ac:dyDescent="0.2">
      <c r="B36" s="66">
        <v>410</v>
      </c>
      <c r="C36" s="301" t="str">
        <f>VLOOKUP($B36,Aop!$A$2:$L$415,5,1)</f>
        <v>19.</v>
      </c>
      <c r="D36" s="505" t="str">
        <f>VLOOKUP($B36,Aop!$A$2:$L$415,6,1)</f>
        <v xml:space="preserve">    Neto dobitak/gubitak perioda iskazan u bilansu uspjeha</v>
      </c>
      <c r="E36" s="506"/>
      <c r="F36" s="507"/>
      <c r="G36" s="302">
        <f>VLOOKUP($B36,Aop!$A$2:$L$415,4,1)</f>
        <v>919</v>
      </c>
      <c r="H36" s="217"/>
      <c r="I36" s="217"/>
      <c r="J36" s="217"/>
      <c r="K36" s="217"/>
      <c r="L36" s="217">
        <v>-4457963</v>
      </c>
      <c r="M36" s="205">
        <f t="shared" si="0"/>
        <v>-4457963</v>
      </c>
      <c r="N36" s="217"/>
      <c r="O36" s="207">
        <f t="shared" si="1"/>
        <v>-4457963</v>
      </c>
    </row>
    <row r="37" spans="2:17" x14ac:dyDescent="0.2">
      <c r="B37" s="66">
        <v>411</v>
      </c>
      <c r="C37" s="299" t="str">
        <f>VLOOKUP($B37,Aop!$A$2:$L$415,5,1)</f>
        <v>20.</v>
      </c>
      <c r="D37" s="512" t="str">
        <f>VLOOKUP($B37,Aop!$A$2:$L$415,6,1)</f>
        <v xml:space="preserve">    Neto dobici/gubici perioda priznati direktno u kapitalu</v>
      </c>
      <c r="E37" s="513"/>
      <c r="F37" s="514"/>
      <c r="G37" s="300">
        <f>VLOOKUP($B37,Aop!$A$2:$L$415,4,1)</f>
        <v>920</v>
      </c>
      <c r="H37" s="215"/>
      <c r="I37" s="215"/>
      <c r="J37" s="215"/>
      <c r="K37" s="215"/>
      <c r="L37" s="215"/>
      <c r="M37" s="204">
        <f t="shared" si="0"/>
        <v>0</v>
      </c>
      <c r="N37" s="215"/>
      <c r="O37" s="206">
        <f t="shared" si="1"/>
        <v>0</v>
      </c>
    </row>
    <row r="38" spans="2:17" x14ac:dyDescent="0.2">
      <c r="B38" s="66">
        <v>412</v>
      </c>
      <c r="C38" s="301" t="str">
        <f>VLOOKUP($B38,Aop!$A$2:$L$415,5,1)</f>
        <v>21.</v>
      </c>
      <c r="D38" s="505" t="str">
        <f>VLOOKUP($B38,Aop!$A$2:$L$415,6,1)</f>
        <v xml:space="preserve">    Objavljene dividende i drugi vidovi raspodjele dobitka i pokriće gubitka</v>
      </c>
      <c r="E38" s="506"/>
      <c r="F38" s="507"/>
      <c r="G38" s="302">
        <f>VLOOKUP($B38,Aop!$A$2:$L$415,4,1)</f>
        <v>921</v>
      </c>
      <c r="H38" s="217"/>
      <c r="I38" s="217"/>
      <c r="J38" s="217"/>
      <c r="K38" s="217"/>
      <c r="L38" s="217"/>
      <c r="M38" s="205">
        <f t="shared" si="0"/>
        <v>0</v>
      </c>
      <c r="N38" s="217"/>
      <c r="O38" s="207">
        <f t="shared" si="1"/>
        <v>0</v>
      </c>
    </row>
    <row r="39" spans="2:17" x14ac:dyDescent="0.2">
      <c r="B39" s="66">
        <v>413</v>
      </c>
      <c r="C39" s="299" t="str">
        <f>VLOOKUP($B39,Aop!$A$2:$L$415,5,1)</f>
        <v>22.</v>
      </c>
      <c r="D39" s="512" t="str">
        <f>VLOOKUP($B39,Aop!$A$2:$L$415,6,1)</f>
        <v xml:space="preserve">    Emisija akcijskog kapitala i drugi vidovi povećanja ili smanjenje osnovnog kapitala</v>
      </c>
      <c r="E39" s="513"/>
      <c r="F39" s="514"/>
      <c r="G39" s="300">
        <f>VLOOKUP($B39,Aop!$A$2:$L$415,4,1)</f>
        <v>922</v>
      </c>
      <c r="H39" s="215"/>
      <c r="I39" s="215"/>
      <c r="J39" s="215"/>
      <c r="K39" s="215"/>
      <c r="L39" s="215"/>
      <c r="M39" s="204">
        <f t="shared" si="0"/>
        <v>0</v>
      </c>
      <c r="N39" s="215"/>
      <c r="O39" s="206">
        <f t="shared" si="1"/>
        <v>0</v>
      </c>
    </row>
    <row r="40" spans="2:17" ht="12.75" customHeight="1" x14ac:dyDescent="0.2">
      <c r="B40" s="66">
        <v>414</v>
      </c>
      <c r="C40" s="297" t="str">
        <f>VLOOKUP($B40,Aop!$A$2:$L$415,5,1)</f>
        <v>23.</v>
      </c>
      <c r="D40" s="515" t="str">
        <f>VLOOKUP($B40,Aop!$A$2:$L$415,6,1)</f>
        <v>Stanje na dan 30.06.2021. god. (915 ± 916 ± 917 ± 918 ± 919 ± 920 - 921 + 922)</v>
      </c>
      <c r="E40" s="516"/>
      <c r="F40" s="517"/>
      <c r="G40" s="298">
        <f>VLOOKUP($B40,Aop!$A$2:$L$415,4,1)</f>
        <v>923</v>
      </c>
      <c r="H40" s="317">
        <f>SUM(H32:H37,-H38,H39)</f>
        <v>50000</v>
      </c>
      <c r="I40" s="317">
        <f t="shared" ref="I40:N40" si="3">SUM(I32:I37,-I38,I39)</f>
        <v>225286778</v>
      </c>
      <c r="J40" s="317">
        <f t="shared" si="3"/>
        <v>0</v>
      </c>
      <c r="K40" s="317">
        <f t="shared" si="3"/>
        <v>0</v>
      </c>
      <c r="L40" s="317">
        <f t="shared" si="3"/>
        <v>-104856145</v>
      </c>
      <c r="M40" s="317">
        <f t="shared" si="0"/>
        <v>120480633</v>
      </c>
      <c r="N40" s="317">
        <f t="shared" si="3"/>
        <v>0</v>
      </c>
      <c r="O40" s="318">
        <f t="shared" si="1"/>
        <v>120480633</v>
      </c>
    </row>
    <row r="41" spans="2:17" x14ac:dyDescent="0.2"/>
    <row r="42" spans="2:17" x14ac:dyDescent="0.2">
      <c r="C42" s="272" t="str">
        <f>Podnozje_U</f>
        <v>U:</v>
      </c>
      <c r="D42" s="269" t="str">
        <f>Podatak_U</f>
        <v>Doboju</v>
      </c>
      <c r="E42"/>
      <c r="F42"/>
      <c r="G42"/>
      <c r="K42"/>
      <c r="L42" s="154" t="str">
        <f>Podnozje_Lice_sa_licencom</f>
        <v>Lice sa licencom:</v>
      </c>
      <c r="M42" s="270" t="str">
        <f>Podatak_Lice_sa_licencom</f>
        <v>Mira Simić</v>
      </c>
      <c r="N42" s="271"/>
      <c r="O42" s="271"/>
    </row>
    <row r="43" spans="2:17" x14ac:dyDescent="0.2">
      <c r="C43" s="30"/>
      <c r="D43" s="174"/>
      <c r="E43"/>
      <c r="F43"/>
      <c r="G43"/>
      <c r="H43" s="51"/>
      <c r="J43" s="60" t="str">
        <f>Podnozje_MP</f>
        <v>(M.P.)</v>
      </c>
      <c r="K43"/>
      <c r="L43"/>
      <c r="M43"/>
    </row>
    <row r="44" spans="2:17" x14ac:dyDescent="0.2">
      <c r="C44" s="272" t="str">
        <f>Podnozje_Dana</f>
        <v>Datum:</v>
      </c>
      <c r="D44" s="270" t="str">
        <f>Podatak_Dana</f>
        <v>30.06.2021.</v>
      </c>
      <c r="E44"/>
      <c r="F44"/>
      <c r="G44"/>
      <c r="H44" s="51"/>
      <c r="K44"/>
      <c r="L44" s="154" t="str">
        <f>Podnozje_Direktor</f>
        <v>Lice ovlašćeno za zastupanje:</v>
      </c>
      <c r="M44" s="270" t="str">
        <f>Podatak_Direktor</f>
        <v>Željko Radić</v>
      </c>
      <c r="N44" s="271"/>
      <c r="O44" s="271"/>
    </row>
    <row r="45" spans="2:17" x14ac:dyDescent="0.2">
      <c r="K45"/>
      <c r="L45"/>
      <c r="M45"/>
      <c r="N45"/>
      <c r="O45"/>
    </row>
  </sheetData>
  <sheetProtection password="832E" sheet="1" objects="1" scenarios="1"/>
  <mergeCells count="41">
    <mergeCell ref="D5:E5"/>
    <mergeCell ref="D6:E6"/>
    <mergeCell ref="D35:F35"/>
    <mergeCell ref="D36:F36"/>
    <mergeCell ref="D37:F37"/>
    <mergeCell ref="D23:F23"/>
    <mergeCell ref="D24:F24"/>
    <mergeCell ref="D25:F25"/>
    <mergeCell ref="D26:F26"/>
    <mergeCell ref="D27:F27"/>
    <mergeCell ref="D28:F28"/>
    <mergeCell ref="D17:F17"/>
    <mergeCell ref="D18:F18"/>
    <mergeCell ref="D19:F19"/>
    <mergeCell ref="D20:F20"/>
    <mergeCell ref="D21:F21"/>
    <mergeCell ref="D39:F39"/>
    <mergeCell ref="D40:F40"/>
    <mergeCell ref="D29:F29"/>
    <mergeCell ref="D30:F30"/>
    <mergeCell ref="D31:F31"/>
    <mergeCell ref="D32:F32"/>
    <mergeCell ref="D33:F33"/>
    <mergeCell ref="D34:F34"/>
    <mergeCell ref="D38:F38"/>
    <mergeCell ref="D22:F22"/>
    <mergeCell ref="C7:D8"/>
    <mergeCell ref="C9:D9"/>
    <mergeCell ref="C15:C16"/>
    <mergeCell ref="G15:M15"/>
    <mergeCell ref="N15:N16"/>
    <mergeCell ref="O15:O16"/>
    <mergeCell ref="N10:O10"/>
    <mergeCell ref="C12:O12"/>
    <mergeCell ref="C13:O13"/>
    <mergeCell ref="D15:F16"/>
    <mergeCell ref="N5:O5"/>
    <mergeCell ref="N6:O6"/>
    <mergeCell ref="N7:O7"/>
    <mergeCell ref="N8:O8"/>
    <mergeCell ref="N9:O9"/>
  </mergeCells>
  <phoneticPr fontId="1" type="noConversion"/>
  <dataValidations xWindow="1231" yWindow="380" count="2">
    <dataValidation type="whole" operator="notEqual" allowBlank="1" showInputMessage="1" showErrorMessage="1" errorTitle="Graška" error="Unose se vrijednosti u konvertibilnim markama, bez decimalnih mjesta." sqref="H18:L20 N18:N20 H22:L28 N22:N28 H30:L31 N30:N31 H33:L39 N33:N39">
      <formula1>0</formula1>
    </dataValidation>
    <dataValidation type="whole" operator="greaterThanOrEqual" allowBlank="1" showInputMessage="1" errorTitle="Graška" error="Unose se vrijednosti u konvertibilnim markama, bez decimalnih mjesta. Nije dozvoljen unos negativnih brojeva." prompt="U ovo polje se ne unosi iznos._x000a_Polje se automatski računa u skladu sa formulom." sqref="H21:L21 N21 H29:L29 N29 H32:L32 N32 M18:M39 O18:O39 H40:O40">
      <formula1>0</formula1>
    </dataValidation>
  </dataValidations>
  <pageMargins left="0.39370078740157483" right="0.39370078740157483" top="0.39370078740157483" bottom="0.39370078740157483" header="0.31496062992125984" footer="0.23622047244094491"/>
  <pageSetup paperSize="9" scale="70" orientation="landscape" r:id="rId1"/>
  <headerFooter alignWithMargins="0">
    <oddFooter>&amp;RStrana &amp;P od &amp;N</oddFooter>
  </headerFooter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23" r:id="rId4" name="Navigacija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0</xdr:row>
                    <xdr:rowOff>47625</xdr:rowOff>
                  </from>
                  <to>
                    <xdr:col>7</xdr:col>
                    <xdr:colOff>933450</xdr:colOff>
                    <xdr:row>3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H98"/>
  <sheetViews>
    <sheetView showGridLines="0" workbookViewId="0">
      <pane xSplit="2" ySplit="1" topLeftCell="C2" activePane="bottomRight" state="frozen"/>
      <selection activeCell="C12" sqref="C12:O12"/>
      <selection pane="topRight" activeCell="C12" sqref="C12:O12"/>
      <selection pane="bottomLeft" activeCell="C12" sqref="C12:O12"/>
      <selection pane="bottomRight" activeCell="C12" sqref="C12:O12"/>
    </sheetView>
  </sheetViews>
  <sheetFormatPr defaultRowHeight="12.75" x14ac:dyDescent="0.2"/>
  <cols>
    <col min="1" max="1" width="16.140625" customWidth="1"/>
    <col min="2" max="2" width="27.42578125" customWidth="1"/>
    <col min="3" max="5" width="37.28515625" customWidth="1"/>
    <col min="6" max="6" width="35.28515625" customWidth="1"/>
    <col min="7" max="7" width="31.28515625" customWidth="1"/>
    <col min="8" max="8" width="12.5703125" customWidth="1"/>
  </cols>
  <sheetData>
    <row r="1" spans="1:8" ht="15" x14ac:dyDescent="0.2">
      <c r="A1" s="2" t="s">
        <v>390</v>
      </c>
      <c r="B1" s="2" t="s">
        <v>409</v>
      </c>
      <c r="C1" s="2" t="s">
        <v>386</v>
      </c>
      <c r="D1" s="2" t="s">
        <v>389</v>
      </c>
      <c r="E1" s="2" t="s">
        <v>387</v>
      </c>
      <c r="F1" s="47" t="s">
        <v>536</v>
      </c>
      <c r="G1" s="2" t="s">
        <v>421</v>
      </c>
      <c r="H1" s="2" t="s">
        <v>729</v>
      </c>
    </row>
    <row r="2" spans="1:8" x14ac:dyDescent="0.2">
      <c r="A2" s="1" t="s">
        <v>492</v>
      </c>
      <c r="B2" s="1" t="s">
        <v>493</v>
      </c>
      <c r="C2" s="1" t="s">
        <v>598</v>
      </c>
      <c r="D2" s="1" t="s">
        <v>599</v>
      </c>
      <c r="E2" s="1" t="s">
        <v>600</v>
      </c>
      <c r="F2" s="7" t="str">
        <f t="shared" ref="F2:F35" si="0">CHOOSE( ID_Jezik, C2, D2, E2)</f>
        <v>Podaci u zaglavlju:</v>
      </c>
      <c r="G2" s="7" t="str">
        <f>SUBSTITUTE(A2&amp;"_"&amp;B2," ","_")</f>
        <v>Objasnjenja_Zaglavlje</v>
      </c>
      <c r="H2">
        <f t="shared" ref="H2:H33" si="1">COUNTIF($B$2:$B$1024,"="&amp;B2)</f>
        <v>1</v>
      </c>
    </row>
    <row r="3" spans="1:8" x14ac:dyDescent="0.2">
      <c r="A3" s="1" t="s">
        <v>492</v>
      </c>
      <c r="B3" s="1" t="s">
        <v>494</v>
      </c>
      <c r="C3" s="1" t="s">
        <v>652</v>
      </c>
      <c r="D3" s="1" t="s">
        <v>653</v>
      </c>
      <c r="E3" s="1" t="s">
        <v>601</v>
      </c>
      <c r="F3" s="7" t="str">
        <f t="shared" si="0"/>
        <v>Podaci ispod izvještaja:</v>
      </c>
      <c r="G3" s="7" t="str">
        <f t="shared" ref="G3:G47" si="2">SUBSTITUTE(A3&amp;"_"&amp;B3," ","_")</f>
        <v>Objasnjenja_Podnozje</v>
      </c>
      <c r="H3">
        <f t="shared" si="1"/>
        <v>1</v>
      </c>
    </row>
    <row r="4" spans="1:8" x14ac:dyDescent="0.2">
      <c r="A4" s="1" t="s">
        <v>492</v>
      </c>
      <c r="B4" s="1" t="s">
        <v>495</v>
      </c>
      <c r="C4" s="1" t="s">
        <v>518</v>
      </c>
      <c r="D4" s="1" t="s">
        <v>561</v>
      </c>
      <c r="E4" s="1" t="s">
        <v>519</v>
      </c>
      <c r="F4" s="7" t="str">
        <f t="shared" si="0"/>
        <v>Naziv banke</v>
      </c>
      <c r="G4" s="7" t="str">
        <f t="shared" si="2"/>
        <v>Objasnjenja_Banka</v>
      </c>
      <c r="H4">
        <f t="shared" si="1"/>
        <v>1</v>
      </c>
    </row>
    <row r="5" spans="1:8" x14ac:dyDescent="0.2">
      <c r="A5" s="1" t="s">
        <v>492</v>
      </c>
      <c r="B5" s="1" t="s">
        <v>496</v>
      </c>
      <c r="C5" s="1" t="s">
        <v>497</v>
      </c>
      <c r="D5" s="1" t="s">
        <v>562</v>
      </c>
      <c r="E5" s="1" t="s">
        <v>388</v>
      </c>
      <c r="F5" s="7" t="str">
        <f t="shared" si="0"/>
        <v>Računi u banci:</v>
      </c>
      <c r="G5" s="7" t="str">
        <f t="shared" si="2"/>
        <v>Objasnjenja_Bankovni_racun</v>
      </c>
      <c r="H5" s="3">
        <f t="shared" si="1"/>
        <v>1</v>
      </c>
    </row>
    <row r="6" spans="1:8" x14ac:dyDescent="0.2">
      <c r="A6" s="1" t="s">
        <v>492</v>
      </c>
      <c r="B6" s="1" t="s">
        <v>763</v>
      </c>
      <c r="C6" s="1" t="s">
        <v>735</v>
      </c>
      <c r="D6" s="1" t="s">
        <v>762</v>
      </c>
      <c r="E6" s="1" t="s">
        <v>737</v>
      </c>
      <c r="F6" s="7" t="str">
        <f t="shared" si="0"/>
        <v>Glavni račun:</v>
      </c>
      <c r="G6" s="7" t="str">
        <f>SUBSTITUTE(A6&amp;"_"&amp;B6," ","_")</f>
        <v>Objasnjenja_Glavni_racun</v>
      </c>
      <c r="H6" s="3">
        <f t="shared" si="1"/>
        <v>1</v>
      </c>
    </row>
    <row r="7" spans="1:8" x14ac:dyDescent="0.2">
      <c r="A7" s="1" t="s">
        <v>492</v>
      </c>
      <c r="B7" s="1" t="s">
        <v>556</v>
      </c>
      <c r="C7" s="1" t="s">
        <v>556</v>
      </c>
      <c r="D7" s="1" t="s">
        <v>563</v>
      </c>
      <c r="E7" s="1" t="s">
        <v>557</v>
      </c>
      <c r="F7" s="7" t="str">
        <f t="shared" si="0"/>
        <v>Navigacija</v>
      </c>
      <c r="G7" s="7" t="str">
        <f>SUBSTITUTE(A7&amp;"_"&amp;B7," ","_")</f>
        <v>Objasnjenja_Navigacija</v>
      </c>
      <c r="H7" s="3">
        <f t="shared" si="1"/>
        <v>1</v>
      </c>
    </row>
    <row r="8" spans="1:8" x14ac:dyDescent="0.2">
      <c r="A8" s="1" t="s">
        <v>492</v>
      </c>
      <c r="B8" s="1" t="s">
        <v>467</v>
      </c>
      <c r="C8" s="1" t="s">
        <v>467</v>
      </c>
      <c r="D8" s="1" t="s">
        <v>767</v>
      </c>
      <c r="E8" s="1" t="s">
        <v>764</v>
      </c>
      <c r="F8" s="7" t="str">
        <f t="shared" si="0"/>
        <v>Dan</v>
      </c>
      <c r="G8" s="7" t="str">
        <f>SUBSTITUTE(A8&amp;"_"&amp;B8," ","_")</f>
        <v>Objasnjenja_Dan</v>
      </c>
      <c r="H8" s="3">
        <f t="shared" si="1"/>
        <v>1</v>
      </c>
    </row>
    <row r="9" spans="1:8" x14ac:dyDescent="0.2">
      <c r="A9" s="1" t="s">
        <v>492</v>
      </c>
      <c r="B9" s="1" t="s">
        <v>466</v>
      </c>
      <c r="C9" s="1" t="s">
        <v>466</v>
      </c>
      <c r="D9" s="1" t="s">
        <v>768</v>
      </c>
      <c r="E9" s="1" t="s">
        <v>765</v>
      </c>
      <c r="F9" s="7" t="str">
        <f t="shared" si="0"/>
        <v>Mjesec</v>
      </c>
      <c r="G9" s="7" t="str">
        <f>SUBSTITUTE(A9&amp;"_"&amp;B9," ","_")</f>
        <v>Objasnjenja_Mjesec</v>
      </c>
      <c r="H9" s="3">
        <f t="shared" si="1"/>
        <v>1</v>
      </c>
    </row>
    <row r="10" spans="1:8" x14ac:dyDescent="0.2">
      <c r="A10" s="1" t="s">
        <v>492</v>
      </c>
      <c r="B10" s="1" t="s">
        <v>462</v>
      </c>
      <c r="C10" s="1" t="s">
        <v>462</v>
      </c>
      <c r="D10" s="1" t="s">
        <v>769</v>
      </c>
      <c r="E10" s="1" t="s">
        <v>766</v>
      </c>
      <c r="F10" s="7" t="str">
        <f t="shared" si="0"/>
        <v>Godina</v>
      </c>
      <c r="G10" s="7" t="str">
        <f>SUBSTITUTE(A10&amp;"_"&amp;B10," ","_")</f>
        <v>Objasnjenja_Godina</v>
      </c>
      <c r="H10" s="3">
        <f t="shared" si="1"/>
        <v>1</v>
      </c>
    </row>
    <row r="11" spans="1:8" x14ac:dyDescent="0.2">
      <c r="A11" s="1" t="s">
        <v>499</v>
      </c>
      <c r="B11" s="1" t="s">
        <v>500</v>
      </c>
      <c r="C11" s="1" t="s">
        <v>501</v>
      </c>
      <c r="D11" s="1" t="s">
        <v>514</v>
      </c>
      <c r="E11" s="1" t="s">
        <v>509</v>
      </c>
      <c r="F11" s="7" t="str">
        <f t="shared" si="0"/>
        <v>Adresa i broj:</v>
      </c>
      <c r="G11" s="7" t="str">
        <f t="shared" si="2"/>
        <v>Kontakt_Adresa</v>
      </c>
      <c r="H11" s="3">
        <f t="shared" si="1"/>
        <v>1</v>
      </c>
    </row>
    <row r="12" spans="1:8" x14ac:dyDescent="0.2">
      <c r="A12" s="1" t="s">
        <v>499</v>
      </c>
      <c r="B12" s="1" t="s">
        <v>506</v>
      </c>
      <c r="C12" s="1" t="s">
        <v>503</v>
      </c>
      <c r="D12" s="1" t="s">
        <v>515</v>
      </c>
      <c r="E12" s="1" t="s">
        <v>511</v>
      </c>
      <c r="F12" s="7" t="str">
        <f t="shared" si="0"/>
        <v>Internet adresa:</v>
      </c>
      <c r="G12" s="7" t="str">
        <f t="shared" si="2"/>
        <v>Kontakt_web</v>
      </c>
      <c r="H12" s="3">
        <f t="shared" si="1"/>
        <v>1</v>
      </c>
    </row>
    <row r="13" spans="1:8" x14ac:dyDescent="0.2">
      <c r="A13" s="1" t="s">
        <v>499</v>
      </c>
      <c r="B13" s="1" t="s">
        <v>502</v>
      </c>
      <c r="C13" s="1" t="s">
        <v>602</v>
      </c>
      <c r="D13" s="1" t="s">
        <v>603</v>
      </c>
      <c r="E13" s="1" t="s">
        <v>510</v>
      </c>
      <c r="F13" s="7" t="str">
        <f t="shared" si="0"/>
        <v>Adresa e-pošte (email):</v>
      </c>
      <c r="G13" s="7" t="str">
        <f t="shared" si="2"/>
        <v>Kontakt_email</v>
      </c>
      <c r="H13" s="3">
        <f t="shared" si="1"/>
        <v>1</v>
      </c>
    </row>
    <row r="14" spans="1:8" x14ac:dyDescent="0.2">
      <c r="A14" s="1" t="s">
        <v>499</v>
      </c>
      <c r="B14" s="1" t="s">
        <v>507</v>
      </c>
      <c r="C14" s="1" t="s">
        <v>504</v>
      </c>
      <c r="D14" s="1" t="s">
        <v>516</v>
      </c>
      <c r="E14" s="1" t="s">
        <v>512</v>
      </c>
      <c r="F14" s="7" t="str">
        <f t="shared" si="0"/>
        <v>Telefon:</v>
      </c>
      <c r="G14" s="7" t="str">
        <f t="shared" si="2"/>
        <v>Kontakt_tel</v>
      </c>
      <c r="H14" s="3">
        <f t="shared" si="1"/>
        <v>1</v>
      </c>
    </row>
    <row r="15" spans="1:8" x14ac:dyDescent="0.2">
      <c r="A15" s="1" t="s">
        <v>499</v>
      </c>
      <c r="B15" s="1" t="s">
        <v>508</v>
      </c>
      <c r="C15" s="1" t="s">
        <v>505</v>
      </c>
      <c r="D15" s="1" t="s">
        <v>517</v>
      </c>
      <c r="E15" s="1" t="s">
        <v>513</v>
      </c>
      <c r="F15" s="7" t="str">
        <f t="shared" si="0"/>
        <v>Faks:</v>
      </c>
      <c r="G15" s="7" t="str">
        <f t="shared" si="2"/>
        <v>Kontakt_fax</v>
      </c>
      <c r="H15" s="3">
        <f t="shared" si="1"/>
        <v>1</v>
      </c>
    </row>
    <row r="16" spans="1:8" x14ac:dyDescent="0.2">
      <c r="A16" s="1" t="s">
        <v>549</v>
      </c>
      <c r="B16" s="1" t="s">
        <v>470</v>
      </c>
      <c r="C16" s="1" t="s">
        <v>533</v>
      </c>
      <c r="D16" s="1" t="s">
        <v>567</v>
      </c>
      <c r="E16" s="1" t="s">
        <v>533</v>
      </c>
      <c r="F16" s="1" t="str">
        <f t="shared" si="0"/>
        <v>Izaberite jezik | Choose language</v>
      </c>
      <c r="G16" s="7" t="str">
        <f t="shared" si="2"/>
        <v>Osnovno_Izaberite_jezik</v>
      </c>
      <c r="H16">
        <f t="shared" si="1"/>
        <v>1</v>
      </c>
    </row>
    <row r="17" spans="1:8" x14ac:dyDescent="0.2">
      <c r="A17" s="1" t="s">
        <v>549</v>
      </c>
      <c r="B17" s="1" t="s">
        <v>786</v>
      </c>
      <c r="C17" s="1" t="s">
        <v>789</v>
      </c>
      <c r="D17" s="1" t="s">
        <v>788</v>
      </c>
      <c r="E17" s="1" t="s">
        <v>787</v>
      </c>
      <c r="F17" s="7" t="str">
        <f t="shared" si="0"/>
        <v>Izvještajni period:</v>
      </c>
      <c r="G17" s="7" t="str">
        <f>SUBSTITUTE(A17&amp;"_"&amp;B17," ","_")</f>
        <v>Osnovno_Izvjestajni_period</v>
      </c>
      <c r="H17" s="3">
        <f t="shared" si="1"/>
        <v>1</v>
      </c>
    </row>
    <row r="18" spans="1:8" x14ac:dyDescent="0.2">
      <c r="A18" s="1" t="s">
        <v>549</v>
      </c>
      <c r="B18" s="1" t="s">
        <v>758</v>
      </c>
      <c r="C18" s="1" t="s">
        <v>731</v>
      </c>
      <c r="D18" s="1" t="s">
        <v>760</v>
      </c>
      <c r="E18" s="1" t="s">
        <v>738</v>
      </c>
      <c r="F18" s="7" t="str">
        <f t="shared" si="0"/>
        <v>Početak izvještajnog perioda:</v>
      </c>
      <c r="G18" s="7" t="str">
        <f t="shared" si="2"/>
        <v>Osnovno_Pocetak_perioda</v>
      </c>
      <c r="H18">
        <f t="shared" si="1"/>
        <v>1</v>
      </c>
    </row>
    <row r="19" spans="1:8" x14ac:dyDescent="0.2">
      <c r="A19" s="1" t="s">
        <v>549</v>
      </c>
      <c r="B19" s="1" t="s">
        <v>759</v>
      </c>
      <c r="C19" s="1" t="s">
        <v>730</v>
      </c>
      <c r="D19" s="1" t="s">
        <v>761</v>
      </c>
      <c r="E19" s="1" t="s">
        <v>739</v>
      </c>
      <c r="F19" s="7" t="str">
        <f t="shared" si="0"/>
        <v>Kraj izvještajnog perioda:</v>
      </c>
      <c r="G19" s="7" t="str">
        <f t="shared" si="2"/>
        <v>Osnovno_Kraj_perioda</v>
      </c>
      <c r="H19">
        <f t="shared" si="1"/>
        <v>1</v>
      </c>
    </row>
    <row r="20" spans="1:8" x14ac:dyDescent="0.2">
      <c r="A20" s="1" t="s">
        <v>549</v>
      </c>
      <c r="B20" s="1" t="s">
        <v>605</v>
      </c>
      <c r="C20" s="1" t="s">
        <v>813</v>
      </c>
      <c r="D20" s="1" t="s">
        <v>814</v>
      </c>
      <c r="E20" s="1" t="s">
        <v>815</v>
      </c>
      <c r="F20" s="7" t="str">
        <f>CHOOSE( ID_Jezik, C20, D20, E20)</f>
        <v>Vrsta izvještaja:</v>
      </c>
      <c r="G20" s="7" t="str">
        <f>SUBSTITUTE(A20&amp;"_"&amp;B20," ","_")</f>
        <v>Osnovno_Vrsta_izvjestaja</v>
      </c>
      <c r="H20" s="3">
        <f t="shared" si="1"/>
        <v>1</v>
      </c>
    </row>
    <row r="21" spans="1:8" x14ac:dyDescent="0.2">
      <c r="A21" s="1" t="s">
        <v>520</v>
      </c>
      <c r="B21" s="1" t="s">
        <v>521</v>
      </c>
      <c r="C21" s="1" t="s">
        <v>464</v>
      </c>
      <c r="D21" s="1" t="s">
        <v>529</v>
      </c>
      <c r="E21" s="1" t="s">
        <v>525</v>
      </c>
      <c r="F21" s="7" t="str">
        <f t="shared" si="0"/>
        <v>Prvi kvartal</v>
      </c>
      <c r="G21" s="7" t="str">
        <f t="shared" si="2"/>
        <v>Vrsta_izvjestaja_Prvi_kvartal</v>
      </c>
      <c r="H21" s="3">
        <f t="shared" si="1"/>
        <v>1</v>
      </c>
    </row>
    <row r="22" spans="1:8" x14ac:dyDescent="0.2">
      <c r="A22" s="1" t="s">
        <v>520</v>
      </c>
      <c r="B22" s="1" t="s">
        <v>522</v>
      </c>
      <c r="C22" s="1" t="s">
        <v>463</v>
      </c>
      <c r="D22" s="1" t="s">
        <v>530</v>
      </c>
      <c r="E22" s="1" t="s">
        <v>527</v>
      </c>
      <c r="F22" s="7" t="str">
        <f t="shared" si="0"/>
        <v>Polugodišnji</v>
      </c>
      <c r="G22" s="7" t="str">
        <f t="shared" si="2"/>
        <v>Vrsta_izvjestaja_Polugodisnji</v>
      </c>
      <c r="H22" s="3">
        <f t="shared" si="1"/>
        <v>1</v>
      </c>
    </row>
    <row r="23" spans="1:8" x14ac:dyDescent="0.2">
      <c r="A23" s="1" t="s">
        <v>520</v>
      </c>
      <c r="B23" s="1" t="s">
        <v>523</v>
      </c>
      <c r="C23" s="1" t="s">
        <v>465</v>
      </c>
      <c r="D23" s="1" t="s">
        <v>531</v>
      </c>
      <c r="E23" s="1" t="s">
        <v>526</v>
      </c>
      <c r="F23" s="7" t="str">
        <f t="shared" si="0"/>
        <v>Treći kvartal</v>
      </c>
      <c r="G23" s="7" t="str">
        <f t="shared" si="2"/>
        <v>Vrsta_izvjestaja_Treci_kvartal</v>
      </c>
      <c r="H23" s="3">
        <f t="shared" si="1"/>
        <v>1</v>
      </c>
    </row>
    <row r="24" spans="1:8" x14ac:dyDescent="0.2">
      <c r="A24" s="1" t="s">
        <v>520</v>
      </c>
      <c r="B24" s="1" t="s">
        <v>524</v>
      </c>
      <c r="C24" s="1" t="s">
        <v>460</v>
      </c>
      <c r="D24" s="1" t="s">
        <v>532</v>
      </c>
      <c r="E24" s="1" t="s">
        <v>528</v>
      </c>
      <c r="F24" s="7" t="str">
        <f t="shared" si="0"/>
        <v>Godišnji</v>
      </c>
      <c r="G24" s="7" t="str">
        <f t="shared" si="2"/>
        <v>Vrsta_izvjestaja_Godisnji</v>
      </c>
      <c r="H24" s="3">
        <f t="shared" si="1"/>
        <v>1</v>
      </c>
    </row>
    <row r="25" spans="1:8" x14ac:dyDescent="0.2">
      <c r="A25" s="1" t="s">
        <v>520</v>
      </c>
      <c r="B25" s="1" t="s">
        <v>809</v>
      </c>
      <c r="C25" s="1" t="s">
        <v>810</v>
      </c>
      <c r="D25" s="1" t="s">
        <v>811</v>
      </c>
      <c r="E25" s="1" t="s">
        <v>812</v>
      </c>
      <c r="F25" s="7" t="str">
        <f>CHOOSE( ID_Jezik, C25, D25, E25)</f>
        <v>Specifični</v>
      </c>
      <c r="G25" s="7" t="str">
        <f>SUBSTITUTE(A25&amp;"_"&amp;B25," ","_")</f>
        <v>Vrsta_izvjestaja_Specificni</v>
      </c>
      <c r="H25" s="3">
        <f t="shared" si="1"/>
        <v>1</v>
      </c>
    </row>
    <row r="26" spans="1:8" x14ac:dyDescent="0.2">
      <c r="A26" t="s">
        <v>493</v>
      </c>
      <c r="B26" t="s">
        <v>410</v>
      </c>
      <c r="C26" t="s">
        <v>376</v>
      </c>
      <c r="D26" t="s">
        <v>394</v>
      </c>
      <c r="E26" t="s">
        <v>385</v>
      </c>
      <c r="F26" t="str">
        <f t="shared" si="0"/>
        <v>Matični broj:</v>
      </c>
      <c r="G26" t="str">
        <f t="shared" si="2"/>
        <v>Zaglavlje_MB</v>
      </c>
      <c r="H26">
        <f t="shared" si="1"/>
        <v>1</v>
      </c>
    </row>
    <row r="27" spans="1:8" x14ac:dyDescent="0.2">
      <c r="A27" t="s">
        <v>493</v>
      </c>
      <c r="B27" t="s">
        <v>411</v>
      </c>
      <c r="C27" t="s">
        <v>377</v>
      </c>
      <c r="D27" t="s">
        <v>836</v>
      </c>
      <c r="E27" t="s">
        <v>381</v>
      </c>
      <c r="F27" t="str">
        <f t="shared" si="0"/>
        <v>Šifra djelatnosti:</v>
      </c>
      <c r="G27" t="str">
        <f t="shared" si="2"/>
        <v>Zaglavlje_Sifra_djelatnosti</v>
      </c>
      <c r="H27">
        <f t="shared" si="1"/>
        <v>1</v>
      </c>
    </row>
    <row r="28" spans="1:8" x14ac:dyDescent="0.2">
      <c r="A28" t="s">
        <v>493</v>
      </c>
      <c r="B28" t="s">
        <v>412</v>
      </c>
      <c r="C28" t="s">
        <v>378</v>
      </c>
      <c r="D28" t="s">
        <v>395</v>
      </c>
      <c r="E28" t="s">
        <v>384</v>
      </c>
      <c r="F28" t="str">
        <f t="shared" si="0"/>
        <v>Naziv privrednog društva, zadruge, drugog pravnog lica ili preduzetnika:</v>
      </c>
      <c r="G28" t="str">
        <f t="shared" si="2"/>
        <v>Zaglavlje_Naziv_preduzeca</v>
      </c>
      <c r="H28">
        <f t="shared" si="1"/>
        <v>1</v>
      </c>
    </row>
    <row r="29" spans="1:8" x14ac:dyDescent="0.2">
      <c r="A29" t="s">
        <v>493</v>
      </c>
      <c r="B29" t="s">
        <v>413</v>
      </c>
      <c r="C29" t="s">
        <v>379</v>
      </c>
      <c r="D29" t="s">
        <v>396</v>
      </c>
      <c r="E29" t="s">
        <v>382</v>
      </c>
      <c r="F29" t="str">
        <f t="shared" si="0"/>
        <v>Sjedište:</v>
      </c>
      <c r="G29" t="str">
        <f t="shared" si="2"/>
        <v>Zaglavlje_Sjediste</v>
      </c>
      <c r="H29">
        <f t="shared" si="1"/>
        <v>1</v>
      </c>
    </row>
    <row r="30" spans="1:8" x14ac:dyDescent="0.2">
      <c r="A30" t="s">
        <v>493</v>
      </c>
      <c r="B30" t="s">
        <v>235</v>
      </c>
      <c r="C30" t="s">
        <v>380</v>
      </c>
      <c r="D30" t="s">
        <v>397</v>
      </c>
      <c r="E30" t="s">
        <v>383</v>
      </c>
      <c r="F30" t="str">
        <f t="shared" si="0"/>
        <v>JIB:</v>
      </c>
      <c r="G30" t="str">
        <f t="shared" si="2"/>
        <v>Zaglavlje_JIB</v>
      </c>
      <c r="H30">
        <f t="shared" si="1"/>
        <v>1</v>
      </c>
    </row>
    <row r="31" spans="1:8" x14ac:dyDescent="0.2">
      <c r="A31" t="s">
        <v>493</v>
      </c>
      <c r="B31" t="s">
        <v>414</v>
      </c>
      <c r="C31" t="s">
        <v>1830</v>
      </c>
      <c r="D31" t="s">
        <v>1831</v>
      </c>
      <c r="E31" t="s">
        <v>388</v>
      </c>
      <c r="F31" t="str">
        <f t="shared" si="0"/>
        <v>Poslovni računi:</v>
      </c>
      <c r="G31" t="str">
        <f t="shared" si="2"/>
        <v>Zaglavlje_Ziro_racun</v>
      </c>
      <c r="H31">
        <f t="shared" si="1"/>
        <v>1</v>
      </c>
    </row>
    <row r="32" spans="1:8" x14ac:dyDescent="0.2">
      <c r="A32" t="s">
        <v>727</v>
      </c>
      <c r="B32" t="s">
        <v>796</v>
      </c>
      <c r="C32" t="s">
        <v>793</v>
      </c>
      <c r="D32" t="s">
        <v>795</v>
      </c>
      <c r="E32" t="s">
        <v>794</v>
      </c>
      <c r="F32" s="3" t="str">
        <f t="shared" si="0"/>
        <v>Konsolidovan izvještaj:</v>
      </c>
      <c r="G32" s="3" t="str">
        <f>SUBSTITUTE(A32&amp;"_"&amp;B32," ","_")</f>
        <v>Konsolidovani_Konsolidavani_Izvjestaj</v>
      </c>
      <c r="H32" s="3">
        <f t="shared" si="1"/>
        <v>1</v>
      </c>
    </row>
    <row r="33" spans="1:8" x14ac:dyDescent="0.2">
      <c r="A33" t="s">
        <v>727</v>
      </c>
      <c r="B33" t="s">
        <v>727</v>
      </c>
      <c r="C33" t="s">
        <v>790</v>
      </c>
      <c r="D33" t="s">
        <v>792</v>
      </c>
      <c r="E33" t="s">
        <v>791</v>
      </c>
      <c r="F33" s="3" t="str">
        <f t="shared" si="0"/>
        <v>Preduzeće konsolidacije</v>
      </c>
      <c r="G33" s="3" t="str">
        <f>SUBSTITUTE(A33&amp;"_"&amp;B33," ","_")</f>
        <v>Konsolidovani_Konsolidovani</v>
      </c>
      <c r="H33" s="3">
        <f t="shared" si="1"/>
        <v>1</v>
      </c>
    </row>
    <row r="34" spans="1:8" x14ac:dyDescent="0.2">
      <c r="A34" t="s">
        <v>494</v>
      </c>
      <c r="B34" t="s">
        <v>252</v>
      </c>
      <c r="C34" t="s">
        <v>1834</v>
      </c>
      <c r="D34" t="s">
        <v>398</v>
      </c>
      <c r="E34" t="s">
        <v>234</v>
      </c>
      <c r="F34" t="str">
        <f t="shared" si="0"/>
        <v>U:</v>
      </c>
      <c r="G34" t="str">
        <f t="shared" si="2"/>
        <v>Podnozje_U</v>
      </c>
      <c r="H34">
        <f t="shared" ref="H34:H65" si="3">COUNTIF($B$2:$B$1024,"="&amp;B34)</f>
        <v>1</v>
      </c>
    </row>
    <row r="35" spans="1:8" x14ac:dyDescent="0.2">
      <c r="A35" t="s">
        <v>494</v>
      </c>
      <c r="B35" t="s">
        <v>253</v>
      </c>
      <c r="C35" t="s">
        <v>1835</v>
      </c>
      <c r="D35" t="s">
        <v>1836</v>
      </c>
      <c r="E35" t="s">
        <v>1837</v>
      </c>
      <c r="F35" t="str">
        <f t="shared" si="0"/>
        <v>Datum:</v>
      </c>
      <c r="G35" t="str">
        <f t="shared" si="2"/>
        <v>Podnozje_Dana</v>
      </c>
      <c r="H35">
        <f t="shared" si="3"/>
        <v>1</v>
      </c>
    </row>
    <row r="36" spans="1:8" x14ac:dyDescent="0.2">
      <c r="A36" t="s">
        <v>494</v>
      </c>
      <c r="B36" t="s">
        <v>415</v>
      </c>
      <c r="C36" t="s">
        <v>392</v>
      </c>
      <c r="D36" t="s">
        <v>399</v>
      </c>
      <c r="E36" t="s">
        <v>772</v>
      </c>
      <c r="F36" t="str">
        <f t="shared" ref="F36:F68" si="4">CHOOSE( ID_Jezik, C36, D36, E36)</f>
        <v>Lice sa licencom:</v>
      </c>
      <c r="G36" t="str">
        <f t="shared" si="2"/>
        <v>Podnozje_Lice_sa_licencom</v>
      </c>
      <c r="H36">
        <f t="shared" si="3"/>
        <v>1</v>
      </c>
    </row>
    <row r="37" spans="1:8" x14ac:dyDescent="0.2">
      <c r="A37" t="s">
        <v>494</v>
      </c>
      <c r="B37" t="s">
        <v>770</v>
      </c>
      <c r="C37" t="s">
        <v>736</v>
      </c>
      <c r="D37" t="s">
        <v>771</v>
      </c>
      <c r="E37" t="s">
        <v>1838</v>
      </c>
      <c r="F37" s="3" t="str">
        <f t="shared" si="4"/>
        <v>Broj licence:</v>
      </c>
      <c r="G37" s="3" t="str">
        <f>SUBSTITUTE(A37&amp;"_"&amp;B37," ","_")</f>
        <v>Podnozje_Broj_licence</v>
      </c>
      <c r="H37" s="3">
        <f t="shared" si="3"/>
        <v>1</v>
      </c>
    </row>
    <row r="38" spans="1:8" x14ac:dyDescent="0.2">
      <c r="A38" t="s">
        <v>494</v>
      </c>
      <c r="B38" t="s">
        <v>254</v>
      </c>
      <c r="C38" t="s">
        <v>1833</v>
      </c>
      <c r="D38" t="s">
        <v>1832</v>
      </c>
      <c r="E38" t="s">
        <v>740</v>
      </c>
      <c r="F38" t="str">
        <f t="shared" si="4"/>
        <v>Lice ovlašćeno za zastupanje:</v>
      </c>
      <c r="G38" t="str">
        <f t="shared" si="2"/>
        <v>Podnozje_Direktor</v>
      </c>
      <c r="H38">
        <f t="shared" si="3"/>
        <v>1</v>
      </c>
    </row>
    <row r="39" spans="1:8" x14ac:dyDescent="0.2">
      <c r="A39" t="s">
        <v>494</v>
      </c>
      <c r="B39" t="s">
        <v>416</v>
      </c>
      <c r="C39" t="s">
        <v>393</v>
      </c>
      <c r="D39" t="s">
        <v>400</v>
      </c>
      <c r="E39" t="s">
        <v>487</v>
      </c>
      <c r="F39" t="str">
        <f t="shared" si="4"/>
        <v>(M.P.)</v>
      </c>
      <c r="G39" t="str">
        <f t="shared" si="2"/>
        <v>Podnozje_MP</v>
      </c>
      <c r="H39">
        <f t="shared" si="3"/>
        <v>1</v>
      </c>
    </row>
    <row r="40" spans="1:8" x14ac:dyDescent="0.2">
      <c r="A40" t="s">
        <v>391</v>
      </c>
      <c r="B40" t="s">
        <v>1911</v>
      </c>
      <c r="C40" t="s">
        <v>1912</v>
      </c>
      <c r="D40" t="s">
        <v>1913</v>
      </c>
      <c r="E40" t="s">
        <v>1914</v>
      </c>
      <c r="F40" s="3" t="str">
        <f>CHOOSE( ID_Jezik, C40, D40, E40)</f>
        <v xml:space="preserve">Konsolidovani </v>
      </c>
      <c r="G40" t="str">
        <f t="shared" si="2"/>
        <v>Nazivi_bilansa_Konsolidovani_naziv</v>
      </c>
      <c r="H40">
        <f t="shared" si="3"/>
        <v>1</v>
      </c>
    </row>
    <row r="41" spans="1:8" x14ac:dyDescent="0.2">
      <c r="A41" t="s">
        <v>391</v>
      </c>
      <c r="B41" t="s">
        <v>417</v>
      </c>
      <c r="C41" t="s">
        <v>93</v>
      </c>
      <c r="D41" t="s">
        <v>401</v>
      </c>
      <c r="E41" t="s">
        <v>90</v>
      </c>
      <c r="F41" t="str">
        <f t="shared" si="4"/>
        <v>Bilans stanja</v>
      </c>
      <c r="G41" t="str">
        <f t="shared" si="2"/>
        <v>Nazivi_bilansa_BS</v>
      </c>
      <c r="H41">
        <f t="shared" si="3"/>
        <v>1</v>
      </c>
    </row>
    <row r="42" spans="1:8" x14ac:dyDescent="0.2">
      <c r="A42" t="s">
        <v>391</v>
      </c>
      <c r="B42" t="s">
        <v>435</v>
      </c>
      <c r="C42" t="s">
        <v>441</v>
      </c>
      <c r="D42" t="s">
        <v>471</v>
      </c>
      <c r="E42" t="s">
        <v>488</v>
      </c>
      <c r="F42" s="3" t="str">
        <f t="shared" si="4"/>
        <v>(Izvještaj o finansijskom položaju)</v>
      </c>
      <c r="G42" s="3" t="str">
        <f t="shared" si="2"/>
        <v>Nazivi_bilansa_BS1</v>
      </c>
      <c r="H42" s="3">
        <f t="shared" si="3"/>
        <v>1</v>
      </c>
    </row>
    <row r="43" spans="1:8" x14ac:dyDescent="0.2">
      <c r="A43" t="s">
        <v>391</v>
      </c>
      <c r="B43" t="s">
        <v>541</v>
      </c>
      <c r="C43" t="s">
        <v>94</v>
      </c>
      <c r="D43" t="s">
        <v>402</v>
      </c>
      <c r="E43" t="s">
        <v>91</v>
      </c>
      <c r="F43" t="str">
        <f t="shared" si="4"/>
        <v>Bilans uspjeha</v>
      </c>
      <c r="G43" t="str">
        <f t="shared" si="2"/>
        <v>Nazivi_bilansa_BUa</v>
      </c>
      <c r="H43">
        <f t="shared" si="3"/>
        <v>1</v>
      </c>
    </row>
    <row r="44" spans="1:8" x14ac:dyDescent="0.2">
      <c r="A44" t="s">
        <v>391</v>
      </c>
      <c r="B44" t="s">
        <v>551</v>
      </c>
      <c r="C44" t="s">
        <v>439</v>
      </c>
      <c r="D44" t="s">
        <v>472</v>
      </c>
      <c r="E44" t="s">
        <v>611</v>
      </c>
      <c r="F44" s="3" t="str">
        <f t="shared" si="4"/>
        <v>(Izvještaj o ukupnom rezultatu u periodu)</v>
      </c>
      <c r="G44" s="3" t="str">
        <f t="shared" si="2"/>
        <v>Nazivi_bilansa_BUa1</v>
      </c>
      <c r="H44" s="3">
        <f t="shared" si="3"/>
        <v>1</v>
      </c>
    </row>
    <row r="45" spans="1:8" x14ac:dyDescent="0.2">
      <c r="A45" t="s">
        <v>391</v>
      </c>
      <c r="B45" t="s">
        <v>552</v>
      </c>
      <c r="C45" t="s">
        <v>554</v>
      </c>
      <c r="D45" t="s">
        <v>564</v>
      </c>
      <c r="E45" t="s">
        <v>612</v>
      </c>
      <c r="F45" s="3" t="str">
        <f t="shared" si="4"/>
        <v>Izvještaj</v>
      </c>
      <c r="G45" s="3" t="str">
        <f>SUBSTITUTE(A45&amp;"_"&amp;B45," ","_")</f>
        <v>Nazivi_bilansa_BUb</v>
      </c>
      <c r="H45" s="3">
        <f t="shared" si="3"/>
        <v>1</v>
      </c>
    </row>
    <row r="46" spans="1:8" x14ac:dyDescent="0.2">
      <c r="A46" t="s">
        <v>391</v>
      </c>
      <c r="B46" t="s">
        <v>553</v>
      </c>
      <c r="C46" t="s">
        <v>555</v>
      </c>
      <c r="D46" t="s">
        <v>565</v>
      </c>
      <c r="E46" t="s">
        <v>654</v>
      </c>
      <c r="F46" s="3" t="str">
        <f t="shared" si="4"/>
        <v>o ostalim dobicima i gubicima perioda</v>
      </c>
      <c r="G46" s="3" t="str">
        <f>SUBSTITUTE(A46&amp;"_"&amp;B46," ","_")</f>
        <v>Nazivi_bilansa_BUb1</v>
      </c>
      <c r="H46" s="3">
        <f t="shared" si="3"/>
        <v>1</v>
      </c>
    </row>
    <row r="47" spans="1:8" x14ac:dyDescent="0.2">
      <c r="A47" t="s">
        <v>391</v>
      </c>
      <c r="B47" t="s">
        <v>418</v>
      </c>
      <c r="C47" t="s">
        <v>95</v>
      </c>
      <c r="D47" t="s">
        <v>403</v>
      </c>
      <c r="E47" t="s">
        <v>104</v>
      </c>
      <c r="F47" t="str">
        <f t="shared" si="4"/>
        <v>Bilans tokova gotovine</v>
      </c>
      <c r="G47" t="str">
        <f t="shared" si="2"/>
        <v>Nazivi_bilansa_BTG</v>
      </c>
      <c r="H47">
        <f t="shared" si="3"/>
        <v>1</v>
      </c>
    </row>
    <row r="48" spans="1:8" x14ac:dyDescent="0.2">
      <c r="A48" t="s">
        <v>391</v>
      </c>
      <c r="B48" t="s">
        <v>438</v>
      </c>
      <c r="C48" t="s">
        <v>440</v>
      </c>
      <c r="D48" t="s">
        <v>473</v>
      </c>
      <c r="E48" t="s">
        <v>613</v>
      </c>
      <c r="F48" s="3" t="str">
        <f t="shared" si="4"/>
        <v>(Izvještaj o tokovima gotovine)</v>
      </c>
      <c r="G48" s="3" t="str">
        <f t="shared" ref="G48:G78" si="5">SUBSTITUTE(A48&amp;"_"&amp;B48," ","_")</f>
        <v>Nazivi_bilansa_BTG1</v>
      </c>
      <c r="H48" s="3">
        <f t="shared" si="3"/>
        <v>1</v>
      </c>
    </row>
    <row r="49" spans="1:8" x14ac:dyDescent="0.2">
      <c r="A49" t="s">
        <v>391</v>
      </c>
      <c r="B49" t="s">
        <v>419</v>
      </c>
      <c r="C49" t="s">
        <v>419</v>
      </c>
      <c r="D49" t="s">
        <v>474</v>
      </c>
      <c r="E49" t="s">
        <v>455</v>
      </c>
      <c r="F49" t="str">
        <f t="shared" si="4"/>
        <v>Aneks</v>
      </c>
      <c r="G49" t="str">
        <f t="shared" si="5"/>
        <v>Nazivi_bilansa_Aneks</v>
      </c>
      <c r="H49">
        <f t="shared" si="3"/>
        <v>1</v>
      </c>
    </row>
    <row r="50" spans="1:8" x14ac:dyDescent="0.2">
      <c r="A50" t="s">
        <v>391</v>
      </c>
      <c r="B50" t="s">
        <v>437</v>
      </c>
      <c r="C50" t="s">
        <v>436</v>
      </c>
      <c r="D50" t="s">
        <v>443</v>
      </c>
      <c r="E50" t="s">
        <v>442</v>
      </c>
      <c r="F50" s="3" t="str">
        <f t="shared" si="4"/>
        <v>(Dodatni računovodstveni izvještaj)</v>
      </c>
      <c r="G50" s="3" t="str">
        <f t="shared" si="5"/>
        <v>Nazivi_bilansa_Aneks1</v>
      </c>
      <c r="H50" s="3">
        <f t="shared" si="3"/>
        <v>1</v>
      </c>
    </row>
    <row r="51" spans="1:8" x14ac:dyDescent="0.2">
      <c r="A51" t="s">
        <v>391</v>
      </c>
      <c r="B51" t="s">
        <v>420</v>
      </c>
      <c r="C51" t="s">
        <v>236</v>
      </c>
      <c r="D51" t="s">
        <v>404</v>
      </c>
      <c r="E51" t="s">
        <v>123</v>
      </c>
      <c r="F51" t="str">
        <f t="shared" si="4"/>
        <v>Izvještaj o promjenama u kapitalu</v>
      </c>
      <c r="G51" t="str">
        <f t="shared" si="5"/>
        <v>Nazivi_bilansa_BPK</v>
      </c>
      <c r="H51">
        <f t="shared" si="3"/>
        <v>1</v>
      </c>
    </row>
    <row r="52" spans="1:8" x14ac:dyDescent="0.2">
      <c r="A52" t="s">
        <v>548</v>
      </c>
      <c r="B52" t="s">
        <v>432</v>
      </c>
      <c r="C52" s="75" t="str">
        <f>CONCATENATE("na dan ",Datum_Format," godine")</f>
        <v>na dan 30.06.2021. godine</v>
      </c>
      <c r="D52" s="75" t="str">
        <f>CONCATENATE("нa дaн ",Datum_Format," гoдинe")</f>
        <v>нa дaн 30.06.2021. гoдинe</v>
      </c>
      <c r="E52" s="75" t="str">
        <f>CONCATENATE("date ",Datum_Format)</f>
        <v>date 30.06.2021.</v>
      </c>
      <c r="F52" s="3" t="str">
        <f t="shared" si="4"/>
        <v>na dan 30.06.2021. godine</v>
      </c>
      <c r="G52" s="3" t="str">
        <f t="shared" si="5"/>
        <v>Datumi_Datum_BS</v>
      </c>
      <c r="H52" s="3">
        <f t="shared" si="3"/>
        <v>1</v>
      </c>
    </row>
    <row r="53" spans="1:8" x14ac:dyDescent="0.2">
      <c r="A53" t="s">
        <v>548</v>
      </c>
      <c r="B53" t="s">
        <v>433</v>
      </c>
      <c r="C53" s="75" t="str">
        <f>CONCATENATE("za period od 01.01. do ",Datum_Format," godine")</f>
        <v>za period od 01.01. do 30.06.2021. godine</v>
      </c>
      <c r="D53" s="75" t="str">
        <f>CONCATENATE("зa пeриoд oд 01.01. дo ",Datum_Format," гoдинe")</f>
        <v>зa пeриoд oд 01.01. дo 30.06.2021. гoдинe</v>
      </c>
      <c r="E53" s="75" t="str">
        <f>CONCATENATE("from 01.01. to ",Datum_Format)</f>
        <v>from 01.01. to 30.06.2021.</v>
      </c>
      <c r="F53" s="3" t="str">
        <f t="shared" si="4"/>
        <v>za period od 01.01. do 30.06.2021. godine</v>
      </c>
      <c r="G53" s="3" t="str">
        <f t="shared" si="5"/>
        <v>Datumi_Datum_BU</v>
      </c>
      <c r="H53" s="3">
        <f t="shared" si="3"/>
        <v>1</v>
      </c>
    </row>
    <row r="54" spans="1:8" x14ac:dyDescent="0.2">
      <c r="A54" t="s">
        <v>548</v>
      </c>
      <c r="B54" t="s">
        <v>434</v>
      </c>
      <c r="C54" s="75" t="str">
        <f>CONCATENATE("za period od 01.01. do ",Datum_Format," godine")</f>
        <v>za period od 01.01. do 30.06.2021. godine</v>
      </c>
      <c r="D54" s="75" t="str">
        <f>CONCATENATE("зa пeриoд oд 01.01. дo ",Datum_Format," гoдинe")</f>
        <v>зa пeриoд oд 01.01. дo 30.06.2021. гoдинe</v>
      </c>
      <c r="E54" s="75" t="str">
        <f>CONCATENATE("from 01.01. to ",Datum_Format)</f>
        <v>from 01.01. to 30.06.2021.</v>
      </c>
      <c r="F54" s="3" t="str">
        <f t="shared" si="4"/>
        <v>za period od 01.01. do 30.06.2021. godine</v>
      </c>
      <c r="G54" s="3" t="str">
        <f t="shared" si="5"/>
        <v>Datumi_Datum_BTG</v>
      </c>
      <c r="H54" s="3">
        <f t="shared" si="3"/>
        <v>1</v>
      </c>
    </row>
    <row r="55" spans="1:8" x14ac:dyDescent="0.2">
      <c r="A55" t="s">
        <v>548</v>
      </c>
      <c r="B55" t="s">
        <v>444</v>
      </c>
      <c r="C55" s="75" t="str">
        <f>CONCATENATE("od 01.01. do ",Datum_Format," godine")</f>
        <v>od 01.01. do 30.06.2021. godine</v>
      </c>
      <c r="D55" s="75" t="str">
        <f>CONCATENATE("oд 01.01. дo ",Datum_Format," гoдинe")</f>
        <v>oд 01.01. дo 30.06.2021. гoдинe</v>
      </c>
      <c r="E55" s="75" t="str">
        <f>CONCATENATE("from 01.01. to ",Datum_Format)</f>
        <v>from 01.01. to 30.06.2021.</v>
      </c>
      <c r="F55" s="3" t="str">
        <f t="shared" si="4"/>
        <v>od 01.01. do 30.06.2021. godine</v>
      </c>
      <c r="G55" s="3" t="str">
        <f t="shared" si="5"/>
        <v>Datumi_Datum_ODGP</v>
      </c>
      <c r="H55" s="3">
        <f t="shared" si="3"/>
        <v>1</v>
      </c>
    </row>
    <row r="56" spans="1:8" x14ac:dyDescent="0.2">
      <c r="A56" t="s">
        <v>548</v>
      </c>
      <c r="B56" t="s">
        <v>445</v>
      </c>
      <c r="C56" s="75" t="str">
        <f>CONCATENATE("za period od 01.01. do ",Datum_Format," godine")</f>
        <v>za period od 01.01. do 30.06.2021. godine</v>
      </c>
      <c r="D56" s="75" t="str">
        <f>CONCATENATE("зa пeриoд oд 01.01. дo ",Datum_Format," гoдинe")</f>
        <v>зa пeриoд oд 01.01. дo 30.06.2021. гoдинe</v>
      </c>
      <c r="E56" s="75" t="str">
        <f>CONCATENATE("from 01.01. to ",Datum_Format)</f>
        <v>from 01.01. to 30.06.2021.</v>
      </c>
      <c r="F56" s="3" t="str">
        <f t="shared" si="4"/>
        <v>za period od 01.01. do 30.06.2021. godine</v>
      </c>
      <c r="G56" s="3" t="str">
        <f t="shared" si="5"/>
        <v>Datumi_Datum_Aneks</v>
      </c>
      <c r="H56" s="3">
        <f t="shared" si="3"/>
        <v>1</v>
      </c>
    </row>
    <row r="57" spans="1:8" x14ac:dyDescent="0.2">
      <c r="A57" t="s">
        <v>548</v>
      </c>
      <c r="B57" t="s">
        <v>458</v>
      </c>
      <c r="C57" s="75" t="str">
        <f>CONCATENATE("za period koji se završava na dan ",Datum_Format," godine")</f>
        <v>za period koji se završava na dan 30.06.2021. godine</v>
      </c>
      <c r="D57" s="75" t="str">
        <f>CONCATENATE("зa пeриoд кojи сe зaвршaвa нa дaн ",Datum_Format," гoдинe")</f>
        <v>зa пeриoд кojи сe зaвршaвa нa дaн 30.06.2021. гoдинe</v>
      </c>
      <c r="E57" s="75" t="str">
        <f>CONCATENATE("for period ending ",Datum_Format)</f>
        <v>for period ending 30.06.2021.</v>
      </c>
      <c r="F57" s="3" t="str">
        <f t="shared" si="4"/>
        <v>za period koji se završava na dan 30.06.2021. godine</v>
      </c>
      <c r="G57" s="3" t="str">
        <f t="shared" si="5"/>
        <v>Datumi_Datum_BPK</v>
      </c>
      <c r="H57" s="3">
        <f t="shared" si="3"/>
        <v>1</v>
      </c>
    </row>
    <row r="58" spans="1:8" x14ac:dyDescent="0.2">
      <c r="A58" t="s">
        <v>446</v>
      </c>
      <c r="B58" t="s">
        <v>452</v>
      </c>
      <c r="C58" t="s">
        <v>456</v>
      </c>
      <c r="D58" t="s">
        <v>475</v>
      </c>
      <c r="E58" t="s">
        <v>489</v>
      </c>
      <c r="F58" s="3" t="str">
        <f t="shared" si="4"/>
        <v>Uputstvo za popunjavanje</v>
      </c>
      <c r="G58" s="3" t="str">
        <f t="shared" si="5"/>
        <v>Linkovi_Link_Uputstvo</v>
      </c>
      <c r="H58" s="3">
        <f t="shared" si="3"/>
        <v>1</v>
      </c>
    </row>
    <row r="59" spans="1:8" x14ac:dyDescent="0.2">
      <c r="A59" t="s">
        <v>446</v>
      </c>
      <c r="B59" t="s">
        <v>453</v>
      </c>
      <c r="C59" t="s">
        <v>457</v>
      </c>
      <c r="D59" t="s">
        <v>476</v>
      </c>
      <c r="E59" t="s">
        <v>490</v>
      </c>
      <c r="F59" s="3" t="str">
        <f t="shared" si="4"/>
        <v>Osnovni podaci</v>
      </c>
      <c r="G59" s="3" t="str">
        <f t="shared" si="5"/>
        <v>Linkovi_Link_Osnovni_podaci</v>
      </c>
      <c r="H59" s="3">
        <f t="shared" si="3"/>
        <v>1</v>
      </c>
    </row>
    <row r="60" spans="1:8" x14ac:dyDescent="0.2">
      <c r="A60" t="s">
        <v>446</v>
      </c>
      <c r="B60" t="s">
        <v>447</v>
      </c>
      <c r="C60" t="s">
        <v>627</v>
      </c>
      <c r="D60" t="s">
        <v>633</v>
      </c>
      <c r="E60" t="s">
        <v>639</v>
      </c>
      <c r="F60" s="3" t="str">
        <f t="shared" si="4"/>
        <v>01) Bilans stanja</v>
      </c>
      <c r="G60" s="3" t="str">
        <f t="shared" si="5"/>
        <v>Linkovi_Link_BS</v>
      </c>
      <c r="H60" s="3">
        <f t="shared" si="3"/>
        <v>1</v>
      </c>
    </row>
    <row r="61" spans="1:8" x14ac:dyDescent="0.2">
      <c r="A61" t="s">
        <v>446</v>
      </c>
      <c r="B61" t="s">
        <v>448</v>
      </c>
      <c r="C61" t="s">
        <v>628</v>
      </c>
      <c r="D61" t="s">
        <v>634</v>
      </c>
      <c r="E61" t="s">
        <v>640</v>
      </c>
      <c r="F61" s="3" t="str">
        <f t="shared" si="4"/>
        <v>02a) Bilans uspjeha</v>
      </c>
      <c r="G61" s="3" t="str">
        <f t="shared" si="5"/>
        <v>Linkovi_Link_BU</v>
      </c>
      <c r="H61" s="3">
        <f t="shared" si="3"/>
        <v>1</v>
      </c>
    </row>
    <row r="62" spans="1:8" x14ac:dyDescent="0.2">
      <c r="A62" t="s">
        <v>446</v>
      </c>
      <c r="B62" t="s">
        <v>450</v>
      </c>
      <c r="C62" t="s">
        <v>629</v>
      </c>
      <c r="D62" t="s">
        <v>635</v>
      </c>
      <c r="E62" t="s">
        <v>655</v>
      </c>
      <c r="F62" s="3" t="str">
        <f t="shared" si="4"/>
        <v>02b) Izvještaj o ostalim dobicima i gubicima u periodu</v>
      </c>
      <c r="G62" s="3" t="str">
        <f t="shared" si="5"/>
        <v>Linkovi_Link_ODGP</v>
      </c>
      <c r="H62" s="3">
        <f t="shared" si="3"/>
        <v>1</v>
      </c>
    </row>
    <row r="63" spans="1:8" x14ac:dyDescent="0.2">
      <c r="A63" t="s">
        <v>446</v>
      </c>
      <c r="B63" t="s">
        <v>449</v>
      </c>
      <c r="C63" t="s">
        <v>630</v>
      </c>
      <c r="D63" t="s">
        <v>636</v>
      </c>
      <c r="E63" t="s">
        <v>641</v>
      </c>
      <c r="F63" s="3" t="str">
        <f t="shared" si="4"/>
        <v>03) Bilans tokova gotovine</v>
      </c>
      <c r="G63" s="3" t="str">
        <f t="shared" si="5"/>
        <v>Linkovi_Link_BTG</v>
      </c>
      <c r="H63" s="3">
        <f t="shared" si="3"/>
        <v>1</v>
      </c>
    </row>
    <row r="64" spans="1:8" x14ac:dyDescent="0.2">
      <c r="A64" t="s">
        <v>446</v>
      </c>
      <c r="B64" t="s">
        <v>454</v>
      </c>
      <c r="C64" t="s">
        <v>631</v>
      </c>
      <c r="D64" t="s">
        <v>637</v>
      </c>
      <c r="E64" t="s">
        <v>642</v>
      </c>
      <c r="F64" s="3" t="str">
        <f t="shared" si="4"/>
        <v>04) Aneks</v>
      </c>
      <c r="G64" s="3" t="str">
        <f t="shared" si="5"/>
        <v>Linkovi_Link_Aneks</v>
      </c>
      <c r="H64" s="3">
        <f t="shared" si="3"/>
        <v>1</v>
      </c>
    </row>
    <row r="65" spans="1:8" x14ac:dyDescent="0.2">
      <c r="A65" t="s">
        <v>446</v>
      </c>
      <c r="B65" t="s">
        <v>451</v>
      </c>
      <c r="C65" t="s">
        <v>632</v>
      </c>
      <c r="D65" t="s">
        <v>638</v>
      </c>
      <c r="E65" t="s">
        <v>643</v>
      </c>
      <c r="F65" s="3" t="str">
        <f t="shared" si="4"/>
        <v>05) Izvještaj o promjenama u kapitalu</v>
      </c>
      <c r="G65" s="3" t="str">
        <f t="shared" si="5"/>
        <v>Linkovi_Link_BPK</v>
      </c>
      <c r="H65" s="3">
        <f t="shared" si="3"/>
        <v>1</v>
      </c>
    </row>
    <row r="66" spans="1:8" x14ac:dyDescent="0.2">
      <c r="A66" t="s">
        <v>550</v>
      </c>
      <c r="B66" t="s">
        <v>422</v>
      </c>
      <c r="C66" t="s">
        <v>268</v>
      </c>
      <c r="D66" t="s">
        <v>477</v>
      </c>
      <c r="E66" t="s">
        <v>96</v>
      </c>
      <c r="F66" s="3" t="str">
        <f t="shared" si="4"/>
        <v>Grupa računa, račun</v>
      </c>
      <c r="G66" s="3" t="str">
        <f t="shared" si="5"/>
        <v>Tabele_zaglavlje_Grupa_racuna</v>
      </c>
      <c r="H66">
        <f t="shared" ref="H66:H98" si="6">COUNTIF($B$2:$B$1024,"="&amp;B66)</f>
        <v>1</v>
      </c>
    </row>
    <row r="67" spans="1:8" x14ac:dyDescent="0.2">
      <c r="A67" t="s">
        <v>550</v>
      </c>
      <c r="B67" t="s">
        <v>423</v>
      </c>
      <c r="C67" t="s">
        <v>1827</v>
      </c>
      <c r="D67" t="s">
        <v>1828</v>
      </c>
      <c r="E67" t="s">
        <v>1829</v>
      </c>
      <c r="F67" s="3" t="str">
        <f t="shared" si="4"/>
        <v>POZICIJA</v>
      </c>
      <c r="G67" s="3" t="str">
        <f t="shared" si="5"/>
        <v>Tabele_zaglavlje_Pozicija</v>
      </c>
      <c r="H67">
        <f t="shared" si="6"/>
        <v>1</v>
      </c>
    </row>
    <row r="68" spans="1:8" x14ac:dyDescent="0.2">
      <c r="A68" t="s">
        <v>550</v>
      </c>
      <c r="B68" t="s">
        <v>424</v>
      </c>
      <c r="C68" t="s">
        <v>240</v>
      </c>
      <c r="D68" t="s">
        <v>478</v>
      </c>
      <c r="E68" t="s">
        <v>285</v>
      </c>
      <c r="F68" s="3" t="str">
        <f t="shared" si="4"/>
        <v>Oznaka za AOP</v>
      </c>
      <c r="G68" s="3" t="str">
        <f t="shared" si="5"/>
        <v>Tabele_zaglavlje_Oznaka_aop</v>
      </c>
      <c r="H68">
        <f t="shared" si="6"/>
        <v>1</v>
      </c>
    </row>
    <row r="69" spans="1:8" x14ac:dyDescent="0.2">
      <c r="A69" t="s">
        <v>550</v>
      </c>
      <c r="B69" t="s">
        <v>558</v>
      </c>
      <c r="C69" t="s">
        <v>559</v>
      </c>
      <c r="D69" t="s">
        <v>566</v>
      </c>
      <c r="E69" t="s">
        <v>560</v>
      </c>
      <c r="F69" s="3" t="str">
        <f t="shared" ref="F69:F98" si="7">CHOOSE( ID_Jezik, C69, D69, E69)</f>
        <v>Redni broj</v>
      </c>
      <c r="G69" s="3" t="str">
        <f>SUBSTITUTE(A69&amp;"_"&amp;B69," ","_")</f>
        <v>Tabele_zaglavlje_Redni_broj</v>
      </c>
      <c r="H69" s="3">
        <f t="shared" si="6"/>
        <v>1</v>
      </c>
    </row>
    <row r="70" spans="1:8" x14ac:dyDescent="0.2">
      <c r="A70" t="s">
        <v>550</v>
      </c>
      <c r="B70" t="s">
        <v>427</v>
      </c>
      <c r="C70" t="s">
        <v>294</v>
      </c>
      <c r="D70" t="s">
        <v>479</v>
      </c>
      <c r="E70" t="s">
        <v>286</v>
      </c>
      <c r="F70" s="3" t="str">
        <f t="shared" si="7"/>
        <v>Iznos na dan bilansa tekuće godine</v>
      </c>
      <c r="G70" s="3" t="str">
        <f t="shared" si="5"/>
        <v>Tabele_zaglavlje_BS_iznos_tekuca</v>
      </c>
      <c r="H70">
        <f t="shared" si="6"/>
        <v>1</v>
      </c>
    </row>
    <row r="71" spans="1:8" x14ac:dyDescent="0.2">
      <c r="A71" t="s">
        <v>550</v>
      </c>
      <c r="B71" t="s">
        <v>546</v>
      </c>
      <c r="C71" t="s">
        <v>269</v>
      </c>
      <c r="D71" t="s">
        <v>480</v>
      </c>
      <c r="E71" t="s">
        <v>288</v>
      </c>
      <c r="F71" s="3" t="str">
        <f t="shared" si="7"/>
        <v>Bruto</v>
      </c>
      <c r="G71" s="3" t="str">
        <f t="shared" si="5"/>
        <v>Tabele_zaglavlje_BS_bruto</v>
      </c>
      <c r="H71">
        <f t="shared" si="6"/>
        <v>1</v>
      </c>
    </row>
    <row r="72" spans="1:8" x14ac:dyDescent="0.2">
      <c r="A72" t="s">
        <v>550</v>
      </c>
      <c r="B72" t="s">
        <v>547</v>
      </c>
      <c r="C72" t="s">
        <v>270</v>
      </c>
      <c r="D72" t="s">
        <v>481</v>
      </c>
      <c r="E72" t="s">
        <v>289</v>
      </c>
      <c r="F72" s="3" t="str">
        <f t="shared" si="7"/>
        <v>Ispravka vrijednosti</v>
      </c>
      <c r="G72" s="3" t="str">
        <f t="shared" si="5"/>
        <v>Tabele_zaglavlje_BS_ispravka</v>
      </c>
      <c r="H72">
        <f t="shared" si="6"/>
        <v>1</v>
      </c>
    </row>
    <row r="73" spans="1:8" x14ac:dyDescent="0.2">
      <c r="A73" t="s">
        <v>550</v>
      </c>
      <c r="B73" t="s">
        <v>426</v>
      </c>
      <c r="C73" t="s">
        <v>271</v>
      </c>
      <c r="D73" t="s">
        <v>482</v>
      </c>
      <c r="E73" t="s">
        <v>290</v>
      </c>
      <c r="F73" s="3" t="str">
        <f t="shared" si="7"/>
        <v>Neto (4-5)</v>
      </c>
      <c r="G73" s="3" t="str">
        <f t="shared" si="5"/>
        <v>Tabele_zaglavlje_BS_neto</v>
      </c>
      <c r="H73">
        <f t="shared" si="6"/>
        <v>1</v>
      </c>
    </row>
    <row r="74" spans="1:8" x14ac:dyDescent="0.2">
      <c r="A74" t="s">
        <v>550</v>
      </c>
      <c r="B74" t="s">
        <v>428</v>
      </c>
      <c r="C74" t="s">
        <v>822</v>
      </c>
      <c r="D74" t="s">
        <v>823</v>
      </c>
      <c r="E74" t="s">
        <v>287</v>
      </c>
      <c r="F74" s="3" t="str">
        <f t="shared" si="7"/>
        <v>Iznos na dan bilansa prethodne godine (PS)</v>
      </c>
      <c r="G74" s="3" t="str">
        <f t="shared" si="5"/>
        <v>Tabele_zaglavlje_BS_iznos_prethodna</v>
      </c>
      <c r="H74">
        <f t="shared" si="6"/>
        <v>1</v>
      </c>
    </row>
    <row r="75" spans="1:8" x14ac:dyDescent="0.2">
      <c r="A75" t="s">
        <v>550</v>
      </c>
      <c r="B75" t="s">
        <v>249</v>
      </c>
      <c r="C75" t="s">
        <v>249</v>
      </c>
      <c r="D75" t="s">
        <v>483</v>
      </c>
      <c r="E75" t="s">
        <v>230</v>
      </c>
      <c r="F75" s="3" t="str">
        <f t="shared" si="7"/>
        <v>Iznos</v>
      </c>
      <c r="G75" s="3" t="str">
        <f t="shared" si="5"/>
        <v>Tabele_zaglavlje_Iznos</v>
      </c>
      <c r="H75" s="3">
        <f t="shared" si="6"/>
        <v>1</v>
      </c>
    </row>
    <row r="76" spans="1:8" x14ac:dyDescent="0.2">
      <c r="A76" t="s">
        <v>550</v>
      </c>
      <c r="B76" t="s">
        <v>430</v>
      </c>
      <c r="C76" t="s">
        <v>250</v>
      </c>
      <c r="D76" t="s">
        <v>484</v>
      </c>
      <c r="E76" t="s">
        <v>231</v>
      </c>
      <c r="F76" s="3" t="str">
        <f t="shared" si="7"/>
        <v>Tekuća godina</v>
      </c>
      <c r="G76" s="3" t="str">
        <f t="shared" si="5"/>
        <v>Tabele_zaglavlje_Tekuca_godina</v>
      </c>
      <c r="H76">
        <f t="shared" si="6"/>
        <v>1</v>
      </c>
    </row>
    <row r="77" spans="1:8" x14ac:dyDescent="0.2">
      <c r="A77" t="s">
        <v>550</v>
      </c>
      <c r="B77" t="s">
        <v>431</v>
      </c>
      <c r="C77" t="s">
        <v>251</v>
      </c>
      <c r="D77" t="s">
        <v>485</v>
      </c>
      <c r="E77" t="s">
        <v>232</v>
      </c>
      <c r="F77" s="3" t="str">
        <f t="shared" si="7"/>
        <v>Prethodna godina</v>
      </c>
      <c r="G77" s="3" t="str">
        <f t="shared" si="5"/>
        <v>Tabele_zaglavlje_Prethodna_godina</v>
      </c>
      <c r="H77">
        <f t="shared" si="6"/>
        <v>1</v>
      </c>
    </row>
    <row r="78" spans="1:8" x14ac:dyDescent="0.2">
      <c r="A78" t="s">
        <v>550</v>
      </c>
      <c r="B78" t="s">
        <v>429</v>
      </c>
      <c r="C78" s="4" t="s">
        <v>425</v>
      </c>
      <c r="D78" s="4" t="s">
        <v>486</v>
      </c>
      <c r="E78" s="4" t="s">
        <v>491</v>
      </c>
      <c r="F78" s="3" t="str">
        <f t="shared" si="7"/>
        <v>- u konvertibilnim markama -</v>
      </c>
      <c r="G78" s="3" t="str">
        <f t="shared" si="5"/>
        <v>Tabele_zaglavlje_Valuta</v>
      </c>
      <c r="H78">
        <f t="shared" si="6"/>
        <v>1</v>
      </c>
    </row>
    <row r="79" spans="1:8" x14ac:dyDescent="0.2">
      <c r="A79" t="s">
        <v>550</v>
      </c>
      <c r="B79" t="s">
        <v>578</v>
      </c>
      <c r="C79" t="s">
        <v>118</v>
      </c>
      <c r="D79" t="s">
        <v>588</v>
      </c>
      <c r="E79" t="s">
        <v>579</v>
      </c>
      <c r="F79" s="3" t="str">
        <f t="shared" si="7"/>
        <v>Dio kapitala koji pripada vlasnicima matičnog privrednog društva</v>
      </c>
      <c r="G79" s="3" t="str">
        <f>SUBSTITUTE(A79&amp;"_"&amp;B79," ","_")</f>
        <v>Tabele_zaglavlje_BPK0</v>
      </c>
      <c r="H79" s="3">
        <f t="shared" si="6"/>
        <v>1</v>
      </c>
    </row>
    <row r="80" spans="1:8" x14ac:dyDescent="0.2">
      <c r="A80" t="s">
        <v>550</v>
      </c>
      <c r="B80" t="s">
        <v>569</v>
      </c>
      <c r="C80" t="s">
        <v>242</v>
      </c>
      <c r="D80" t="s">
        <v>589</v>
      </c>
      <c r="E80" t="s">
        <v>580</v>
      </c>
      <c r="F80" s="3" t="str">
        <f t="shared" si="7"/>
        <v>Vrsta promjene u kapitalu</v>
      </c>
      <c r="G80" s="3" t="str">
        <f t="shared" ref="G80:G88" si="8">SUBSTITUTE(A80&amp;"_"&amp;B80," ","_")</f>
        <v>Tabele_zaglavlje_BPK1</v>
      </c>
      <c r="H80" s="3">
        <f t="shared" si="6"/>
        <v>1</v>
      </c>
    </row>
    <row r="81" spans="1:8" x14ac:dyDescent="0.2">
      <c r="A81" t="s">
        <v>550</v>
      </c>
      <c r="B81" t="s">
        <v>570</v>
      </c>
      <c r="C81" t="s">
        <v>106</v>
      </c>
      <c r="D81" t="s">
        <v>590</v>
      </c>
      <c r="E81" t="s">
        <v>581</v>
      </c>
      <c r="F81" s="3" t="str">
        <f t="shared" si="7"/>
        <v>Akcijski kapital i udjeli u društvo sa ograničenom odgovornošću</v>
      </c>
      <c r="G81" s="3" t="str">
        <f t="shared" si="8"/>
        <v>Tabele_zaglavlje_BPK3</v>
      </c>
      <c r="H81" s="3">
        <f t="shared" si="6"/>
        <v>1</v>
      </c>
    </row>
    <row r="82" spans="1:8" x14ac:dyDescent="0.2">
      <c r="A82" t="s">
        <v>550</v>
      </c>
      <c r="B82" t="s">
        <v>571</v>
      </c>
      <c r="C82" t="s">
        <v>107</v>
      </c>
      <c r="D82" t="s">
        <v>591</v>
      </c>
      <c r="E82" t="s">
        <v>582</v>
      </c>
      <c r="F82" s="3" t="str">
        <f t="shared" si="7"/>
        <v>Revalorizacione rezerve (MRS 16, MRS 21 i MRS 38)</v>
      </c>
      <c r="G82" s="3" t="str">
        <f t="shared" si="8"/>
        <v>Tabele_zaglavlje_BPK4</v>
      </c>
      <c r="H82" s="3">
        <f t="shared" si="6"/>
        <v>1</v>
      </c>
    </row>
    <row r="83" spans="1:8" x14ac:dyDescent="0.2">
      <c r="A83" t="s">
        <v>550</v>
      </c>
      <c r="B83" t="s">
        <v>572</v>
      </c>
      <c r="C83" t="s">
        <v>108</v>
      </c>
      <c r="D83" t="s">
        <v>592</v>
      </c>
      <c r="E83" t="s">
        <v>130</v>
      </c>
      <c r="F83" s="3" t="str">
        <f t="shared" si="7"/>
        <v>Nerealizovani dobici/ gubici po osnovu finansijskih sredstava raspoloživih za prodaju</v>
      </c>
      <c r="G83" s="3" t="str">
        <f t="shared" si="8"/>
        <v>Tabele_zaglavlje_BPK5</v>
      </c>
      <c r="H83" s="3">
        <f t="shared" si="6"/>
        <v>1</v>
      </c>
    </row>
    <row r="84" spans="1:8" x14ac:dyDescent="0.2">
      <c r="A84" t="s">
        <v>550</v>
      </c>
      <c r="B84" t="s">
        <v>573</v>
      </c>
      <c r="C84" t="s">
        <v>117</v>
      </c>
      <c r="D84" t="s">
        <v>593</v>
      </c>
      <c r="E84" t="s">
        <v>583</v>
      </c>
      <c r="F84" s="3" t="str">
        <f t="shared" si="7"/>
        <v xml:space="preserve">Ostale rezerve (emisiona premija, zakonske i statutarne rezerve, zaštita gotovinskih tokova) </v>
      </c>
      <c r="G84" s="3" t="str">
        <f t="shared" si="8"/>
        <v>Tabele_zaglavlje_BPK6</v>
      </c>
      <c r="H84" s="3">
        <f t="shared" si="6"/>
        <v>1</v>
      </c>
    </row>
    <row r="85" spans="1:8" x14ac:dyDescent="0.2">
      <c r="A85" t="s">
        <v>550</v>
      </c>
      <c r="B85" t="s">
        <v>574</v>
      </c>
      <c r="C85" t="s">
        <v>568</v>
      </c>
      <c r="D85" t="s">
        <v>594</v>
      </c>
      <c r="E85" t="s">
        <v>584</v>
      </c>
      <c r="F85" s="3" t="str">
        <f t="shared" si="7"/>
        <v>Akumulisani neraspoređeni dobitak / nepokriveni gubitak</v>
      </c>
      <c r="G85" s="3" t="str">
        <f t="shared" si="8"/>
        <v>Tabele_zaglavlje_BPK7</v>
      </c>
      <c r="H85" s="3">
        <f t="shared" si="6"/>
        <v>1</v>
      </c>
    </row>
    <row r="86" spans="1:8" x14ac:dyDescent="0.2">
      <c r="A86" t="s">
        <v>550</v>
      </c>
      <c r="B86" t="s">
        <v>575</v>
      </c>
      <c r="C86" t="s">
        <v>239</v>
      </c>
      <c r="D86" t="s">
        <v>595</v>
      </c>
      <c r="E86" t="s">
        <v>585</v>
      </c>
      <c r="F86" s="3" t="str">
        <f t="shared" si="7"/>
        <v>Ukupno</v>
      </c>
      <c r="G86" s="3" t="str">
        <f t="shared" si="8"/>
        <v>Tabele_zaglavlje_BPK8</v>
      </c>
      <c r="H86" s="3">
        <f t="shared" si="6"/>
        <v>1</v>
      </c>
    </row>
    <row r="87" spans="1:8" x14ac:dyDescent="0.2">
      <c r="A87" t="s">
        <v>550</v>
      </c>
      <c r="B87" t="s">
        <v>576</v>
      </c>
      <c r="C87" t="s">
        <v>241</v>
      </c>
      <c r="D87" t="s">
        <v>596</v>
      </c>
      <c r="E87" t="s">
        <v>586</v>
      </c>
      <c r="F87" s="3" t="str">
        <f t="shared" si="7"/>
        <v>Manjinski interes</v>
      </c>
      <c r="G87" s="3" t="str">
        <f t="shared" si="8"/>
        <v>Tabele_zaglavlje_BPK9</v>
      </c>
      <c r="H87" s="3">
        <f t="shared" si="6"/>
        <v>1</v>
      </c>
    </row>
    <row r="88" spans="1:8" x14ac:dyDescent="0.2">
      <c r="A88" t="s">
        <v>550</v>
      </c>
      <c r="B88" t="s">
        <v>577</v>
      </c>
      <c r="C88" t="s">
        <v>119</v>
      </c>
      <c r="D88" t="s">
        <v>597</v>
      </c>
      <c r="E88" t="s">
        <v>587</v>
      </c>
      <c r="F88" s="3" t="str">
        <f t="shared" si="7"/>
        <v>UKUPNI KAPITAL</v>
      </c>
      <c r="G88" s="3" t="str">
        <f t="shared" si="8"/>
        <v>Tabele_zaglavlje_BPK10</v>
      </c>
      <c r="H88" s="3">
        <f t="shared" si="6"/>
        <v>1</v>
      </c>
    </row>
    <row r="89" spans="1:8" x14ac:dyDescent="0.2">
      <c r="A89" t="s">
        <v>751</v>
      </c>
      <c r="B89" t="s">
        <v>753</v>
      </c>
      <c r="C89" t="s">
        <v>806</v>
      </c>
      <c r="D89" t="s">
        <v>807</v>
      </c>
      <c r="E89" t="s">
        <v>837</v>
      </c>
      <c r="F89" s="3" t="str">
        <f t="shared" si="7"/>
        <v>Obavezan unos podataka u formi!</v>
      </c>
      <c r="G89" s="3" t="str">
        <f t="shared" ref="G89:G98" si="9">SUBSTITUTE(A89&amp;"_"&amp;B89," ","_")</f>
        <v>Kontrola_Obavezno</v>
      </c>
      <c r="H89" s="3">
        <f t="shared" si="6"/>
        <v>1</v>
      </c>
    </row>
    <row r="90" spans="1:8" x14ac:dyDescent="0.2">
      <c r="A90" t="s">
        <v>751</v>
      </c>
      <c r="B90" t="s">
        <v>754</v>
      </c>
      <c r="C90" t="s">
        <v>752</v>
      </c>
      <c r="D90" t="s">
        <v>755</v>
      </c>
      <c r="E90" t="s">
        <v>756</v>
      </c>
      <c r="F90" s="3" t="str">
        <f t="shared" si="7"/>
        <v>Neispravan unos podataka!</v>
      </c>
      <c r="G90" s="3" t="str">
        <f t="shared" si="9"/>
        <v>Kontrola_Neispravno</v>
      </c>
      <c r="H90" s="3">
        <f t="shared" si="6"/>
        <v>1</v>
      </c>
    </row>
    <row r="91" spans="1:8" x14ac:dyDescent="0.2">
      <c r="A91" t="s">
        <v>779</v>
      </c>
      <c r="B91" t="s">
        <v>780</v>
      </c>
      <c r="C91" t="s">
        <v>732</v>
      </c>
      <c r="D91" t="s">
        <v>773</v>
      </c>
      <c r="E91" t="s">
        <v>741</v>
      </c>
      <c r="F91" s="3" t="str">
        <f t="shared" si="7"/>
        <v>Revidiran izvještaj:</v>
      </c>
      <c r="G91" s="3" t="str">
        <f t="shared" si="9"/>
        <v>Revizija_Revidiran_izvjestaj</v>
      </c>
      <c r="H91" s="3">
        <f t="shared" si="6"/>
        <v>1</v>
      </c>
    </row>
    <row r="92" spans="1:8" x14ac:dyDescent="0.2">
      <c r="A92" t="s">
        <v>779</v>
      </c>
      <c r="B92" t="s">
        <v>781</v>
      </c>
      <c r="C92" t="s">
        <v>797</v>
      </c>
      <c r="D92" t="s">
        <v>798</v>
      </c>
      <c r="E92" t="s">
        <v>799</v>
      </c>
      <c r="F92" s="3" t="str">
        <f t="shared" si="7"/>
        <v>Mišljenje revizora:</v>
      </c>
      <c r="G92" s="3" t="str">
        <f t="shared" si="9"/>
        <v>Revizija_Misljenje</v>
      </c>
      <c r="H92" s="3">
        <f t="shared" si="6"/>
        <v>1</v>
      </c>
    </row>
    <row r="93" spans="1:8" x14ac:dyDescent="0.2">
      <c r="A93" t="s">
        <v>779</v>
      </c>
      <c r="B93" t="s">
        <v>749</v>
      </c>
      <c r="C93" t="s">
        <v>750</v>
      </c>
      <c r="D93" t="s">
        <v>774</v>
      </c>
      <c r="E93" t="s">
        <v>757</v>
      </c>
      <c r="F93" s="3" t="str">
        <f t="shared" si="7"/>
        <v>Podaci o revizorskoj firmi:</v>
      </c>
      <c r="G93" s="3" t="str">
        <f t="shared" si="9"/>
        <v>Revizija_Podaci_o_revizorskoj_firmi</v>
      </c>
      <c r="H93" s="3">
        <f t="shared" si="6"/>
        <v>1</v>
      </c>
    </row>
    <row r="94" spans="1:8" x14ac:dyDescent="0.2">
      <c r="A94" t="s">
        <v>779</v>
      </c>
      <c r="B94" t="s">
        <v>832</v>
      </c>
      <c r="C94" t="s">
        <v>833</v>
      </c>
      <c r="D94" t="s">
        <v>834</v>
      </c>
      <c r="E94" t="s">
        <v>835</v>
      </c>
      <c r="F94" s="3" t="str">
        <f>CHOOSE( ID_Jezik, C94, D94, E94)</f>
        <v>Naziv revizorske firme:</v>
      </c>
      <c r="G94" s="3" t="str">
        <f>SUBSTITUTE(A94&amp;"_"&amp;B94," ","_")</f>
        <v>Revizija_Naziv_revizorske_firme</v>
      </c>
      <c r="H94" s="3">
        <f t="shared" si="6"/>
        <v>1</v>
      </c>
    </row>
    <row r="95" spans="1:8" x14ac:dyDescent="0.2">
      <c r="A95" t="s">
        <v>779</v>
      </c>
      <c r="B95" t="s">
        <v>782</v>
      </c>
      <c r="C95" t="s">
        <v>742</v>
      </c>
      <c r="D95" t="s">
        <v>775</v>
      </c>
      <c r="E95" t="s">
        <v>808</v>
      </c>
      <c r="F95" s="3" t="str">
        <f t="shared" si="7"/>
        <v>Pozitivno mišljenje</v>
      </c>
      <c r="G95" s="3" t="str">
        <f t="shared" si="9"/>
        <v>Revizija_Pozitivno</v>
      </c>
      <c r="H95" s="3">
        <f t="shared" si="6"/>
        <v>1</v>
      </c>
    </row>
    <row r="96" spans="1:8" x14ac:dyDescent="0.2">
      <c r="A96" t="s">
        <v>779</v>
      </c>
      <c r="B96" t="s">
        <v>785</v>
      </c>
      <c r="C96" t="s">
        <v>748</v>
      </c>
      <c r="D96" t="s">
        <v>776</v>
      </c>
      <c r="E96" t="s">
        <v>743</v>
      </c>
      <c r="F96" s="3" t="str">
        <f t="shared" si="7"/>
        <v>Mišljenje sa rezervom</v>
      </c>
      <c r="G96" s="3" t="str">
        <f t="shared" si="9"/>
        <v>Revizija_Sa_rezervom</v>
      </c>
      <c r="H96" s="3">
        <f t="shared" si="6"/>
        <v>1</v>
      </c>
    </row>
    <row r="97" spans="1:8" x14ac:dyDescent="0.2">
      <c r="A97" t="s">
        <v>779</v>
      </c>
      <c r="B97" t="s">
        <v>783</v>
      </c>
      <c r="C97" t="s">
        <v>745</v>
      </c>
      <c r="D97" t="s">
        <v>777</v>
      </c>
      <c r="E97" t="s">
        <v>744</v>
      </c>
      <c r="F97" s="3" t="str">
        <f t="shared" si="7"/>
        <v>Negativno mišljenje</v>
      </c>
      <c r="G97" s="3" t="str">
        <f t="shared" si="9"/>
        <v>Revizija_Negativno</v>
      </c>
      <c r="H97" s="3">
        <f t="shared" si="6"/>
        <v>1</v>
      </c>
    </row>
    <row r="98" spans="1:8" x14ac:dyDescent="0.2">
      <c r="A98" t="s">
        <v>779</v>
      </c>
      <c r="B98" t="s">
        <v>784</v>
      </c>
      <c r="C98" t="s">
        <v>747</v>
      </c>
      <c r="D98" t="s">
        <v>778</v>
      </c>
      <c r="E98" t="s">
        <v>746</v>
      </c>
      <c r="F98" s="3" t="str">
        <f t="shared" si="7"/>
        <v>Uzdržavanje od mišljenja</v>
      </c>
      <c r="G98" s="3" t="str">
        <f t="shared" si="9"/>
        <v>Revizija_Uzdrzavanje</v>
      </c>
      <c r="H98" s="3">
        <f t="shared" si="6"/>
        <v>1</v>
      </c>
    </row>
  </sheetData>
  <sheetProtection password="832E" sheet="1" objects="1" scenarios="1"/>
  <conditionalFormatting sqref="C2:E98">
    <cfRule type="containsBlanks" dxfId="85" priority="1" stopIfTrue="1">
      <formula>LEN(TRIM(C2))=0</formula>
    </cfRule>
  </conditionalFormatting>
  <pageMargins left="0.7" right="0.7" top="0.75" bottom="0.75" header="0.3" footer="0.3"/>
  <pageSetup orientation="portrait" horizontalDpi="1200" verticalDpi="1200" r:id="rId1"/>
  <ignoredErrors>
    <ignoredError sqref="C55:D55" formula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153</vt:i4>
      </vt:variant>
    </vt:vector>
  </HeadingPairs>
  <TitlesOfParts>
    <vt:vector size="167" baseType="lpstr">
      <vt:lpstr>Uputstvo</vt:lpstr>
      <vt:lpstr>Osnovni_podaci</vt:lpstr>
      <vt:lpstr>01</vt:lpstr>
      <vt:lpstr>02a</vt:lpstr>
      <vt:lpstr>02b</vt:lpstr>
      <vt:lpstr>03</vt:lpstr>
      <vt:lpstr>04</vt:lpstr>
      <vt:lpstr>05</vt:lpstr>
      <vt:lpstr>Prevod</vt:lpstr>
      <vt:lpstr>Aop</vt:lpstr>
      <vt:lpstr>Podesavanja</vt:lpstr>
      <vt:lpstr>Baza</vt:lpstr>
      <vt:lpstr>BazaBPK</vt:lpstr>
      <vt:lpstr>APIF_Import</vt:lpstr>
      <vt:lpstr>'01'!_FilterDatabase</vt:lpstr>
      <vt:lpstr>'02a'!_FilterDatabase</vt:lpstr>
      <vt:lpstr>Datum_Broj</vt:lpstr>
      <vt:lpstr>Datum_Format</vt:lpstr>
      <vt:lpstr>Datumi_Datum_Aneks</vt:lpstr>
      <vt:lpstr>Datumi_Datum_BPK</vt:lpstr>
      <vt:lpstr>Datumi_Datum_BS</vt:lpstr>
      <vt:lpstr>Datumi_Datum_BTG</vt:lpstr>
      <vt:lpstr>Datumi_Datum_BU</vt:lpstr>
      <vt:lpstr>Datumi_Datum_ODGP</vt:lpstr>
      <vt:lpstr>Godina</vt:lpstr>
      <vt:lpstr>ID_Izvjestaj</vt:lpstr>
      <vt:lpstr>ID_Jezik</vt:lpstr>
      <vt:lpstr>Id_Konsolidovani</vt:lpstr>
      <vt:lpstr>Konsolidovan_izvjestaj</vt:lpstr>
      <vt:lpstr>Konsolidovani_Konsolidavani_Izvjestaj</vt:lpstr>
      <vt:lpstr>Konsolidovani_Konsolidovani</vt:lpstr>
      <vt:lpstr>Kontakt_Adresa</vt:lpstr>
      <vt:lpstr>Kontakt_email</vt:lpstr>
      <vt:lpstr>Kontakt_fax</vt:lpstr>
      <vt:lpstr>Kontakt_tel</vt:lpstr>
      <vt:lpstr>Kontakt_web</vt:lpstr>
      <vt:lpstr>Kontrola_Neispravno</vt:lpstr>
      <vt:lpstr>Kontrola_Obavezno</vt:lpstr>
      <vt:lpstr>Linkovi_Link_Aneks</vt:lpstr>
      <vt:lpstr>Linkovi_Link_BPK</vt:lpstr>
      <vt:lpstr>Linkovi_Link_BS</vt:lpstr>
      <vt:lpstr>Linkovi_Link_BTG</vt:lpstr>
      <vt:lpstr>Linkovi_Link_BU</vt:lpstr>
      <vt:lpstr>Linkovi_Link_ODGP</vt:lpstr>
      <vt:lpstr>Linkovi_Link_Osnovni_podaci</vt:lpstr>
      <vt:lpstr>Linkovi_Link_Uputstvo</vt:lpstr>
      <vt:lpstr>Lookup_Aneks</vt:lpstr>
      <vt:lpstr>Lookup_BPK</vt:lpstr>
      <vt:lpstr>Lookup_BSa</vt:lpstr>
      <vt:lpstr>Lookup_BSp</vt:lpstr>
      <vt:lpstr>Lookup_BTG</vt:lpstr>
      <vt:lpstr>Lookup_BUa</vt:lpstr>
      <vt:lpstr>Lookup_BUb</vt:lpstr>
      <vt:lpstr>Nazivi_bilansa_Aneks</vt:lpstr>
      <vt:lpstr>Nazivi_bilansa_Aneks1</vt:lpstr>
      <vt:lpstr>Nazivi_bilansa_BPK</vt:lpstr>
      <vt:lpstr>Nazivi_bilansa_BS</vt:lpstr>
      <vt:lpstr>Nazivi_bilansa_BS1</vt:lpstr>
      <vt:lpstr>Nazivi_bilansa_BTG</vt:lpstr>
      <vt:lpstr>Nazivi_bilansa_BTG1</vt:lpstr>
      <vt:lpstr>Nazivi_bilansa_BUa</vt:lpstr>
      <vt:lpstr>Nazivi_bilansa_BUa1</vt:lpstr>
      <vt:lpstr>Nazivi_bilansa_BUb</vt:lpstr>
      <vt:lpstr>Nazivi_bilansa_BUb1</vt:lpstr>
      <vt:lpstr>Nazivi_bilansa_Konsolidovani_naziv</vt:lpstr>
      <vt:lpstr>Objasnjenja_Banka</vt:lpstr>
      <vt:lpstr>Objasnjenja_Bankovni_racun</vt:lpstr>
      <vt:lpstr>Objasnjenja_Dan</vt:lpstr>
      <vt:lpstr>Objasnjenja_Glavni_racun</vt:lpstr>
      <vt:lpstr>Objasnjenja_Godina</vt:lpstr>
      <vt:lpstr>Objasnjenja_Mjesec</vt:lpstr>
      <vt:lpstr>Objasnjenja_Navigacija</vt:lpstr>
      <vt:lpstr>Objasnjenja_Podnozje</vt:lpstr>
      <vt:lpstr>Objasnjenja_Zaglavlje</vt:lpstr>
      <vt:lpstr>Osnovno_Izaberite_jezik</vt:lpstr>
      <vt:lpstr>Osnovno_Izvjestajni_period</vt:lpstr>
      <vt:lpstr>Osnovno_Kraj_perioda</vt:lpstr>
      <vt:lpstr>Osnovno_Pocetak_perioda</vt:lpstr>
      <vt:lpstr>Osnovno_Vrsta_izvjestaja</vt:lpstr>
      <vt:lpstr>Period_Kraj_Dan</vt:lpstr>
      <vt:lpstr>Period_Kraj_Godina</vt:lpstr>
      <vt:lpstr>Period_Kraj_Mjesec</vt:lpstr>
      <vt:lpstr>Period_Pocetak_Dan</vt:lpstr>
      <vt:lpstr>Period_Pocetak_Mjesec</vt:lpstr>
      <vt:lpstr>Podatak_Adresa</vt:lpstr>
      <vt:lpstr>Podatak_Broj_Licence</vt:lpstr>
      <vt:lpstr>Podatak_Dana</vt:lpstr>
      <vt:lpstr>Podatak_Direktor</vt:lpstr>
      <vt:lpstr>Podatak_email</vt:lpstr>
      <vt:lpstr>Podatak_fax</vt:lpstr>
      <vt:lpstr>Podatak_JIB</vt:lpstr>
      <vt:lpstr>Podatak_Lice_sa_licencom</vt:lpstr>
      <vt:lpstr>Podatak_MB</vt:lpstr>
      <vt:lpstr>Podatak_Naziv_preduzeca</vt:lpstr>
      <vt:lpstr>Podatak_Sifra_djelatnosti</vt:lpstr>
      <vt:lpstr>Podatak_Sjediste</vt:lpstr>
      <vt:lpstr>Podatak_tel</vt:lpstr>
      <vt:lpstr>Podatak_U</vt:lpstr>
      <vt:lpstr>Podatak_web</vt:lpstr>
      <vt:lpstr>Podatak_Ziro_racun_1</vt:lpstr>
      <vt:lpstr>Podatak_Ziro_racun_2</vt:lpstr>
      <vt:lpstr>Podatak_Ziro_racun_3</vt:lpstr>
      <vt:lpstr>Podatak_Ziro_racun_4</vt:lpstr>
      <vt:lpstr>Podatak_Ziro_racun_5</vt:lpstr>
      <vt:lpstr>Podatak_Ziro_racun_6</vt:lpstr>
      <vt:lpstr>Podnozje_Broj_licence</vt:lpstr>
      <vt:lpstr>Podnozje_Dana</vt:lpstr>
      <vt:lpstr>Podnozje_Direktor</vt:lpstr>
      <vt:lpstr>Podnozje_Lice_sa_licencom</vt:lpstr>
      <vt:lpstr>Podnozje_MP</vt:lpstr>
      <vt:lpstr>Podnozje_U</vt:lpstr>
      <vt:lpstr>'01'!Print_Area</vt:lpstr>
      <vt:lpstr>'02a'!Print_Area</vt:lpstr>
      <vt:lpstr>'02b'!Print_Area</vt:lpstr>
      <vt:lpstr>'03'!Print_Area</vt:lpstr>
      <vt:lpstr>'04'!Print_Area</vt:lpstr>
      <vt:lpstr>'05'!Print_Area</vt:lpstr>
      <vt:lpstr>Osnovni_podaci!Print_Area</vt:lpstr>
      <vt:lpstr>Uputstvo!Print_Area</vt:lpstr>
      <vt:lpstr>'02a'!Print_Titles</vt:lpstr>
      <vt:lpstr>'03'!Print_Titles</vt:lpstr>
      <vt:lpstr>'04'!Print_Titles</vt:lpstr>
      <vt:lpstr>Revidiran_izvjestaj</vt:lpstr>
      <vt:lpstr>Revizija_Misljenje</vt:lpstr>
      <vt:lpstr>Revizija_Naziv_revizorske_firme</vt:lpstr>
      <vt:lpstr>Revizija_Negativno</vt:lpstr>
      <vt:lpstr>Revizija_Podaci_o_revizorskoj_firmi</vt:lpstr>
      <vt:lpstr>Revizija_Pozitivno</vt:lpstr>
      <vt:lpstr>Revizija_Revidiran_izvjestaj</vt:lpstr>
      <vt:lpstr>Revizija_Sa_rezervom</vt:lpstr>
      <vt:lpstr>Revizija_Uzdrzavanje</vt:lpstr>
      <vt:lpstr>Tabele_Tekuca_godina</vt:lpstr>
      <vt:lpstr>Tabele_zaglavlje_BPK0</vt:lpstr>
      <vt:lpstr>Tabele_zaglavlje_BPK1</vt:lpstr>
      <vt:lpstr>Tabele_zaglavlje_BPK10</vt:lpstr>
      <vt:lpstr>Tabele_zaglavlje_BPK3</vt:lpstr>
      <vt:lpstr>Tabele_zaglavlje_BPK4</vt:lpstr>
      <vt:lpstr>Tabele_zaglavlje_BPK5</vt:lpstr>
      <vt:lpstr>Tabele_zaglavlje_BPK6</vt:lpstr>
      <vt:lpstr>Tabele_zaglavlje_BPK7</vt:lpstr>
      <vt:lpstr>Tabele_zaglavlje_BPK8</vt:lpstr>
      <vt:lpstr>Tabele_zaglavlje_BPK9</vt:lpstr>
      <vt:lpstr>Tabele_zaglavlje_BS_bruto</vt:lpstr>
      <vt:lpstr>Tabele_zaglavlje_BS_ispravka</vt:lpstr>
      <vt:lpstr>Tabele_zaglavlje_BS_iznos_prethodna</vt:lpstr>
      <vt:lpstr>Tabele_zaglavlje_BS_iznos_tekuca</vt:lpstr>
      <vt:lpstr>Tabele_zaglavlje_BS_neto</vt:lpstr>
      <vt:lpstr>Tabele_zaglavlje_Grupa_racuna</vt:lpstr>
      <vt:lpstr>Tabele_zaglavlje_Iznos</vt:lpstr>
      <vt:lpstr>Tabele_zaglavlje_Oznaka_aop</vt:lpstr>
      <vt:lpstr>Tabele_zaglavlje_Pozicija</vt:lpstr>
      <vt:lpstr>Tabele_zaglavlje_Prethodna_godina</vt:lpstr>
      <vt:lpstr>Tabele_zaglavlje_Redni_broj</vt:lpstr>
      <vt:lpstr>Tabele_zaglavlje_Tekuca_godina</vt:lpstr>
      <vt:lpstr>Tabele_zaglavlje_Valuta</vt:lpstr>
      <vt:lpstr>Vrsta_izvjestaja</vt:lpstr>
      <vt:lpstr>Vrsta_izvjestaja_Godisnji</vt:lpstr>
      <vt:lpstr>Vrsta_izvjestaja_Polugodisnji</vt:lpstr>
      <vt:lpstr>Vrsta_izvjestaja_Prvi_kvartal</vt:lpstr>
      <vt:lpstr>Vrsta_izvjestaja_Specificni</vt:lpstr>
      <vt:lpstr>Vrsta_izvjestaja_Treci_kvartal</vt:lpstr>
      <vt:lpstr>Zaglavlje_JIB</vt:lpstr>
      <vt:lpstr>Zaglavlje_MB</vt:lpstr>
      <vt:lpstr>Zaglavlje_Naziv_preduzeca</vt:lpstr>
      <vt:lpstr>Zaglavlje_Sifra_djelatnosti</vt:lpstr>
      <vt:lpstr>Zaglavlje_Sjediste</vt:lpstr>
      <vt:lpstr>Zaglavlje_Ziro_racun</vt:lpstr>
    </vt:vector>
  </TitlesOfParts>
  <Company>BLBERZA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milan.grahovac</dc:creator>
  <cp:keywords>V2.86</cp:keywords>
  <dc:description>SG RS 62/16_x000d_
SG RS 63/16</dc:description>
  <cp:lastModifiedBy>Miroslav Ilic</cp:lastModifiedBy>
  <cp:lastPrinted>2016-09-01T13:17:12Z</cp:lastPrinted>
  <dcterms:created xsi:type="dcterms:W3CDTF">2007-02-19T09:55:19Z</dcterms:created>
  <dcterms:modified xsi:type="dcterms:W3CDTF">2021-07-28T11:41:25Z</dcterms:modified>
</cp:coreProperties>
</file>