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sa.uncanin\Desktop\30.09.2019\Berza\"/>
    </mc:Choice>
  </mc:AlternateContent>
  <workbookProtection workbookPassword="832E" lockStructure="1"/>
  <bookViews>
    <workbookView xWindow="0" yWindow="0" windowWidth="28800" windowHeight="11730" tabRatio="60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62913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E4" i="34" s="1"/>
  <c r="A5" i="34"/>
  <c r="E5" i="34" s="1"/>
  <c r="A6" i="34"/>
  <c r="E6" i="34" s="1"/>
  <c r="A7" i="34"/>
  <c r="E7" i="34" s="1"/>
  <c r="A8" i="34"/>
  <c r="E8" i="34" s="1"/>
  <c r="A9" i="34"/>
  <c r="E9" i="34" s="1"/>
  <c r="A10" i="34"/>
  <c r="E10" i="34" s="1"/>
  <c r="A11" i="34"/>
  <c r="E11" i="34" s="1"/>
  <c r="A12" i="34"/>
  <c r="E12" i="34" s="1"/>
  <c r="A13" i="34"/>
  <c r="E13" i="34" s="1"/>
  <c r="A14" i="34"/>
  <c r="E14" i="34" s="1"/>
  <c r="A15" i="34"/>
  <c r="E15" i="34" s="1"/>
  <c r="A16" i="34"/>
  <c r="E16" i="34" s="1"/>
  <c r="A17" i="34"/>
  <c r="E17" i="34" s="1"/>
  <c r="A18" i="34"/>
  <c r="E18" i="34" s="1"/>
  <c r="A19" i="34"/>
  <c r="E19" i="34" s="1"/>
  <c r="A20" i="34"/>
  <c r="E20" i="34" s="1"/>
  <c r="A21" i="34"/>
  <c r="E21" i="34" s="1"/>
  <c r="A22" i="34"/>
  <c r="E22" i="34" s="1"/>
  <c r="A23" i="34"/>
  <c r="E23" i="34" s="1"/>
  <c r="A24" i="34"/>
  <c r="E24" i="34" s="1"/>
  <c r="A25" i="34"/>
  <c r="E25" i="34" s="1"/>
  <c r="A26" i="34"/>
  <c r="E26" i="34" s="1"/>
  <c r="A27" i="34"/>
  <c r="E27" i="34" s="1"/>
  <c r="A28" i="34"/>
  <c r="E28" i="34" s="1"/>
  <c r="A29" i="34"/>
  <c r="E29" i="34" s="1"/>
  <c r="A30" i="34"/>
  <c r="E30" i="34" s="1"/>
  <c r="A31" i="34"/>
  <c r="E31" i="34" s="1"/>
  <c r="A32" i="34"/>
  <c r="E32" i="34" s="1"/>
  <c r="A33" i="34"/>
  <c r="E33" i="34" s="1"/>
  <c r="A34" i="34"/>
  <c r="E34" i="34" s="1"/>
  <c r="A35" i="34"/>
  <c r="E35" i="34" s="1"/>
  <c r="A36" i="34"/>
  <c r="E36" i="34" s="1"/>
  <c r="A37" i="34"/>
  <c r="E37" i="34" s="1"/>
  <c r="A38" i="34"/>
  <c r="E38" i="34" s="1"/>
  <c r="A39" i="34"/>
  <c r="E39" i="34" s="1"/>
  <c r="A40" i="34"/>
  <c r="E40" i="34" s="1"/>
  <c r="A41" i="34"/>
  <c r="E41" i="34" s="1"/>
  <c r="A42" i="34"/>
  <c r="E42" i="34" s="1"/>
  <c r="A43" i="34"/>
  <c r="E43" i="34" s="1"/>
  <c r="A44" i="34"/>
  <c r="E44" i="34" s="1"/>
  <c r="A45" i="34"/>
  <c r="E45" i="34" s="1"/>
  <c r="A46" i="34"/>
  <c r="E46" i="34" s="1"/>
  <c r="A47" i="34"/>
  <c r="E47" i="34" s="1"/>
  <c r="A48" i="34"/>
  <c r="E48" i="34" s="1"/>
  <c r="A49" i="34"/>
  <c r="E49" i="34" s="1"/>
  <c r="A50" i="34"/>
  <c r="E50" i="34" s="1"/>
  <c r="A51" i="34"/>
  <c r="E51" i="34" s="1"/>
  <c r="A52" i="34"/>
  <c r="E52" i="34" s="1"/>
  <c r="A53" i="34"/>
  <c r="E53" i="34" s="1"/>
  <c r="A54" i="34"/>
  <c r="E54" i="34" s="1"/>
  <c r="A55" i="34"/>
  <c r="E55" i="34" s="1"/>
  <c r="A56" i="34"/>
  <c r="E56" i="34" s="1"/>
  <c r="A57" i="34"/>
  <c r="E57" i="34" s="1"/>
  <c r="A58" i="34"/>
  <c r="E58" i="34" s="1"/>
  <c r="A59" i="34"/>
  <c r="E59" i="34" s="1"/>
  <c r="A60" i="34"/>
  <c r="E60" i="34" s="1"/>
  <c r="A61" i="34"/>
  <c r="E61" i="34" s="1"/>
  <c r="A62" i="34"/>
  <c r="E62" i="34" s="1"/>
  <c r="A63" i="34"/>
  <c r="E63" i="34" s="1"/>
  <c r="A64" i="34"/>
  <c r="E64" i="34" s="1"/>
  <c r="A65" i="34"/>
  <c r="E65" i="34" s="1"/>
  <c r="A66" i="34"/>
  <c r="E66" i="34" s="1"/>
  <c r="A67" i="34"/>
  <c r="E67" i="34" s="1"/>
  <c r="A68" i="34"/>
  <c r="E68" i="34" s="1"/>
  <c r="A69" i="34"/>
  <c r="E69" i="34" s="1"/>
  <c r="A70" i="34"/>
  <c r="E70" i="34" s="1"/>
  <c r="A71" i="34"/>
  <c r="E71" i="34" s="1"/>
  <c r="A72" i="34"/>
  <c r="E72" i="34" s="1"/>
  <c r="A73" i="34"/>
  <c r="E73" i="34" s="1"/>
  <c r="A74" i="34"/>
  <c r="E74" i="34" s="1"/>
  <c r="A75" i="34"/>
  <c r="E75" i="34" s="1"/>
  <c r="A76" i="34"/>
  <c r="E76" i="34" s="1"/>
  <c r="A77" i="34"/>
  <c r="E77" i="34" s="1"/>
  <c r="A78" i="34"/>
  <c r="E78" i="34" s="1"/>
  <c r="A79" i="34"/>
  <c r="E79" i="34" s="1"/>
  <c r="A80" i="34"/>
  <c r="E80" i="34" s="1"/>
  <c r="A81" i="34"/>
  <c r="E81" i="34" s="1"/>
  <c r="A82" i="34"/>
  <c r="E82" i="34" s="1"/>
  <c r="A83" i="34"/>
  <c r="E83" i="34" s="1"/>
  <c r="A84" i="34"/>
  <c r="E84" i="34" s="1"/>
  <c r="A85" i="34"/>
  <c r="E85" i="34" s="1"/>
  <c r="A86" i="34"/>
  <c r="E86" i="34" s="1"/>
  <c r="A87" i="34"/>
  <c r="E87" i="34" s="1"/>
  <c r="A88" i="34"/>
  <c r="E88" i="34" s="1"/>
  <c r="A89" i="34"/>
  <c r="E89" i="34" s="1"/>
  <c r="A90" i="34"/>
  <c r="E90" i="34" s="1"/>
  <c r="A91" i="34"/>
  <c r="E91" i="34" s="1"/>
  <c r="A92" i="34"/>
  <c r="E92" i="34" s="1"/>
  <c r="A93" i="34"/>
  <c r="E93" i="34" s="1"/>
  <c r="A94" i="34"/>
  <c r="E94" i="34" s="1"/>
  <c r="A95" i="34"/>
  <c r="E95" i="34" s="1"/>
  <c r="A96" i="34"/>
  <c r="E96" i="34" s="1"/>
  <c r="A97" i="34"/>
  <c r="E97" i="34" s="1"/>
  <c r="A98" i="34"/>
  <c r="E98" i="34" s="1"/>
  <c r="A99" i="34"/>
  <c r="E99" i="34" s="1"/>
  <c r="A100" i="34"/>
  <c r="E100" i="34" s="1"/>
  <c r="A101" i="34"/>
  <c r="E101" i="34" s="1"/>
  <c r="A102" i="34"/>
  <c r="E102" i="34" s="1"/>
  <c r="A103" i="34"/>
  <c r="E103" i="34" s="1"/>
  <c r="A104" i="34"/>
  <c r="E104" i="34" s="1"/>
  <c r="A105" i="34"/>
  <c r="E105" i="34" s="1"/>
  <c r="A106" i="34"/>
  <c r="E106" i="34" s="1"/>
  <c r="A107" i="34"/>
  <c r="E107" i="34" s="1"/>
  <c r="A108" i="34"/>
  <c r="E108" i="34" s="1"/>
  <c r="A109" i="34"/>
  <c r="E109" i="34" s="1"/>
  <c r="A110" i="34"/>
  <c r="E110" i="34" s="1"/>
  <c r="A111" i="34"/>
  <c r="E111" i="34" s="1"/>
  <c r="A112" i="34"/>
  <c r="E112" i="34" s="1"/>
  <c r="A113" i="34"/>
  <c r="E113" i="34" s="1"/>
  <c r="A114" i="34"/>
  <c r="E114" i="34" s="1"/>
  <c r="A115" i="34"/>
  <c r="E115" i="34" s="1"/>
  <c r="A116" i="34"/>
  <c r="E116" i="34" s="1"/>
  <c r="A117" i="34"/>
  <c r="E117" i="34" s="1"/>
  <c r="A118" i="34"/>
  <c r="E118" i="34" s="1"/>
  <c r="A119" i="34"/>
  <c r="E119" i="34" s="1"/>
  <c r="A120" i="34"/>
  <c r="E120" i="34" s="1"/>
  <c r="A121" i="34"/>
  <c r="E121" i="34" s="1"/>
  <c r="A122" i="34"/>
  <c r="E122" i="34" s="1"/>
  <c r="A123" i="34"/>
  <c r="E123" i="34" s="1"/>
  <c r="A124" i="34"/>
  <c r="E124" i="34" s="1"/>
  <c r="A125" i="34"/>
  <c r="E125" i="34" s="1"/>
  <c r="A126" i="34"/>
  <c r="E126" i="34" s="1"/>
  <c r="A127" i="34"/>
  <c r="E127" i="34" s="1"/>
  <c r="A128" i="34"/>
  <c r="E128" i="34" s="1"/>
  <c r="A129" i="34"/>
  <c r="E129" i="34" s="1"/>
  <c r="A130" i="34"/>
  <c r="E130" i="34" s="1"/>
  <c r="A131" i="34"/>
  <c r="E131" i="34" s="1"/>
  <c r="A132" i="34"/>
  <c r="E132" i="34" s="1"/>
  <c r="A133" i="34"/>
  <c r="E133" i="34" s="1"/>
  <c r="A134" i="34"/>
  <c r="E134" i="34" s="1"/>
  <c r="A135" i="34"/>
  <c r="E135" i="34" s="1"/>
  <c r="A136" i="34"/>
  <c r="E136" i="34" s="1"/>
  <c r="A137" i="34"/>
  <c r="E137" i="34" s="1"/>
  <c r="A138" i="34"/>
  <c r="E138" i="34" s="1"/>
  <c r="A139" i="34"/>
  <c r="E139" i="34" s="1"/>
  <c r="A140" i="34"/>
  <c r="E140" i="34" s="1"/>
  <c r="A141" i="34"/>
  <c r="E141" i="34" s="1"/>
  <c r="A142" i="34"/>
  <c r="E142" i="34" s="1"/>
  <c r="A143" i="34"/>
  <c r="E143" i="34" s="1"/>
  <c r="A144" i="34"/>
  <c r="E144" i="34" s="1"/>
  <c r="A145" i="34"/>
  <c r="E145" i="34" s="1"/>
  <c r="A146" i="34"/>
  <c r="E146" i="34" s="1"/>
  <c r="A147" i="34"/>
  <c r="E147" i="34" s="1"/>
  <c r="A148" i="34"/>
  <c r="E148" i="34" s="1"/>
  <c r="A149" i="34"/>
  <c r="E149" i="34" s="1"/>
  <c r="A150" i="34"/>
  <c r="E150" i="34" s="1"/>
  <c r="A151" i="34"/>
  <c r="E151" i="34" s="1"/>
  <c r="A152" i="34"/>
  <c r="E152" i="34" s="1"/>
  <c r="A153" i="34"/>
  <c r="E153" i="34" s="1"/>
  <c r="A154" i="34"/>
  <c r="E154" i="34" s="1"/>
  <c r="A155" i="34"/>
  <c r="E155" i="34" s="1"/>
  <c r="A156" i="34"/>
  <c r="E156" i="34" s="1"/>
  <c r="A157" i="34"/>
  <c r="E157" i="34" s="1"/>
  <c r="A158" i="34"/>
  <c r="E158" i="34" s="1"/>
  <c r="A159" i="34"/>
  <c r="E159" i="34" s="1"/>
  <c r="A160" i="34"/>
  <c r="E160" i="34" s="1"/>
  <c r="A161" i="34"/>
  <c r="E161" i="34" s="1"/>
  <c r="A162" i="34"/>
  <c r="E162" i="34" s="1"/>
  <c r="A163" i="34"/>
  <c r="E163" i="34" s="1"/>
  <c r="A164" i="34"/>
  <c r="E164" i="34" s="1"/>
  <c r="A165" i="34"/>
  <c r="E165" i="34" s="1"/>
  <c r="A166" i="34"/>
  <c r="E166" i="34" s="1"/>
  <c r="A167" i="34"/>
  <c r="E167" i="34" s="1"/>
  <c r="A168" i="34"/>
  <c r="E168" i="34" s="1"/>
  <c r="A169" i="34"/>
  <c r="E169" i="34" s="1"/>
  <c r="A170" i="34"/>
  <c r="E170" i="34" s="1"/>
  <c r="A171" i="34"/>
  <c r="E171" i="34" s="1"/>
  <c r="A172" i="34"/>
  <c r="E172" i="34" s="1"/>
  <c r="A173" i="34"/>
  <c r="E173" i="34" s="1"/>
  <c r="A174" i="34"/>
  <c r="E174" i="34" s="1"/>
  <c r="A175" i="34"/>
  <c r="E175" i="34" s="1"/>
  <c r="A176" i="34"/>
  <c r="E176" i="34" s="1"/>
  <c r="A177" i="34"/>
  <c r="E177" i="34" s="1"/>
  <c r="A178" i="34"/>
  <c r="E178" i="34" s="1"/>
  <c r="A179" i="34"/>
  <c r="E179" i="34" s="1"/>
  <c r="A180" i="34"/>
  <c r="E180" i="34" s="1"/>
  <c r="A181" i="34"/>
  <c r="E181" i="34" s="1"/>
  <c r="A182" i="34"/>
  <c r="E182" i="34" s="1"/>
  <c r="A183" i="34"/>
  <c r="E183" i="34" s="1"/>
  <c r="A184" i="34"/>
  <c r="E184" i="34" s="1"/>
  <c r="A185" i="34"/>
  <c r="E185" i="34" s="1"/>
  <c r="A186" i="34"/>
  <c r="E186" i="34" s="1"/>
  <c r="A187" i="34"/>
  <c r="E187" i="34" s="1"/>
  <c r="A188" i="34"/>
  <c r="E188" i="34" s="1"/>
  <c r="A189" i="34"/>
  <c r="E189" i="34" s="1"/>
  <c r="A190" i="34"/>
  <c r="E190" i="34" s="1"/>
  <c r="A191" i="34"/>
  <c r="E191" i="34" s="1"/>
  <c r="A192" i="34"/>
  <c r="E192" i="34" s="1"/>
  <c r="A193" i="34"/>
  <c r="E193" i="34" s="1"/>
  <c r="A194" i="34"/>
  <c r="E194" i="34" s="1"/>
  <c r="A195" i="34"/>
  <c r="E195" i="34" s="1"/>
  <c r="A196" i="34"/>
  <c r="E196" i="34" s="1"/>
  <c r="A197" i="34"/>
  <c r="E197" i="34" s="1"/>
  <c r="A198" i="34"/>
  <c r="E198" i="34" s="1"/>
  <c r="A199" i="34"/>
  <c r="E199" i="34" s="1"/>
  <c r="A200" i="34"/>
  <c r="E200" i="34" s="1"/>
  <c r="A201" i="34"/>
  <c r="E201" i="34" s="1"/>
  <c r="A202" i="34"/>
  <c r="E202" i="34" s="1"/>
  <c r="A203" i="34"/>
  <c r="E203" i="34" s="1"/>
  <c r="A204" i="34"/>
  <c r="E204" i="34" s="1"/>
  <c r="A205" i="34"/>
  <c r="E205" i="34" s="1"/>
  <c r="A206" i="34"/>
  <c r="E206" i="34" s="1"/>
  <c r="A207" i="34"/>
  <c r="E207" i="34" s="1"/>
  <c r="A208" i="34"/>
  <c r="E208" i="34" s="1"/>
  <c r="A209" i="34"/>
  <c r="E209" i="34" s="1"/>
  <c r="A210" i="34"/>
  <c r="E210" i="34" s="1"/>
  <c r="A211" i="34"/>
  <c r="E211" i="34" s="1"/>
  <c r="A212" i="34"/>
  <c r="E212" i="34" s="1"/>
  <c r="A213" i="34"/>
  <c r="E213" i="34" s="1"/>
  <c r="A214" i="34"/>
  <c r="E214" i="34" s="1"/>
  <c r="A215" i="34"/>
  <c r="E215" i="34" s="1"/>
  <c r="A216" i="34"/>
  <c r="E216" i="34" s="1"/>
  <c r="A217" i="34"/>
  <c r="E217" i="34" s="1"/>
  <c r="A218" i="34"/>
  <c r="E218" i="34" s="1"/>
  <c r="A219" i="34"/>
  <c r="E219" i="34" s="1"/>
  <c r="A220" i="34"/>
  <c r="E220" i="34" s="1"/>
  <c r="A221" i="34"/>
  <c r="E221" i="34" s="1"/>
  <c r="A222" i="34"/>
  <c r="E222" i="34" s="1"/>
  <c r="A223" i="34"/>
  <c r="E223" i="34" s="1"/>
  <c r="A224" i="34"/>
  <c r="E224" i="34" s="1"/>
  <c r="A225" i="34"/>
  <c r="E225" i="34" s="1"/>
  <c r="A226" i="34"/>
  <c r="E226" i="34" s="1"/>
  <c r="A227" i="34"/>
  <c r="E227" i="34" s="1"/>
  <c r="A228" i="34"/>
  <c r="E228" i="34" s="1"/>
  <c r="A229" i="34"/>
  <c r="E229" i="34" s="1"/>
  <c r="A230" i="34"/>
  <c r="E230" i="34" s="1"/>
  <c r="A231" i="34"/>
  <c r="E231" i="34" s="1"/>
  <c r="A232" i="34"/>
  <c r="E232" i="34" s="1"/>
  <c r="A233" i="34"/>
  <c r="E233" i="34" s="1"/>
  <c r="A234" i="34"/>
  <c r="E234" i="34" s="1"/>
  <c r="A235" i="34"/>
  <c r="E235" i="34" s="1"/>
  <c r="A236" i="34"/>
  <c r="E236" i="34" s="1"/>
  <c r="A237" i="34"/>
  <c r="E237" i="34" s="1"/>
  <c r="A238" i="34"/>
  <c r="E238" i="34" s="1"/>
  <c r="A239" i="34"/>
  <c r="E239" i="34" s="1"/>
  <c r="A240" i="34"/>
  <c r="E240" i="34" s="1"/>
  <c r="A241" i="34"/>
  <c r="E241" i="34" s="1"/>
  <c r="A242" i="34"/>
  <c r="E242" i="34" s="1"/>
  <c r="A243" i="34"/>
  <c r="E243" i="34" s="1"/>
  <c r="A244" i="34"/>
  <c r="E244" i="34" s="1"/>
  <c r="A245" i="34"/>
  <c r="E245" i="34" s="1"/>
  <c r="A246" i="34"/>
  <c r="E246" i="34" s="1"/>
  <c r="A247" i="34"/>
  <c r="E247" i="34" s="1"/>
  <c r="A248" i="34"/>
  <c r="E248" i="34" s="1"/>
  <c r="A249" i="34"/>
  <c r="E249" i="34" s="1"/>
  <c r="A250" i="34"/>
  <c r="E250" i="34" s="1"/>
  <c r="A251" i="34"/>
  <c r="E251" i="34" s="1"/>
  <c r="A252" i="34"/>
  <c r="E252" i="34" s="1"/>
  <c r="A253" i="34"/>
  <c r="E253" i="34" s="1"/>
  <c r="A254" i="34"/>
  <c r="E254" i="34" s="1"/>
  <c r="A255" i="34"/>
  <c r="E255" i="34" s="1"/>
  <c r="A256" i="34"/>
  <c r="E256" i="34" s="1"/>
  <c r="A257" i="34"/>
  <c r="E257" i="34" s="1"/>
  <c r="A258" i="34"/>
  <c r="E258" i="34" s="1"/>
  <c r="A259" i="34"/>
  <c r="E259" i="34" s="1"/>
  <c r="A260" i="34"/>
  <c r="E260" i="34" s="1"/>
  <c r="A261" i="34"/>
  <c r="E261" i="34" s="1"/>
  <c r="A262" i="34"/>
  <c r="E262" i="34" s="1"/>
  <c r="A263" i="34"/>
  <c r="E263" i="34" s="1"/>
  <c r="A264" i="34"/>
  <c r="E264" i="34" s="1"/>
  <c r="A265" i="34"/>
  <c r="E265" i="34" s="1"/>
  <c r="A266" i="34"/>
  <c r="E266" i="34" s="1"/>
  <c r="A267" i="34"/>
  <c r="E267" i="34" s="1"/>
  <c r="A268" i="34"/>
  <c r="E268" i="34" s="1"/>
  <c r="A269" i="34"/>
  <c r="E269" i="34" s="1"/>
  <c r="A270" i="34"/>
  <c r="E270" i="34" s="1"/>
  <c r="A271" i="34"/>
  <c r="E271" i="34" s="1"/>
  <c r="A272" i="34"/>
  <c r="E272" i="34" s="1"/>
  <c r="A273" i="34"/>
  <c r="E273" i="34" s="1"/>
  <c r="A274" i="34"/>
  <c r="E274" i="34" s="1"/>
  <c r="A275" i="34"/>
  <c r="E275" i="34" s="1"/>
  <c r="A276" i="34"/>
  <c r="E276" i="34" s="1"/>
  <c r="A277" i="34"/>
  <c r="E277" i="34" s="1"/>
  <c r="A278" i="34"/>
  <c r="E278" i="34" s="1"/>
  <c r="A279" i="34"/>
  <c r="E279" i="34" s="1"/>
  <c r="A280" i="34"/>
  <c r="E280" i="34" s="1"/>
  <c r="A281" i="34"/>
  <c r="E281" i="34" s="1"/>
  <c r="A282" i="34"/>
  <c r="E282" i="34" s="1"/>
  <c r="A283" i="34"/>
  <c r="E283" i="34" s="1"/>
  <c r="A284" i="34"/>
  <c r="E284" i="34" s="1"/>
  <c r="A285" i="34"/>
  <c r="E285" i="34" s="1"/>
  <c r="A286" i="34"/>
  <c r="E286" i="34" s="1"/>
  <c r="A287" i="34"/>
  <c r="E287" i="34" s="1"/>
  <c r="A288" i="34"/>
  <c r="E288" i="34" s="1"/>
  <c r="A289" i="34"/>
  <c r="E289" i="34" s="1"/>
  <c r="A290" i="34"/>
  <c r="E290" i="34" s="1"/>
  <c r="A291" i="34"/>
  <c r="E291" i="34" s="1"/>
  <c r="A292" i="34"/>
  <c r="E292" i="34" s="1"/>
  <c r="A293" i="34"/>
  <c r="E293" i="34" s="1"/>
  <c r="A294" i="34"/>
  <c r="E294" i="34" s="1"/>
  <c r="A295" i="34"/>
  <c r="E295" i="34" s="1"/>
  <c r="A296" i="34"/>
  <c r="E296" i="34" s="1"/>
  <c r="A297" i="34"/>
  <c r="E297" i="34" s="1"/>
  <c r="A298" i="34"/>
  <c r="E298" i="34" s="1"/>
  <c r="A299" i="34"/>
  <c r="E299" i="34" s="1"/>
  <c r="A300" i="34"/>
  <c r="E300" i="34" s="1"/>
  <c r="A301" i="34"/>
  <c r="E301" i="34" s="1"/>
  <c r="A302" i="34"/>
  <c r="E302" i="34" s="1"/>
  <c r="A303" i="34"/>
  <c r="E303" i="34" s="1"/>
  <c r="A304" i="34"/>
  <c r="E304" i="34" s="1"/>
  <c r="A305" i="34"/>
  <c r="E305" i="34" s="1"/>
  <c r="A306" i="34"/>
  <c r="E306" i="34" s="1"/>
  <c r="A307" i="34"/>
  <c r="E307" i="34" s="1"/>
  <c r="A308" i="34"/>
  <c r="E308" i="34" s="1"/>
  <c r="A309" i="34"/>
  <c r="E309" i="34" s="1"/>
  <c r="A310" i="34"/>
  <c r="E310" i="34" s="1"/>
  <c r="A311" i="34"/>
  <c r="E311" i="34" s="1"/>
  <c r="A312" i="34"/>
  <c r="E312" i="34" s="1"/>
  <c r="A313" i="34"/>
  <c r="E313" i="34" s="1"/>
  <c r="A314" i="34"/>
  <c r="E314" i="34" s="1"/>
  <c r="A315" i="34"/>
  <c r="E315" i="34" s="1"/>
  <c r="A316" i="34"/>
  <c r="E316" i="34" s="1"/>
  <c r="A317" i="34"/>
  <c r="E317" i="34" s="1"/>
  <c r="A318" i="34"/>
  <c r="E318" i="34" s="1"/>
  <c r="A319" i="34"/>
  <c r="E319" i="34" s="1"/>
  <c r="A320" i="34"/>
  <c r="E320" i="34" s="1"/>
  <c r="A321" i="34"/>
  <c r="E321" i="34" s="1"/>
  <c r="A322" i="34"/>
  <c r="E322" i="34" s="1"/>
  <c r="A323" i="34"/>
  <c r="E323" i="34" s="1"/>
  <c r="A324" i="34"/>
  <c r="E324" i="34" s="1"/>
  <c r="A325" i="34"/>
  <c r="E325" i="34" s="1"/>
  <c r="A326" i="34"/>
  <c r="E326" i="34" s="1"/>
  <c r="A327" i="34"/>
  <c r="E327" i="34" s="1"/>
  <c r="A328" i="34"/>
  <c r="E328" i="34" s="1"/>
  <c r="A329" i="34"/>
  <c r="E329" i="34" s="1"/>
  <c r="A330" i="34"/>
  <c r="E330" i="34" s="1"/>
  <c r="A331" i="34"/>
  <c r="E331" i="34" s="1"/>
  <c r="A332" i="34"/>
  <c r="E332" i="34" s="1"/>
  <c r="A333" i="34"/>
  <c r="E333" i="34" s="1"/>
  <c r="A334" i="34"/>
  <c r="E334" i="34" s="1"/>
  <c r="A335" i="34"/>
  <c r="E335" i="34" s="1"/>
  <c r="A336" i="34"/>
  <c r="E336" i="34" s="1"/>
  <c r="A337" i="34"/>
  <c r="E337" i="34" s="1"/>
  <c r="A338" i="34"/>
  <c r="E338" i="34" s="1"/>
  <c r="A339" i="34"/>
  <c r="E339" i="34" s="1"/>
  <c r="A340" i="34"/>
  <c r="E340" i="34" s="1"/>
  <c r="A341" i="34"/>
  <c r="E341" i="34" s="1"/>
  <c r="A342" i="34"/>
  <c r="E342" i="34" s="1"/>
  <c r="A343" i="34"/>
  <c r="E343" i="34" s="1"/>
  <c r="A344" i="34"/>
  <c r="E344" i="34" s="1"/>
  <c r="A345" i="34"/>
  <c r="E345" i="34" s="1"/>
  <c r="A346" i="34"/>
  <c r="E346" i="34" s="1"/>
  <c r="A347" i="34"/>
  <c r="E347" i="34" s="1"/>
  <c r="A348" i="34"/>
  <c r="E348" i="34" s="1"/>
  <c r="A349" i="34"/>
  <c r="E349" i="34" s="1"/>
  <c r="A350" i="34"/>
  <c r="E350" i="34" s="1"/>
  <c r="A351" i="34"/>
  <c r="E351" i="34" s="1"/>
  <c r="A352" i="34"/>
  <c r="E352" i="34" s="1"/>
  <c r="A353" i="34"/>
  <c r="E353" i="34" s="1"/>
  <c r="A354" i="34"/>
  <c r="E354" i="34" s="1"/>
  <c r="A355" i="34"/>
  <c r="E355" i="34" s="1"/>
  <c r="A356" i="34"/>
  <c r="E356" i="34" s="1"/>
  <c r="A357" i="34"/>
  <c r="E357" i="34" s="1"/>
  <c r="A358" i="34"/>
  <c r="E358" i="34" s="1"/>
  <c r="A359" i="34"/>
  <c r="E359" i="34" s="1"/>
  <c r="A360" i="34"/>
  <c r="E360" i="34" s="1"/>
  <c r="A361" i="34"/>
  <c r="E361" i="34" s="1"/>
  <c r="A362" i="34"/>
  <c r="E362" i="34" s="1"/>
  <c r="A363" i="34"/>
  <c r="E363" i="34" s="1"/>
  <c r="A364" i="34"/>
  <c r="E364" i="34" s="1"/>
  <c r="A365" i="34"/>
  <c r="E365" i="34" s="1"/>
  <c r="A366" i="34"/>
  <c r="E366" i="34" s="1"/>
  <c r="A367" i="34"/>
  <c r="E367" i="34" s="1"/>
  <c r="A368" i="34"/>
  <c r="E368" i="34" s="1"/>
  <c r="A369" i="34"/>
  <c r="E369" i="34" s="1"/>
  <c r="A370" i="34"/>
  <c r="E370" i="34" s="1"/>
  <c r="A371" i="34"/>
  <c r="E371" i="34" s="1"/>
  <c r="A372" i="34"/>
  <c r="E372" i="34" s="1"/>
  <c r="A373" i="34"/>
  <c r="E373" i="34" s="1"/>
  <c r="A374" i="34"/>
  <c r="E374" i="34" s="1"/>
  <c r="A375" i="34"/>
  <c r="E375" i="34" s="1"/>
  <c r="A376" i="34"/>
  <c r="E376" i="34" s="1"/>
  <c r="A377" i="34"/>
  <c r="E377" i="34" s="1"/>
  <c r="A378" i="34"/>
  <c r="E378" i="34" s="1"/>
  <c r="A379" i="34"/>
  <c r="E379" i="34" s="1"/>
  <c r="A380" i="34"/>
  <c r="E380" i="34" s="1"/>
  <c r="A381" i="34"/>
  <c r="E381" i="34" s="1"/>
  <c r="A382" i="34"/>
  <c r="E382" i="34" s="1"/>
  <c r="A383" i="34"/>
  <c r="E383" i="34" s="1"/>
  <c r="A384" i="34"/>
  <c r="E384" i="34" s="1"/>
  <c r="A385" i="34"/>
  <c r="E385" i="34" s="1"/>
  <c r="A386" i="34"/>
  <c r="E386" i="34" s="1"/>
  <c r="A387" i="34"/>
  <c r="E387" i="34" s="1"/>
  <c r="A388" i="34"/>
  <c r="E388" i="34" s="1"/>
  <c r="A389" i="34"/>
  <c r="E389" i="34" s="1"/>
  <c r="A390" i="34"/>
  <c r="E390" i="34" s="1"/>
  <c r="A391" i="34"/>
  <c r="E391" i="34" s="1"/>
  <c r="A392" i="34"/>
  <c r="E392" i="34" s="1"/>
  <c r="A393" i="34"/>
  <c r="E393" i="34" s="1"/>
  <c r="A394" i="34"/>
  <c r="E394" i="34" s="1"/>
  <c r="A395" i="34"/>
  <c r="E395" i="34" s="1"/>
  <c r="A396" i="34"/>
  <c r="E396" i="34" s="1"/>
  <c r="A397" i="34"/>
  <c r="E397" i="34" s="1"/>
  <c r="A398" i="34"/>
  <c r="E398" i="34" s="1"/>
  <c r="A399" i="34"/>
  <c r="E399" i="34" s="1"/>
  <c r="A400" i="34"/>
  <c r="E400" i="34" s="1"/>
  <c r="A401" i="34"/>
  <c r="E401" i="34" s="1"/>
  <c r="A402" i="34"/>
  <c r="E402" i="34" s="1"/>
  <c r="A403" i="34"/>
  <c r="E403" i="34" s="1"/>
  <c r="A404" i="34"/>
  <c r="E404" i="34" s="1"/>
  <c r="A405" i="34"/>
  <c r="E405" i="34" s="1"/>
  <c r="A406" i="34"/>
  <c r="E406" i="34" s="1"/>
  <c r="A407" i="34"/>
  <c r="E407" i="34" s="1"/>
  <c r="A408" i="34"/>
  <c r="E408" i="34" s="1"/>
  <c r="A409" i="34"/>
  <c r="E409" i="34" s="1"/>
  <c r="A410" i="34"/>
  <c r="E410" i="34" s="1"/>
  <c r="A411" i="34"/>
  <c r="E411" i="34" s="1"/>
  <c r="A412" i="34"/>
  <c r="E412" i="34" s="1"/>
  <c r="A413" i="34"/>
  <c r="E413" i="34" s="1"/>
  <c r="A414" i="34"/>
  <c r="E414" i="34" s="1"/>
  <c r="A415" i="34"/>
  <c r="E415" i="34" s="1"/>
  <c r="F4" i="34" l="1"/>
  <c r="F5" i="34"/>
  <c r="F6" i="34"/>
  <c r="F7" i="34"/>
  <c r="F8" i="34"/>
  <c r="F9" i="34"/>
  <c r="F10" i="34"/>
  <c r="F11" i="34"/>
  <c r="F12" i="34"/>
  <c r="F13" i="34"/>
  <c r="F14" i="34"/>
  <c r="F15" i="34"/>
  <c r="F16" i="34"/>
  <c r="F17" i="34"/>
  <c r="F18" i="34"/>
  <c r="F19" i="34"/>
  <c r="F20" i="34"/>
  <c r="F21" i="34"/>
  <c r="F22" i="34"/>
  <c r="F23" i="34"/>
  <c r="F24" i="34"/>
  <c r="F25" i="34"/>
  <c r="F26" i="34"/>
  <c r="F27" i="34"/>
  <c r="F28" i="34"/>
  <c r="F29" i="34"/>
  <c r="F30" i="34"/>
  <c r="F31" i="34"/>
  <c r="F32" i="34"/>
  <c r="F33" i="34"/>
  <c r="F34" i="34"/>
  <c r="F35" i="34"/>
  <c r="F36" i="34"/>
  <c r="F37" i="34"/>
  <c r="F38" i="34"/>
  <c r="F39" i="34"/>
  <c r="F40" i="34"/>
  <c r="F41" i="34"/>
  <c r="F42" i="34"/>
  <c r="F43" i="34"/>
  <c r="F44" i="34"/>
  <c r="F45" i="34"/>
  <c r="F46" i="34"/>
  <c r="F47" i="34"/>
  <c r="F48" i="34"/>
  <c r="F49" i="34"/>
  <c r="F50" i="34"/>
  <c r="F51" i="34"/>
  <c r="F52" i="34"/>
  <c r="F53" i="34"/>
  <c r="F54" i="34"/>
  <c r="F55" i="34"/>
  <c r="F56" i="34"/>
  <c r="F57" i="34"/>
  <c r="F58" i="34"/>
  <c r="F59" i="34"/>
  <c r="F60" i="34"/>
  <c r="F61" i="34"/>
  <c r="F62" i="34"/>
  <c r="F63" i="34"/>
  <c r="F64" i="34"/>
  <c r="F65" i="34"/>
  <c r="F66" i="34"/>
  <c r="F67" i="34"/>
  <c r="F68" i="34"/>
  <c r="F69" i="34"/>
  <c r="F70" i="34"/>
  <c r="F71" i="34"/>
  <c r="F72" i="34"/>
  <c r="F73" i="34"/>
  <c r="F74" i="34"/>
  <c r="F75" i="34"/>
  <c r="F76" i="34"/>
  <c r="F77" i="34"/>
  <c r="F78" i="34"/>
  <c r="F79" i="34"/>
  <c r="F80" i="34"/>
  <c r="F81" i="34"/>
  <c r="F82" i="34"/>
  <c r="F83" i="34"/>
  <c r="F84" i="34"/>
  <c r="F85" i="34"/>
  <c r="F86" i="34"/>
  <c r="F87" i="34"/>
  <c r="F88" i="34"/>
  <c r="F89" i="34"/>
  <c r="F90" i="34"/>
  <c r="F91" i="34"/>
  <c r="F92" i="34"/>
  <c r="F93" i="34"/>
  <c r="F94" i="34"/>
  <c r="F95" i="34"/>
  <c r="F96" i="34"/>
  <c r="F97" i="34"/>
  <c r="F98" i="34"/>
  <c r="F99" i="34"/>
  <c r="F100" i="34"/>
  <c r="F101" i="34"/>
  <c r="F102" i="34"/>
  <c r="F103" i="34"/>
  <c r="F104" i="34"/>
  <c r="F105" i="34"/>
  <c r="F106" i="34"/>
  <c r="F107" i="34"/>
  <c r="F108" i="34"/>
  <c r="F109" i="34"/>
  <c r="F110" i="34"/>
  <c r="F111" i="34"/>
  <c r="F112" i="34"/>
  <c r="F113" i="34"/>
  <c r="F114" i="34"/>
  <c r="F115" i="34"/>
  <c r="F116" i="34"/>
  <c r="F117" i="34"/>
  <c r="F118" i="34"/>
  <c r="F119" i="34"/>
  <c r="F120" i="34"/>
  <c r="F121" i="34"/>
  <c r="F122" i="34"/>
  <c r="F123" i="34"/>
  <c r="F124" i="34"/>
  <c r="F125" i="34"/>
  <c r="F126" i="34"/>
  <c r="F127" i="34"/>
  <c r="F128" i="34"/>
  <c r="F129" i="34"/>
  <c r="F130" i="34"/>
  <c r="F131" i="34"/>
  <c r="F132" i="34"/>
  <c r="F133" i="34"/>
  <c r="F134" i="34"/>
  <c r="F135" i="34"/>
  <c r="F136" i="34"/>
  <c r="F137" i="34"/>
  <c r="F138" i="34"/>
  <c r="F139" i="34"/>
  <c r="F140" i="34"/>
  <c r="F141" i="34"/>
  <c r="F142" i="34"/>
  <c r="F143" i="34"/>
  <c r="F144" i="34"/>
  <c r="F145" i="34"/>
  <c r="F146" i="34"/>
  <c r="F147" i="34"/>
  <c r="F148" i="34"/>
  <c r="F149" i="34"/>
  <c r="F150" i="34"/>
  <c r="F151" i="34"/>
  <c r="F152" i="34"/>
  <c r="F153" i="34"/>
  <c r="F154" i="34"/>
  <c r="F155" i="34"/>
  <c r="F156" i="34"/>
  <c r="F157" i="34"/>
  <c r="F158" i="34"/>
  <c r="F159" i="34"/>
  <c r="F160" i="34"/>
  <c r="F161" i="34"/>
  <c r="F162" i="34"/>
  <c r="F163" i="34"/>
  <c r="F164" i="34"/>
  <c r="F165" i="34"/>
  <c r="F166" i="34"/>
  <c r="F167" i="34"/>
  <c r="F168" i="34"/>
  <c r="F169" i="34"/>
  <c r="F170" i="34"/>
  <c r="F171" i="34"/>
  <c r="F172" i="34"/>
  <c r="F173" i="34"/>
  <c r="F174" i="34"/>
  <c r="F175" i="34"/>
  <c r="F176" i="34"/>
  <c r="F177" i="34"/>
  <c r="F178" i="34"/>
  <c r="F179" i="34"/>
  <c r="F180" i="34"/>
  <c r="F181" i="34"/>
  <c r="F182" i="34"/>
  <c r="F183" i="34"/>
  <c r="F184" i="34"/>
  <c r="F185" i="34"/>
  <c r="F186" i="34"/>
  <c r="F187" i="34"/>
  <c r="F188" i="34"/>
  <c r="F189" i="34"/>
  <c r="F190" i="34"/>
  <c r="F191" i="34"/>
  <c r="F192" i="34"/>
  <c r="F193" i="34"/>
  <c r="F194" i="34"/>
  <c r="F195" i="34"/>
  <c r="F196" i="34"/>
  <c r="F197" i="34"/>
  <c r="F198" i="34"/>
  <c r="F199" i="34"/>
  <c r="F200" i="34"/>
  <c r="F201" i="34"/>
  <c r="F202" i="34"/>
  <c r="F203" i="34"/>
  <c r="F204" i="34"/>
  <c r="F205" i="34"/>
  <c r="F206" i="34"/>
  <c r="F207" i="34"/>
  <c r="F208" i="34"/>
  <c r="F209" i="34"/>
  <c r="F210" i="34"/>
  <c r="F211" i="34"/>
  <c r="F212" i="34"/>
  <c r="F213" i="34"/>
  <c r="F214" i="34"/>
  <c r="F215" i="34"/>
  <c r="F216" i="34"/>
  <c r="F217" i="34"/>
  <c r="F218" i="34"/>
  <c r="F219" i="34"/>
  <c r="F220" i="34"/>
  <c r="F221" i="34"/>
  <c r="F222" i="34"/>
  <c r="F223" i="34"/>
  <c r="F224" i="34"/>
  <c r="F225" i="34"/>
  <c r="F226" i="34"/>
  <c r="F227" i="34"/>
  <c r="F228" i="34"/>
  <c r="F229" i="34"/>
  <c r="F230" i="34"/>
  <c r="F231" i="34"/>
  <c r="F232" i="34"/>
  <c r="F233" i="34"/>
  <c r="F234" i="34"/>
  <c r="F235" i="34"/>
  <c r="F236" i="34"/>
  <c r="F237" i="34"/>
  <c r="F238" i="34"/>
  <c r="F239" i="34"/>
  <c r="F240" i="34"/>
  <c r="F241" i="34"/>
  <c r="F242" i="34"/>
  <c r="F243" i="34"/>
  <c r="F244" i="34"/>
  <c r="F245" i="34"/>
  <c r="F246" i="34"/>
  <c r="F247" i="34"/>
  <c r="F248" i="34"/>
  <c r="F249" i="34"/>
  <c r="F250" i="34"/>
  <c r="F251" i="34"/>
  <c r="F252" i="34"/>
  <c r="F253" i="34"/>
  <c r="F254" i="34"/>
  <c r="F255" i="34"/>
  <c r="F256" i="34"/>
  <c r="F257" i="34"/>
  <c r="F258" i="34"/>
  <c r="F259" i="34"/>
  <c r="F260" i="34"/>
  <c r="F261" i="34"/>
  <c r="F262" i="34"/>
  <c r="F263" i="34"/>
  <c r="F264" i="34"/>
  <c r="F265" i="34"/>
  <c r="F266" i="34"/>
  <c r="F267" i="34"/>
  <c r="F268" i="34"/>
  <c r="F269" i="34"/>
  <c r="F270" i="34"/>
  <c r="F271" i="34"/>
  <c r="F272" i="34"/>
  <c r="F273" i="34"/>
  <c r="F274" i="34"/>
  <c r="F275" i="34"/>
  <c r="F276" i="34"/>
  <c r="F277" i="34"/>
  <c r="F278" i="34"/>
  <c r="F279" i="34"/>
  <c r="F280" i="34"/>
  <c r="F281" i="34"/>
  <c r="F282" i="34"/>
  <c r="F283" i="34"/>
  <c r="F284" i="34"/>
  <c r="F285" i="34"/>
  <c r="F286" i="34"/>
  <c r="F287" i="34"/>
  <c r="F288" i="34"/>
  <c r="F289" i="34"/>
  <c r="F290" i="34"/>
  <c r="F291" i="34"/>
  <c r="F292" i="34"/>
  <c r="F293" i="34"/>
  <c r="F294" i="34"/>
  <c r="F295" i="34"/>
  <c r="F296" i="34"/>
  <c r="F297" i="34"/>
  <c r="F298" i="34"/>
  <c r="F299" i="34"/>
  <c r="F300" i="34"/>
  <c r="F301" i="34"/>
  <c r="F302" i="34"/>
  <c r="F303" i="34"/>
  <c r="F304" i="34"/>
  <c r="F305" i="34"/>
  <c r="F306" i="34"/>
  <c r="F307" i="34"/>
  <c r="F308" i="34"/>
  <c r="F309" i="34"/>
  <c r="F310" i="34"/>
  <c r="F311" i="34"/>
  <c r="F312" i="34"/>
  <c r="F313" i="34"/>
  <c r="F314" i="34"/>
  <c r="F315" i="34"/>
  <c r="F316" i="34"/>
  <c r="F317" i="34"/>
  <c r="F318" i="34"/>
  <c r="F319" i="34"/>
  <c r="F320" i="34"/>
  <c r="F321" i="34"/>
  <c r="F322" i="34"/>
  <c r="F323" i="34"/>
  <c r="F324" i="34"/>
  <c r="F325" i="34"/>
  <c r="F326" i="34"/>
  <c r="F327" i="34"/>
  <c r="F328" i="34"/>
  <c r="F329" i="34"/>
  <c r="F330" i="34"/>
  <c r="F331" i="34"/>
  <c r="F332" i="34"/>
  <c r="F333" i="34"/>
  <c r="F334" i="34"/>
  <c r="F335" i="34"/>
  <c r="F336" i="34"/>
  <c r="F337" i="34"/>
  <c r="F338" i="34"/>
  <c r="F339" i="34"/>
  <c r="F340" i="34"/>
  <c r="F341" i="34"/>
  <c r="F342" i="34"/>
  <c r="F343" i="34"/>
  <c r="F344" i="34"/>
  <c r="F345" i="34"/>
  <c r="F346" i="34"/>
  <c r="F347" i="34"/>
  <c r="F348" i="34"/>
  <c r="F349" i="34"/>
  <c r="F350" i="34"/>
  <c r="F351" i="34"/>
  <c r="F352" i="34"/>
  <c r="F353" i="34"/>
  <c r="F354" i="34"/>
  <c r="F355" i="34"/>
  <c r="F356" i="34"/>
  <c r="F357" i="34"/>
  <c r="F358" i="34"/>
  <c r="F359" i="34"/>
  <c r="F360" i="34"/>
  <c r="F361" i="34"/>
  <c r="F362" i="34"/>
  <c r="F363" i="34"/>
  <c r="F364" i="34"/>
  <c r="F365" i="34"/>
  <c r="F366" i="34"/>
  <c r="F367" i="34"/>
  <c r="F368" i="34"/>
  <c r="F369" i="34"/>
  <c r="F370" i="34"/>
  <c r="F371" i="34"/>
  <c r="F372" i="34"/>
  <c r="F373" i="34"/>
  <c r="F374" i="34"/>
  <c r="F375" i="34"/>
  <c r="F376" i="34"/>
  <c r="F377" i="34"/>
  <c r="F378" i="34"/>
  <c r="F379" i="34"/>
  <c r="F380" i="34"/>
  <c r="F381" i="34"/>
  <c r="F382" i="34"/>
  <c r="F383" i="34"/>
  <c r="F384" i="34"/>
  <c r="F385" i="34"/>
  <c r="F386" i="34"/>
  <c r="F387" i="34"/>
  <c r="F388" i="34"/>
  <c r="F389" i="34"/>
  <c r="F390" i="34"/>
  <c r="F391" i="34"/>
  <c r="F392" i="34"/>
  <c r="F394" i="34"/>
  <c r="F395" i="34"/>
  <c r="F397" i="34"/>
  <c r="F398" i="34"/>
  <c r="F399" i="34"/>
  <c r="F400" i="34"/>
  <c r="F401" i="34"/>
  <c r="F402" i="34"/>
  <c r="F403" i="34"/>
  <c r="F405" i="34"/>
  <c r="F406" i="34"/>
  <c r="F408" i="34"/>
  <c r="F409" i="34"/>
  <c r="F410" i="34"/>
  <c r="F411" i="34"/>
  <c r="F412" i="34"/>
  <c r="F413" i="34"/>
  <c r="F414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113" i="2" s="1"/>
  <c r="K92" i="2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90" i="2" s="1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M20" i="1" s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A31" i="32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Z43" i="32" s="1"/>
  <c r="AA43" i="32" s="1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52" i="32"/>
  <c r="O14" i="10"/>
  <c r="K15" i="2"/>
  <c r="C87" i="1"/>
  <c r="AA64" i="32"/>
  <c r="Y64" i="32" s="1"/>
  <c r="J7" i="32"/>
  <c r="G42" i="32"/>
  <c r="G247" i="35"/>
  <c r="G47" i="35"/>
  <c r="G137" i="35"/>
  <c r="G239" i="35"/>
  <c r="G12" i="35"/>
  <c r="G99" i="35"/>
  <c r="G180" i="35"/>
  <c r="G266" i="35"/>
  <c r="G25" i="35"/>
  <c r="G108" i="35"/>
  <c r="G198" i="35"/>
  <c r="G286" i="35"/>
  <c r="G347" i="35"/>
  <c r="G321" i="35"/>
  <c r="B74" i="32"/>
  <c r="Y31" i="32"/>
  <c r="Y35" i="32"/>
  <c r="Y6" i="33"/>
  <c r="I393" i="34" s="1"/>
  <c r="Y5" i="33"/>
  <c r="Y4" i="33"/>
  <c r="I407" i="34" s="1"/>
  <c r="W3" i="33"/>
  <c r="X3" i="33" s="1"/>
  <c r="B108" i="32"/>
  <c r="AB22" i="32"/>
  <c r="D10" i="10" s="1"/>
  <c r="Y29" i="32"/>
  <c r="E55" i="31"/>
  <c r="AB29" i="32"/>
  <c r="J6" i="36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10" i="2"/>
  <c r="L10" i="1"/>
  <c r="J10" i="36"/>
  <c r="G360" i="35"/>
  <c r="G356" i="35"/>
  <c r="C36" i="10"/>
  <c r="AB58" i="32"/>
  <c r="G358" i="35"/>
  <c r="J20" i="2"/>
  <c r="L6" i="1"/>
  <c r="J6" i="14"/>
  <c r="J6" i="2"/>
  <c r="Y3" i="33"/>
  <c r="I415" i="34" s="1"/>
  <c r="K112" i="2"/>
  <c r="K33" i="36"/>
  <c r="D10" i="2"/>
  <c r="AB15" i="32"/>
  <c r="D330" i="35" s="1"/>
  <c r="AB45" i="32"/>
  <c r="I40" i="36" s="1"/>
  <c r="I40" i="10"/>
  <c r="N6" i="10"/>
  <c r="I404" i="34"/>
  <c r="D10" i="1"/>
  <c r="I396" i="34"/>
  <c r="C12" i="36"/>
  <c r="C12" i="8"/>
  <c r="C12" i="14"/>
  <c r="C12" i="2"/>
  <c r="C12" i="10"/>
  <c r="D323" i="35"/>
  <c r="D147" i="35"/>
  <c r="D17" i="35"/>
  <c r="D266" i="35"/>
  <c r="D132" i="35"/>
  <c r="D12" i="35"/>
  <c r="C13" i="37"/>
  <c r="J6" i="8"/>
  <c r="D10" i="14"/>
  <c r="J31" i="8" l="1"/>
  <c r="J63" i="8"/>
  <c r="G415" i="34"/>
  <c r="C53" i="31"/>
  <c r="C55" i="31"/>
  <c r="C52" i="31"/>
  <c r="D56" i="31"/>
  <c r="E57" i="31"/>
  <c r="E52" i="31"/>
  <c r="D55" i="31"/>
  <c r="F55" i="31" s="1"/>
  <c r="H5" i="37"/>
  <c r="G2" i="35"/>
  <c r="G18" i="35"/>
  <c r="G34" i="35"/>
  <c r="G50" i="35"/>
  <c r="G67" i="35"/>
  <c r="G81" i="35"/>
  <c r="G97" i="35"/>
  <c r="G113" i="35"/>
  <c r="G130" i="35"/>
  <c r="G144" i="35"/>
  <c r="G161" i="35"/>
  <c r="G186" i="35"/>
  <c r="G205" i="35"/>
  <c r="G223" i="35"/>
  <c r="G234" i="35"/>
  <c r="G254" i="35"/>
  <c r="G273" i="35"/>
  <c r="G287" i="35"/>
  <c r="G302" i="35"/>
  <c r="H10" i="37"/>
  <c r="H9" i="37"/>
  <c r="G6" i="35"/>
  <c r="G22" i="35"/>
  <c r="G38" i="35"/>
  <c r="G54" i="35"/>
  <c r="G69" i="35"/>
  <c r="G85" i="35"/>
  <c r="G101" i="35"/>
  <c r="G117" i="35"/>
  <c r="G133" i="35"/>
  <c r="G148" i="35"/>
  <c r="G167" i="35"/>
  <c r="G190" i="35"/>
  <c r="G209" i="35"/>
  <c r="G226" i="35"/>
  <c r="G238" i="35"/>
  <c r="G258" i="35"/>
  <c r="G276" i="35"/>
  <c r="G290" i="35"/>
  <c r="G306" i="35"/>
  <c r="H14" i="37"/>
  <c r="G11" i="35"/>
  <c r="G27" i="35"/>
  <c r="G43" i="35"/>
  <c r="G59" i="35"/>
  <c r="G78" i="35"/>
  <c r="G94" i="35"/>
  <c r="G110" i="35"/>
  <c r="G126" i="35"/>
  <c r="G145" i="35"/>
  <c r="G164" i="35"/>
  <c r="G179" i="35"/>
  <c r="G196" i="35"/>
  <c r="G214" i="35"/>
  <c r="G243" i="35"/>
  <c r="G259" i="35"/>
  <c r="G280" i="35"/>
  <c r="G299" i="35"/>
  <c r="H11" i="37"/>
  <c r="G8" i="35"/>
  <c r="G24" i="35"/>
  <c r="G40" i="35"/>
  <c r="G56" i="35"/>
  <c r="G75" i="35"/>
  <c r="G91" i="35"/>
  <c r="G107" i="35"/>
  <c r="G123" i="35"/>
  <c r="G138" i="35"/>
  <c r="G154" i="35"/>
  <c r="G169" i="35"/>
  <c r="G184" i="35"/>
  <c r="G200" i="35"/>
  <c r="G215" i="35"/>
  <c r="G232" i="35"/>
  <c r="G250" i="35"/>
  <c r="G263" i="35"/>
  <c r="G277" i="35"/>
  <c r="G292" i="35"/>
  <c r="H4" i="37"/>
  <c r="H20" i="37"/>
  <c r="G17" i="35"/>
  <c r="G33" i="35"/>
  <c r="G49" i="35"/>
  <c r="G65" i="35"/>
  <c r="G80" i="35"/>
  <c r="G96" i="35"/>
  <c r="G112" i="35"/>
  <c r="G129" i="35"/>
  <c r="G147" i="35"/>
  <c r="G163" i="35"/>
  <c r="G178" i="35"/>
  <c r="G193" i="35"/>
  <c r="G208" i="35"/>
  <c r="G227" i="35"/>
  <c r="G241" i="35"/>
  <c r="G261" i="35"/>
  <c r="G278" i="35"/>
  <c r="G293" i="35"/>
  <c r="G307" i="35"/>
  <c r="G323" i="35"/>
  <c r="G339" i="35"/>
  <c r="G310" i="35"/>
  <c r="G308" i="35"/>
  <c r="G324" i="35"/>
  <c r="G341" i="35"/>
  <c r="H13" i="37"/>
  <c r="G10" i="35"/>
  <c r="G26" i="35"/>
  <c r="G42" i="35"/>
  <c r="G58" i="35"/>
  <c r="G73" i="35"/>
  <c r="G89" i="35"/>
  <c r="G105" i="35"/>
  <c r="G121" i="35"/>
  <c r="G136" i="35"/>
  <c r="G152" i="35"/>
  <c r="G172" i="35"/>
  <c r="G195" i="35"/>
  <c r="G213" i="35"/>
  <c r="G228" i="35"/>
  <c r="G242" i="35"/>
  <c r="G264" i="35"/>
  <c r="G279" i="35"/>
  <c r="H17" i="37"/>
  <c r="G62" i="35"/>
  <c r="G125" i="35"/>
  <c r="G202" i="35"/>
  <c r="G268" i="35"/>
  <c r="H2" i="37"/>
  <c r="G7" i="35"/>
  <c r="G31" i="35"/>
  <c r="G51" i="35"/>
  <c r="G74" i="35"/>
  <c r="G98" i="35"/>
  <c r="G118" i="35"/>
  <c r="G141" i="35"/>
  <c r="G168" i="35"/>
  <c r="G187" i="35"/>
  <c r="G210" i="35"/>
  <c r="G248" i="35"/>
  <c r="G265" i="35"/>
  <c r="G295" i="35"/>
  <c r="H15" i="37"/>
  <c r="G16" i="35"/>
  <c r="G36" i="35"/>
  <c r="G60" i="35"/>
  <c r="G83" i="35"/>
  <c r="G103" i="35"/>
  <c r="G127" i="35"/>
  <c r="G146" i="35"/>
  <c r="G165" i="35"/>
  <c r="G188" i="35"/>
  <c r="G207" i="35"/>
  <c r="G229" i="35"/>
  <c r="G253" i="35"/>
  <c r="G270" i="35"/>
  <c r="G288" i="35"/>
  <c r="H8" i="37"/>
  <c r="G9" i="35"/>
  <c r="G29" i="35"/>
  <c r="G53" i="35"/>
  <c r="G72" i="35"/>
  <c r="G92" i="35"/>
  <c r="G116" i="35"/>
  <c r="G139" i="35"/>
  <c r="G160" i="35"/>
  <c r="G181" i="35"/>
  <c r="G201" i="35"/>
  <c r="G225" i="35"/>
  <c r="G245" i="35"/>
  <c r="G271" i="35"/>
  <c r="G289" i="35"/>
  <c r="G311" i="35"/>
  <c r="G331" i="35"/>
  <c r="G352" i="35"/>
  <c r="G312" i="35"/>
  <c r="G332" i="35"/>
  <c r="G318" i="35"/>
  <c r="G309" i="35"/>
  <c r="G325" i="35"/>
  <c r="G342" i="35"/>
  <c r="G314" i="35"/>
  <c r="G14" i="35"/>
  <c r="G77" i="35"/>
  <c r="G140" i="35"/>
  <c r="G218" i="35"/>
  <c r="G283" i="35"/>
  <c r="H6" i="37"/>
  <c r="G15" i="35"/>
  <c r="G35" i="35"/>
  <c r="G55" i="35"/>
  <c r="G82" i="35"/>
  <c r="G102" i="35"/>
  <c r="G122" i="35"/>
  <c r="G149" i="35"/>
  <c r="G173" i="35"/>
  <c r="G191" i="35"/>
  <c r="G220" i="35"/>
  <c r="G252" i="35"/>
  <c r="G269" i="35"/>
  <c r="G303" i="35"/>
  <c r="H19" i="37"/>
  <c r="G20" i="35"/>
  <c r="G44" i="35"/>
  <c r="G64" i="35"/>
  <c r="G87" i="35"/>
  <c r="G111" i="35"/>
  <c r="G132" i="35"/>
  <c r="G150" i="35"/>
  <c r="G174" i="35"/>
  <c r="G192" i="35"/>
  <c r="G211" i="35"/>
  <c r="G236" i="35"/>
  <c r="G256" i="35"/>
  <c r="G274" i="35"/>
  <c r="G296" i="35"/>
  <c r="H12" i="37"/>
  <c r="G13" i="35"/>
  <c r="G37" i="35"/>
  <c r="G57" i="35"/>
  <c r="G76" i="35"/>
  <c r="G100" i="35"/>
  <c r="G120" i="35"/>
  <c r="G143" i="35"/>
  <c r="G166" i="35"/>
  <c r="G185" i="35"/>
  <c r="G204" i="35"/>
  <c r="G230" i="35"/>
  <c r="G251" i="35"/>
  <c r="G275" i="35"/>
  <c r="G297" i="35"/>
  <c r="G315" i="35"/>
  <c r="G335" i="35"/>
  <c r="G326" i="35"/>
  <c r="G316" i="35"/>
  <c r="G336" i="35"/>
  <c r="G330" i="35"/>
  <c r="G313" i="35"/>
  <c r="G329" i="35"/>
  <c r="G346" i="35"/>
  <c r="G322" i="35"/>
  <c r="G30" i="35"/>
  <c r="G93" i="35"/>
  <c r="G156" i="35"/>
  <c r="G231" i="35"/>
  <c r="G294" i="35"/>
  <c r="H18" i="37"/>
  <c r="G19" i="35"/>
  <c r="G39" i="35"/>
  <c r="G63" i="35"/>
  <c r="G86" i="35"/>
  <c r="G106" i="35"/>
  <c r="G131" i="35"/>
  <c r="G153" i="35"/>
  <c r="G176" i="35"/>
  <c r="G199" i="35"/>
  <c r="G235" i="35"/>
  <c r="G255" i="35"/>
  <c r="G284" i="35"/>
  <c r="H3" i="37"/>
  <c r="G4" i="35"/>
  <c r="G28" i="35"/>
  <c r="G48" i="35"/>
  <c r="G71" i="35"/>
  <c r="G95" i="35"/>
  <c r="G115" i="35"/>
  <c r="G134" i="35"/>
  <c r="G159" i="35"/>
  <c r="G177" i="35"/>
  <c r="G197" i="35"/>
  <c r="G221" i="35"/>
  <c r="G240" i="35"/>
  <c r="G260" i="35"/>
  <c r="G281" i="35"/>
  <c r="G300" i="35"/>
  <c r="H16" i="37"/>
  <c r="G21" i="35"/>
  <c r="G41" i="35"/>
  <c r="G61" i="35"/>
  <c r="G84" i="35"/>
  <c r="G104" i="35"/>
  <c r="G124" i="35"/>
  <c r="G151" i="35"/>
  <c r="G170" i="35"/>
  <c r="G189" i="35"/>
  <c r="G212" i="35"/>
  <c r="G233" i="35"/>
  <c r="G257" i="35"/>
  <c r="G282" i="35"/>
  <c r="G301" i="35"/>
  <c r="G319" i="35"/>
  <c r="G344" i="35"/>
  <c r="G334" i="35"/>
  <c r="G320" i="35"/>
  <c r="G345" i="35"/>
  <c r="G338" i="35"/>
  <c r="G317" i="35"/>
  <c r="G333" i="35"/>
  <c r="G350" i="35"/>
  <c r="G343" i="35"/>
  <c r="G359" i="35"/>
  <c r="G362" i="35"/>
  <c r="G361" i="35"/>
  <c r="G355" i="35"/>
  <c r="E54" i="31"/>
  <c r="I1" i="33"/>
  <c r="G354" i="35"/>
  <c r="G351" i="35"/>
  <c r="G348" i="35"/>
  <c r="G267" i="35"/>
  <c r="G175" i="35"/>
  <c r="G88" i="35"/>
  <c r="G5" i="35"/>
  <c r="G244" i="35"/>
  <c r="G162" i="35"/>
  <c r="G79" i="35"/>
  <c r="H7" i="37"/>
  <c r="G206" i="35"/>
  <c r="G114" i="35"/>
  <c r="G23" i="35"/>
  <c r="G182" i="35"/>
  <c r="G353" i="35"/>
  <c r="G349" i="35"/>
  <c r="G327" i="35"/>
  <c r="G237" i="35"/>
  <c r="G155" i="35"/>
  <c r="G68" i="35"/>
  <c r="G304" i="35"/>
  <c r="G224" i="35"/>
  <c r="G142" i="35"/>
  <c r="G52" i="35"/>
  <c r="G291" i="35"/>
  <c r="G183" i="35"/>
  <c r="G90" i="35"/>
  <c r="G3" i="35"/>
  <c r="G109" i="35"/>
  <c r="D54" i="31"/>
  <c r="G337" i="35"/>
  <c r="G328" i="35"/>
  <c r="G305" i="35"/>
  <c r="G217" i="35"/>
  <c r="G135" i="35"/>
  <c r="G45" i="35"/>
  <c r="G285" i="35"/>
  <c r="G203" i="35"/>
  <c r="G119" i="35"/>
  <c r="G32" i="35"/>
  <c r="G262" i="35"/>
  <c r="G158" i="35"/>
  <c r="G70" i="35"/>
  <c r="G298" i="35"/>
  <c r="G46" i="35"/>
  <c r="J112" i="2"/>
  <c r="K58" i="1"/>
  <c r="K50" i="1" s="1"/>
  <c r="J89" i="2"/>
  <c r="L134" i="1"/>
  <c r="L125" i="1" s="1"/>
  <c r="L154" i="1" s="1"/>
  <c r="L156" i="1" s="1"/>
  <c r="M134" i="1"/>
  <c r="M125" i="1" s="1"/>
  <c r="M154" i="1" s="1"/>
  <c r="M156" i="1" s="1"/>
  <c r="M58" i="1"/>
  <c r="M50" i="1" s="1"/>
  <c r="J65" i="8"/>
  <c r="K20" i="1"/>
  <c r="J20" i="1"/>
  <c r="K60" i="8"/>
  <c r="K65" i="8"/>
  <c r="K46" i="8"/>
  <c r="K62" i="8"/>
  <c r="K64" i="8"/>
  <c r="J69" i="8"/>
  <c r="J35" i="2"/>
  <c r="J127" i="2" s="1"/>
  <c r="J58" i="1"/>
  <c r="J50" i="1" s="1"/>
  <c r="J64" i="8"/>
  <c r="J62" i="8"/>
  <c r="K45" i="8"/>
  <c r="K89" i="2"/>
  <c r="J61" i="8"/>
  <c r="J45" i="8"/>
  <c r="J33" i="36"/>
  <c r="L51" i="1"/>
  <c r="K35" i="2"/>
  <c r="K127" i="2" s="1"/>
  <c r="J126" i="2"/>
  <c r="AB43" i="32"/>
  <c r="D138" i="2" s="1"/>
  <c r="C357" i="35"/>
  <c r="C358" i="35"/>
  <c r="C355" i="35"/>
  <c r="C356" i="35"/>
  <c r="C271" i="35"/>
  <c r="C71" i="35"/>
  <c r="C350" i="35"/>
  <c r="C277" i="35"/>
  <c r="I4" i="37"/>
  <c r="C322" i="35"/>
  <c r="C318" i="35"/>
  <c r="C317" i="35"/>
  <c r="C334" i="35"/>
  <c r="C158" i="35"/>
  <c r="I15" i="37"/>
  <c r="C332" i="35"/>
  <c r="C217" i="35"/>
  <c r="C36" i="35"/>
  <c r="C112" i="35"/>
  <c r="C45" i="35"/>
  <c r="C335" i="35"/>
  <c r="C119" i="35"/>
  <c r="C35" i="35"/>
  <c r="C220" i="35"/>
  <c r="C247" i="35"/>
  <c r="C19" i="35"/>
  <c r="C156" i="35"/>
  <c r="C287" i="35"/>
  <c r="C167" i="35"/>
  <c r="C137" i="35"/>
  <c r="C291" i="35"/>
  <c r="C218" i="35"/>
  <c r="C255" i="35"/>
  <c r="C148" i="35"/>
  <c r="I7" i="37"/>
  <c r="C135" i="35"/>
  <c r="C336" i="35"/>
  <c r="C143" i="35"/>
  <c r="C309" i="35"/>
  <c r="C260" i="35"/>
  <c r="C280" i="35"/>
  <c r="C117" i="35"/>
  <c r="C188" i="35"/>
  <c r="C155" i="35"/>
  <c r="C39" i="35"/>
  <c r="C83" i="35"/>
  <c r="C99" i="35"/>
  <c r="C281" i="35"/>
  <c r="C13" i="35"/>
  <c r="I18" i="37"/>
  <c r="C192" i="35"/>
  <c r="C215" i="35"/>
  <c r="C103" i="35"/>
  <c r="C168" i="35"/>
  <c r="C288" i="35"/>
  <c r="C206" i="35"/>
  <c r="C186" i="35"/>
  <c r="C240" i="35"/>
  <c r="C228" i="35"/>
  <c r="C352" i="35"/>
  <c r="C176" i="35"/>
  <c r="C299" i="35"/>
  <c r="I16" i="37"/>
  <c r="C323" i="35"/>
  <c r="C347" i="35"/>
  <c r="C230" i="35"/>
  <c r="C110" i="35"/>
  <c r="C133" i="35"/>
  <c r="C62" i="35"/>
  <c r="C233" i="35"/>
  <c r="C345" i="35"/>
  <c r="C223" i="35"/>
  <c r="C190" i="35"/>
  <c r="C266" i="35"/>
  <c r="C351" i="35"/>
  <c r="C57" i="35"/>
  <c r="C17" i="35"/>
  <c r="C124" i="35"/>
  <c r="C254" i="35"/>
  <c r="C170" i="35"/>
  <c r="C7" i="35"/>
  <c r="C28" i="35"/>
  <c r="C122" i="35"/>
  <c r="C61" i="35"/>
  <c r="C195" i="35"/>
  <c r="C64" i="35"/>
  <c r="C316" i="35"/>
  <c r="C173" i="35"/>
  <c r="C47" i="35"/>
  <c r="C63" i="35"/>
  <c r="C242" i="35"/>
  <c r="C144" i="35"/>
  <c r="C98" i="35"/>
  <c r="C298" i="35"/>
  <c r="C26" i="35"/>
  <c r="C115" i="35"/>
  <c r="C305" i="35"/>
  <c r="C187" i="35"/>
  <c r="C123" i="35"/>
  <c r="C196" i="35"/>
  <c r="C136" i="35"/>
  <c r="C68" i="35"/>
  <c r="C262" i="35"/>
  <c r="C91" i="35"/>
  <c r="C231" i="35"/>
  <c r="C111" i="35"/>
  <c r="C97" i="35"/>
  <c r="C33" i="35"/>
  <c r="C129" i="35"/>
  <c r="I2" i="37"/>
  <c r="C346" i="35"/>
  <c r="C48" i="35"/>
  <c r="C18" i="35"/>
  <c r="C125" i="35"/>
  <c r="C200" i="35"/>
  <c r="C353" i="35"/>
  <c r="C130" i="35"/>
  <c r="C94" i="35"/>
  <c r="I13" i="37"/>
  <c r="C174" i="35"/>
  <c r="C163" i="35"/>
  <c r="C307" i="35"/>
  <c r="C27" i="35"/>
  <c r="C166" i="35"/>
  <c r="C102" i="35"/>
  <c r="C284" i="35"/>
  <c r="C264" i="35"/>
  <c r="C49" i="35"/>
  <c r="C60" i="35"/>
  <c r="C55" i="35"/>
  <c r="C132" i="35"/>
  <c r="C84" i="35"/>
  <c r="C279" i="35"/>
  <c r="C85" i="35"/>
  <c r="C276" i="35"/>
  <c r="C179" i="35"/>
  <c r="I5" i="37"/>
  <c r="C252" i="35"/>
  <c r="C267" i="35"/>
  <c r="C285" i="35"/>
  <c r="C245" i="35"/>
  <c r="C87" i="35"/>
  <c r="C12" i="35"/>
  <c r="C29" i="35"/>
  <c r="C349" i="35"/>
  <c r="C343" i="35"/>
  <c r="C106" i="35"/>
  <c r="I3" i="37"/>
  <c r="I12" i="37"/>
  <c r="C320" i="35"/>
  <c r="C258" i="35"/>
  <c r="C300" i="35"/>
  <c r="C116" i="35"/>
  <c r="C72" i="35"/>
  <c r="C198" i="35"/>
  <c r="C248" i="35"/>
  <c r="C150" i="35"/>
  <c r="C79" i="35"/>
  <c r="I20" i="37"/>
  <c r="C268" i="35"/>
  <c r="C134" i="35"/>
  <c r="C181" i="35"/>
  <c r="C354" i="35"/>
  <c r="C177" i="35"/>
  <c r="C229" i="35"/>
  <c r="C51" i="35"/>
  <c r="C16" i="35"/>
  <c r="C315" i="35"/>
  <c r="C77" i="35"/>
  <c r="C296" i="35"/>
  <c r="C261" i="35"/>
  <c r="C328" i="35"/>
  <c r="C14" i="35"/>
  <c r="C304" i="35"/>
  <c r="C214" i="35"/>
  <c r="C331" i="35"/>
  <c r="C325" i="35"/>
  <c r="C92" i="35"/>
  <c r="C153" i="35"/>
  <c r="C145" i="35"/>
  <c r="C302" i="35"/>
  <c r="C185" i="35"/>
  <c r="C164" i="35"/>
  <c r="C236" i="35"/>
  <c r="C46" i="35"/>
  <c r="C126" i="35"/>
  <c r="C201" i="35"/>
  <c r="C138" i="35"/>
  <c r="C286" i="35"/>
  <c r="C278" i="35"/>
  <c r="C121" i="35"/>
  <c r="C301" i="35"/>
  <c r="C338" i="35"/>
  <c r="C178" i="35"/>
  <c r="C238" i="35"/>
  <c r="C239" i="35"/>
  <c r="C82" i="35"/>
  <c r="C159" i="35"/>
  <c r="C15" i="35"/>
  <c r="C80" i="35"/>
  <c r="C293" i="35"/>
  <c r="C88" i="35"/>
  <c r="C202" i="35"/>
  <c r="C139" i="35"/>
  <c r="C270" i="35"/>
  <c r="C141" i="35"/>
  <c r="I14" i="37"/>
  <c r="C65" i="35"/>
  <c r="C154" i="35"/>
  <c r="C314" i="35"/>
  <c r="C326" i="35"/>
  <c r="C359" i="35"/>
  <c r="C361" i="35"/>
  <c r="C57" i="31"/>
  <c r="D53" i="31"/>
  <c r="F53" i="31" s="1"/>
  <c r="D52" i="31"/>
  <c r="F52" i="31" s="1"/>
  <c r="C14" i="1" s="1"/>
  <c r="E56" i="31"/>
  <c r="C56" i="31"/>
  <c r="F56" i="31" s="1"/>
  <c r="C14" i="14" s="1"/>
  <c r="E53" i="31"/>
  <c r="D57" i="31"/>
  <c r="H415" i="34"/>
  <c r="F415" i="34" s="1"/>
  <c r="D40" i="10" s="1"/>
  <c r="C54" i="31"/>
  <c r="L34" i="1"/>
  <c r="AB33" i="32"/>
  <c r="AB31" i="32"/>
  <c r="F54" i="31"/>
  <c r="C14" i="8" s="1"/>
  <c r="C6" i="38"/>
  <c r="C2" i="38"/>
  <c r="C3" i="38"/>
  <c r="C4" i="38"/>
  <c r="C5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M2" i="38"/>
  <c r="H2" i="35"/>
  <c r="B2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153" i="35"/>
  <c r="B154" i="35"/>
  <c r="B155" i="35"/>
  <c r="B156" i="35"/>
  <c r="B157" i="35"/>
  <c r="B158" i="35"/>
  <c r="B159" i="35"/>
  <c r="B160" i="35"/>
  <c r="B161" i="35"/>
  <c r="B162" i="35"/>
  <c r="B163" i="35"/>
  <c r="B164" i="35"/>
  <c r="B165" i="35"/>
  <c r="B166" i="35"/>
  <c r="B167" i="35"/>
  <c r="B168" i="35"/>
  <c r="B169" i="35"/>
  <c r="B170" i="35"/>
  <c r="B171" i="35"/>
  <c r="B172" i="35"/>
  <c r="B173" i="35"/>
  <c r="B174" i="35"/>
  <c r="B175" i="35"/>
  <c r="B176" i="35"/>
  <c r="B177" i="35"/>
  <c r="B178" i="35"/>
  <c r="B179" i="35"/>
  <c r="B180" i="35"/>
  <c r="B181" i="35"/>
  <c r="B182" i="35"/>
  <c r="B183" i="35"/>
  <c r="B184" i="35"/>
  <c r="B185" i="35"/>
  <c r="B186" i="35"/>
  <c r="B187" i="35"/>
  <c r="B188" i="35"/>
  <c r="B189" i="35"/>
  <c r="B190" i="35"/>
  <c r="B191" i="35"/>
  <c r="B192" i="35"/>
  <c r="B193" i="35"/>
  <c r="B194" i="35"/>
  <c r="B195" i="35"/>
  <c r="B196" i="35"/>
  <c r="B197" i="35"/>
  <c r="B198" i="35"/>
  <c r="B199" i="35"/>
  <c r="B200" i="35"/>
  <c r="B201" i="35"/>
  <c r="B202" i="35"/>
  <c r="B203" i="35"/>
  <c r="B204" i="35"/>
  <c r="B205" i="35"/>
  <c r="B206" i="35"/>
  <c r="B207" i="35"/>
  <c r="B208" i="35"/>
  <c r="B209" i="35"/>
  <c r="B210" i="35"/>
  <c r="B211" i="35"/>
  <c r="B212" i="35"/>
  <c r="B213" i="35"/>
  <c r="B214" i="35"/>
  <c r="B215" i="35"/>
  <c r="B216" i="35"/>
  <c r="B217" i="35"/>
  <c r="B218" i="35"/>
  <c r="B219" i="35"/>
  <c r="B220" i="35"/>
  <c r="B221" i="35"/>
  <c r="B222" i="35"/>
  <c r="B223" i="35"/>
  <c r="B224" i="35"/>
  <c r="B225" i="35"/>
  <c r="B226" i="35"/>
  <c r="B227" i="35"/>
  <c r="B228" i="35"/>
  <c r="B229" i="35"/>
  <c r="B230" i="35"/>
  <c r="B231" i="35"/>
  <c r="B232" i="35"/>
  <c r="B233" i="35"/>
  <c r="B234" i="35"/>
  <c r="B235" i="35"/>
  <c r="B236" i="35"/>
  <c r="B237" i="35"/>
  <c r="B238" i="35"/>
  <c r="B239" i="35"/>
  <c r="B240" i="35"/>
  <c r="B241" i="35"/>
  <c r="B242" i="35"/>
  <c r="B243" i="35"/>
  <c r="B244" i="35"/>
  <c r="B245" i="35"/>
  <c r="B246" i="35"/>
  <c r="B247" i="35"/>
  <c r="B248" i="35"/>
  <c r="B249" i="35"/>
  <c r="B250" i="35"/>
  <c r="B251" i="35"/>
  <c r="B252" i="35"/>
  <c r="B253" i="35"/>
  <c r="B254" i="35"/>
  <c r="B255" i="35"/>
  <c r="B256" i="35"/>
  <c r="B257" i="35"/>
  <c r="B258" i="35"/>
  <c r="B259" i="35"/>
  <c r="B260" i="35"/>
  <c r="B261" i="35"/>
  <c r="B262" i="35"/>
  <c r="B263" i="35"/>
  <c r="B264" i="35"/>
  <c r="B265" i="35"/>
  <c r="B266" i="35"/>
  <c r="B267" i="35"/>
  <c r="B268" i="35"/>
  <c r="B269" i="35"/>
  <c r="B270" i="35"/>
  <c r="B271" i="35"/>
  <c r="B272" i="35"/>
  <c r="B273" i="35"/>
  <c r="B274" i="35"/>
  <c r="B275" i="35"/>
  <c r="B276" i="35"/>
  <c r="B277" i="35"/>
  <c r="B278" i="35"/>
  <c r="B279" i="35"/>
  <c r="B280" i="35"/>
  <c r="B281" i="35"/>
  <c r="B282" i="35"/>
  <c r="B283" i="35"/>
  <c r="B284" i="35"/>
  <c r="B285" i="35"/>
  <c r="B286" i="35"/>
  <c r="B287" i="35"/>
  <c r="B288" i="35"/>
  <c r="B289" i="35"/>
  <c r="B290" i="35"/>
  <c r="B291" i="35"/>
  <c r="B292" i="35"/>
  <c r="B293" i="35"/>
  <c r="B294" i="35"/>
  <c r="B295" i="35"/>
  <c r="B296" i="35"/>
  <c r="B297" i="35"/>
  <c r="B298" i="35"/>
  <c r="B299" i="35"/>
  <c r="B300" i="35"/>
  <c r="B301" i="35"/>
  <c r="B302" i="35"/>
  <c r="B303" i="35"/>
  <c r="B304" i="35"/>
  <c r="B305" i="35"/>
  <c r="B306" i="35"/>
  <c r="B307" i="35"/>
  <c r="B308" i="35"/>
  <c r="B309" i="35"/>
  <c r="B310" i="35"/>
  <c r="B311" i="35"/>
  <c r="B312" i="35"/>
  <c r="B313" i="35"/>
  <c r="B314" i="35"/>
  <c r="B315" i="35"/>
  <c r="B316" i="35"/>
  <c r="B317" i="35"/>
  <c r="B318" i="35"/>
  <c r="B319" i="35"/>
  <c r="B320" i="35"/>
  <c r="B321" i="35"/>
  <c r="B322" i="35"/>
  <c r="B323" i="35"/>
  <c r="B324" i="35"/>
  <c r="B325" i="35"/>
  <c r="B326" i="35"/>
  <c r="B327" i="35"/>
  <c r="B328" i="35"/>
  <c r="B329" i="35"/>
  <c r="B330" i="35"/>
  <c r="B331" i="35"/>
  <c r="B332" i="35"/>
  <c r="B333" i="35"/>
  <c r="B334" i="35"/>
  <c r="B335" i="35"/>
  <c r="B336" i="35"/>
  <c r="B337" i="35"/>
  <c r="B338" i="35"/>
  <c r="B339" i="35"/>
  <c r="B340" i="35"/>
  <c r="B341" i="35"/>
  <c r="B342" i="35"/>
  <c r="B343" i="35"/>
  <c r="B344" i="35"/>
  <c r="B345" i="35"/>
  <c r="B346" i="35"/>
  <c r="B347" i="35"/>
  <c r="B348" i="35"/>
  <c r="B349" i="35"/>
  <c r="B350" i="35"/>
  <c r="B351" i="35"/>
  <c r="B352" i="35"/>
  <c r="B353" i="35"/>
  <c r="B354" i="35"/>
  <c r="B355" i="35"/>
  <c r="B356" i="35"/>
  <c r="B357" i="35"/>
  <c r="B358" i="35"/>
  <c r="B359" i="35"/>
  <c r="B360" i="35"/>
  <c r="B361" i="35"/>
  <c r="B362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B377" i="35"/>
  <c r="B378" i="35"/>
  <c r="B379" i="35"/>
  <c r="P4" i="33" a="1"/>
  <c r="P4" i="33" s="1"/>
  <c r="O4" i="33" a="1"/>
  <c r="O4" i="33" s="1"/>
  <c r="B21" i="37"/>
  <c r="B22" i="37"/>
  <c r="B23" i="37"/>
  <c r="B24" i="37"/>
  <c r="F21" i="37"/>
  <c r="F22" i="37"/>
  <c r="F23" i="37"/>
  <c r="F24" i="37"/>
  <c r="H377" i="35"/>
  <c r="H378" i="35"/>
  <c r="H379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E2" i="34"/>
  <c r="C19" i="1" s="1"/>
  <c r="F2" i="34"/>
  <c r="D19" i="1" s="1"/>
  <c r="E3" i="34"/>
  <c r="C20" i="1" s="1"/>
  <c r="F3" i="34"/>
  <c r="D20" i="1" s="1"/>
  <c r="I20" i="1"/>
  <c r="L27" i="1"/>
  <c r="L40" i="1"/>
  <c r="L59" i="1"/>
  <c r="L66" i="1"/>
  <c r="L75" i="1"/>
  <c r="J30" i="8"/>
  <c r="K30" i="8"/>
  <c r="K61" i="8"/>
  <c r="K20" i="2"/>
  <c r="K90" i="2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/>
  <c r="E223" i="35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E227" i="35"/>
  <c r="E136" i="35"/>
  <c r="D334" i="35"/>
  <c r="D6" i="37"/>
  <c r="E124" i="35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E247" i="35"/>
  <c r="E299" i="35"/>
  <c r="D6" i="36"/>
  <c r="C12" i="1"/>
  <c r="E216" i="35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17" i="37"/>
  <c r="E28" i="35"/>
  <c r="E42" i="35"/>
  <c r="E158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5" i="2"/>
  <c r="J8" i="36"/>
  <c r="J8" i="14"/>
  <c r="N9" i="10"/>
  <c r="J9" i="14"/>
  <c r="J10" i="8"/>
  <c r="N10" i="10"/>
  <c r="J10" i="14"/>
  <c r="K126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G393" i="34"/>
  <c r="H396" i="34"/>
  <c r="AB8" i="32"/>
  <c r="Z5" i="32"/>
  <c r="C269" i="35"/>
  <c r="C146" i="35"/>
  <c r="C310" i="35"/>
  <c r="C140" i="35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J117" i="2" l="1"/>
  <c r="J124" i="2"/>
  <c r="C50" i="11" s="1"/>
  <c r="K124" i="2"/>
  <c r="C32" i="35"/>
  <c r="C175" i="35"/>
  <c r="C197" i="35"/>
  <c r="C274" i="35"/>
  <c r="I10" i="37"/>
  <c r="C6" i="35"/>
  <c r="C321" i="35"/>
  <c r="C120" i="35"/>
  <c r="C213" i="35"/>
  <c r="C11" i="35"/>
  <c r="C329" i="35"/>
  <c r="C251" i="35"/>
  <c r="C95" i="35"/>
  <c r="I11" i="37"/>
  <c r="C211" i="35"/>
  <c r="C205" i="35"/>
  <c r="C234" i="35"/>
  <c r="C21" i="35"/>
  <c r="C180" i="35"/>
  <c r="C8" i="35"/>
  <c r="C193" i="35"/>
  <c r="C253" i="35"/>
  <c r="C362" i="35"/>
  <c r="C209" i="35"/>
  <c r="C93" i="35"/>
  <c r="C237" i="35"/>
  <c r="C344" i="35"/>
  <c r="C41" i="35"/>
  <c r="C342" i="35"/>
  <c r="C162" i="35"/>
  <c r="C9" i="35"/>
  <c r="C210" i="35"/>
  <c r="C337" i="35"/>
  <c r="C54" i="35"/>
  <c r="C73" i="35"/>
  <c r="C243" i="35"/>
  <c r="C235" i="35"/>
  <c r="C107" i="35"/>
  <c r="C151" i="35"/>
  <c r="C109" i="35"/>
  <c r="C96" i="35"/>
  <c r="C81" i="35"/>
  <c r="C333" i="35"/>
  <c r="C227" i="35"/>
  <c r="C24" i="35"/>
  <c r="C303" i="35"/>
  <c r="C341" i="35"/>
  <c r="C114" i="35"/>
  <c r="C160" i="35"/>
  <c r="C207" i="35"/>
  <c r="C113" i="35"/>
  <c r="C152" i="35"/>
  <c r="C327" i="35"/>
  <c r="C257" i="35"/>
  <c r="C34" i="35"/>
  <c r="C308" i="35"/>
  <c r="C182" i="35"/>
  <c r="C224" i="35"/>
  <c r="C43" i="35"/>
  <c r="C89" i="35"/>
  <c r="C23" i="35"/>
  <c r="C256" i="35"/>
  <c r="C52" i="35"/>
  <c r="C199" i="35"/>
  <c r="C70" i="35"/>
  <c r="C339" i="35"/>
  <c r="C360" i="35"/>
  <c r="C44" i="35"/>
  <c r="C275" i="35"/>
  <c r="C10" i="35"/>
  <c r="C101" i="35"/>
  <c r="C289" i="35"/>
  <c r="C265" i="35"/>
  <c r="C67" i="35"/>
  <c r="C105" i="35"/>
  <c r="C292" i="35"/>
  <c r="C204" i="35"/>
  <c r="C348" i="35"/>
  <c r="I6" i="37"/>
  <c r="C78" i="35"/>
  <c r="C38" i="35"/>
  <c r="C147" i="35"/>
  <c r="C226" i="35"/>
  <c r="C142" i="35"/>
  <c r="C59" i="35"/>
  <c r="C183" i="35"/>
  <c r="C297" i="35"/>
  <c r="C22" i="35"/>
  <c r="C40" i="35"/>
  <c r="C149" i="35"/>
  <c r="C86" i="35"/>
  <c r="C4" i="35"/>
  <c r="C104" i="35"/>
  <c r="C263" i="35"/>
  <c r="C56" i="35"/>
  <c r="I8" i="37"/>
  <c r="C232" i="35"/>
  <c r="C208" i="35"/>
  <c r="C31" i="35"/>
  <c r="C37" i="35"/>
  <c r="C58" i="35"/>
  <c r="C290" i="35"/>
  <c r="C172" i="35"/>
  <c r="J1" i="33"/>
  <c r="C76" i="35"/>
  <c r="C131" i="35"/>
  <c r="C2" i="35"/>
  <c r="C165" i="35"/>
  <c r="C273" i="35"/>
  <c r="I19" i="37"/>
  <c r="C313" i="35"/>
  <c r="C53" i="35"/>
  <c r="C108" i="35"/>
  <c r="C241" i="35"/>
  <c r="C294" i="35"/>
  <c r="C312" i="35"/>
  <c r="C69" i="35"/>
  <c r="C319" i="35"/>
  <c r="C283" i="35"/>
  <c r="C50" i="35"/>
  <c r="C74" i="35"/>
  <c r="C324" i="35"/>
  <c r="C250" i="35"/>
  <c r="C20" i="35"/>
  <c r="C311" i="35"/>
  <c r="C244" i="35"/>
  <c r="C306" i="35"/>
  <c r="C30" i="35"/>
  <c r="C3" i="35"/>
  <c r="C100" i="35"/>
  <c r="C42" i="35"/>
  <c r="I17" i="37"/>
  <c r="C259" i="35"/>
  <c r="C127" i="35"/>
  <c r="C295" i="35"/>
  <c r="I9" i="37"/>
  <c r="C118" i="35"/>
  <c r="C161" i="35"/>
  <c r="K81" i="1"/>
  <c r="K83" i="1" s="1"/>
  <c r="K85" i="1" s="1"/>
  <c r="F393" i="34"/>
  <c r="J65" i="2"/>
  <c r="K64" i="2"/>
  <c r="K125" i="2"/>
  <c r="L20" i="1"/>
  <c r="L58" i="1"/>
  <c r="M81" i="1"/>
  <c r="M83" i="1" s="1"/>
  <c r="D45" i="11" s="1"/>
  <c r="D42" i="36"/>
  <c r="D44" i="10"/>
  <c r="D92" i="14"/>
  <c r="D160" i="1"/>
  <c r="D73" i="8"/>
  <c r="J49" i="2"/>
  <c r="J64" i="2"/>
  <c r="J118" i="2"/>
  <c r="J48" i="2"/>
  <c r="L50" i="1"/>
  <c r="C14" i="2"/>
  <c r="C14" i="36"/>
  <c r="K118" i="2"/>
  <c r="J81" i="1"/>
  <c r="F57" i="31"/>
  <c r="C13" i="10" s="1"/>
  <c r="L8" i="1"/>
  <c r="J8" i="8"/>
  <c r="J8" i="2"/>
  <c r="N8" i="10"/>
  <c r="J7" i="36"/>
  <c r="J7" i="14"/>
  <c r="J7" i="8"/>
  <c r="J7" i="2"/>
  <c r="L7" i="1"/>
  <c r="N7" i="10"/>
  <c r="F396" i="34"/>
  <c r="K117" i="2"/>
  <c r="K65" i="2"/>
  <c r="K49" i="2"/>
  <c r="K48" i="2"/>
  <c r="C51" i="11"/>
  <c r="D49" i="11"/>
  <c r="C49" i="11"/>
  <c r="D48" i="11"/>
  <c r="C48" i="11"/>
  <c r="D46" i="11"/>
  <c r="C46" i="11"/>
  <c r="D50" i="11"/>
  <c r="D51" i="11"/>
  <c r="C52" i="1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M40" i="10" s="1"/>
  <c r="O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J19" i="36" l="1"/>
  <c r="J38" i="36" s="1"/>
  <c r="K19" i="36"/>
  <c r="K38" i="36" s="1"/>
  <c r="L81" i="1"/>
  <c r="M85" i="1"/>
  <c r="D47" i="11" s="1"/>
  <c r="J83" i="1"/>
  <c r="L83" i="1" s="1"/>
  <c r="C45" i="11" s="1"/>
  <c r="C56" i="11"/>
  <c r="C54" i="11"/>
  <c r="D55" i="11"/>
  <c r="D53" i="11"/>
  <c r="O32" i="10"/>
  <c r="J37" i="36" l="1"/>
  <c r="K37" i="36"/>
  <c r="J85" i="1"/>
  <c r="L85" i="1" s="1"/>
  <c r="C47" i="11" s="1"/>
  <c r="B2" i="38"/>
  <c r="J2" i="38"/>
  <c r="H2" i="38"/>
  <c r="I2" i="38"/>
  <c r="K2" i="38"/>
  <c r="E280" i="38"/>
  <c r="I386" i="38"/>
  <c r="E345" i="38"/>
  <c r="G4" i="38"/>
  <c r="J400" i="38"/>
  <c r="G43" i="38"/>
  <c r="E123" i="38"/>
  <c r="J115" i="35"/>
  <c r="M13" i="37"/>
  <c r="K52" i="35"/>
  <c r="L13" i="37"/>
  <c r="D254" i="38"/>
  <c r="F8" i="38"/>
  <c r="D236" i="38"/>
  <c r="M61" i="35"/>
  <c r="M264" i="35"/>
  <c r="L12" i="35"/>
  <c r="J131" i="35"/>
  <c r="K389" i="38"/>
  <c r="L341" i="35"/>
  <c r="E297" i="38"/>
  <c r="E327" i="38"/>
  <c r="E334" i="38"/>
  <c r="J44" i="35"/>
  <c r="J398" i="38"/>
  <c r="M4" i="37"/>
  <c r="D173" i="38"/>
  <c r="L221" i="35"/>
  <c r="M180" i="35"/>
  <c r="D279" i="38"/>
  <c r="G15" i="38"/>
  <c r="D72" i="38"/>
  <c r="D311" i="38"/>
  <c r="K21" i="35"/>
  <c r="M144" i="35"/>
  <c r="M185" i="35"/>
  <c r="E29" i="38"/>
  <c r="D375" i="38"/>
  <c r="L228" i="35"/>
  <c r="L17" i="35"/>
  <c r="J385" i="38"/>
  <c r="E34" i="38"/>
  <c r="L293" i="35"/>
  <c r="L306" i="35"/>
  <c r="L131" i="35"/>
  <c r="D371" i="38"/>
  <c r="D357" i="38"/>
  <c r="E269" i="38"/>
  <c r="K38" i="35"/>
  <c r="G21" i="38"/>
  <c r="L115" i="35"/>
  <c r="J19" i="35"/>
  <c r="K53" i="35"/>
  <c r="M216" i="35"/>
  <c r="L358" i="35"/>
  <c r="J399" i="38"/>
  <c r="M201" i="35"/>
  <c r="M271" i="35"/>
  <c r="K39" i="35"/>
  <c r="K19" i="35"/>
  <c r="K50" i="35"/>
  <c r="L360" i="35"/>
  <c r="I385" i="38"/>
  <c r="L194" i="35"/>
  <c r="E373" i="38"/>
  <c r="D82" i="38"/>
  <c r="G19" i="38"/>
  <c r="D68" i="38"/>
  <c r="D377" i="38"/>
  <c r="M5" i="37"/>
  <c r="D401" i="38"/>
  <c r="K387" i="38"/>
  <c r="P9" i="37"/>
  <c r="D28" i="38"/>
  <c r="J47" i="35"/>
  <c r="L326" i="35"/>
  <c r="E169" i="38"/>
  <c r="G393" i="38"/>
  <c r="E375" i="38"/>
  <c r="E185" i="38"/>
  <c r="M49" i="35"/>
  <c r="J17" i="35"/>
  <c r="M366" i="35"/>
  <c r="M222" i="35"/>
  <c r="E63" i="38"/>
  <c r="L6" i="35"/>
  <c r="K398" i="38"/>
  <c r="P8" i="37"/>
  <c r="M10" i="35"/>
  <c r="D62" i="38"/>
  <c r="D378" i="38"/>
  <c r="D58" i="38"/>
  <c r="J5" i="35"/>
  <c r="M290" i="35"/>
  <c r="J70" i="35"/>
  <c r="K115" i="35"/>
  <c r="F396" i="38"/>
  <c r="E330" i="38"/>
  <c r="L330" i="35"/>
  <c r="J15" i="37"/>
  <c r="E383" i="38"/>
  <c r="L348" i="35"/>
  <c r="D339" i="38"/>
  <c r="D169" i="38"/>
  <c r="D347" i="38"/>
  <c r="E319" i="38"/>
  <c r="J61" i="35"/>
  <c r="K103" i="35"/>
  <c r="K384" i="38"/>
  <c r="E148" i="38"/>
  <c r="M166" i="35"/>
  <c r="D206" i="38"/>
  <c r="L223" i="35"/>
  <c r="M361" i="35"/>
  <c r="M29" i="35"/>
  <c r="D57" i="38"/>
  <c r="E321" i="38"/>
  <c r="M367" i="35"/>
  <c r="L373" i="35"/>
  <c r="G7" i="38"/>
  <c r="M314" i="35"/>
  <c r="E140" i="38"/>
  <c r="D233" i="38"/>
  <c r="L224" i="35"/>
  <c r="L314" i="35"/>
  <c r="D231" i="38"/>
  <c r="L188" i="35"/>
  <c r="E366" i="38"/>
  <c r="L72" i="35"/>
  <c r="J76" i="35"/>
  <c r="K4" i="37"/>
  <c r="D344" i="38"/>
  <c r="L369" i="35"/>
  <c r="L225" i="35"/>
  <c r="M4" i="35"/>
  <c r="D350" i="38"/>
  <c r="D50" i="38"/>
  <c r="L62" i="35"/>
  <c r="M22" i="35"/>
  <c r="F33" i="38"/>
  <c r="D388" i="38"/>
  <c r="E157" i="38"/>
  <c r="N13" i="37"/>
  <c r="D286" i="38"/>
  <c r="L2" i="37"/>
  <c r="G390" i="38"/>
  <c r="G382" i="38"/>
  <c r="F19" i="38"/>
  <c r="M378" i="35"/>
  <c r="E339" i="38"/>
  <c r="L31" i="35"/>
  <c r="G62" i="38"/>
  <c r="J4" i="35"/>
  <c r="L11" i="37"/>
  <c r="D100" i="38"/>
  <c r="E292" i="38"/>
  <c r="E333" i="38"/>
  <c r="M287" i="35"/>
  <c r="L125" i="35"/>
  <c r="L35" i="35"/>
  <c r="E24" i="38"/>
  <c r="D83" i="38"/>
  <c r="K32" i="35"/>
  <c r="L304" i="35"/>
  <c r="E335" i="38"/>
  <c r="E343" i="38"/>
  <c r="M306" i="35"/>
  <c r="D96" i="38"/>
  <c r="J69" i="35"/>
  <c r="E272" i="38"/>
  <c r="E259" i="38"/>
  <c r="M99" i="35"/>
  <c r="D67" i="38"/>
  <c r="E111" i="38"/>
  <c r="D26" i="38"/>
  <c r="L355" i="35"/>
  <c r="L19" i="35"/>
  <c r="E37" i="38"/>
  <c r="E124" i="38"/>
  <c r="M62" i="35"/>
  <c r="D106" i="38"/>
  <c r="L271" i="35"/>
  <c r="M2" i="37"/>
  <c r="L219" i="35"/>
  <c r="D321" i="38"/>
  <c r="M37" i="35"/>
  <c r="L93" i="35"/>
  <c r="D276" i="38"/>
  <c r="F17" i="38"/>
  <c r="E368" i="38"/>
  <c r="Q8" i="37"/>
  <c r="D386" i="38"/>
  <c r="M312" i="35"/>
  <c r="E208" i="38"/>
  <c r="E238" i="38"/>
  <c r="M299" i="35"/>
  <c r="L38" i="35"/>
  <c r="M108" i="35"/>
  <c r="M25" i="35"/>
  <c r="F400" i="38"/>
  <c r="D268" i="38"/>
  <c r="G3" i="38"/>
  <c r="D127" i="38"/>
  <c r="L302" i="35"/>
  <c r="D70" i="38"/>
  <c r="I382" i="38"/>
  <c r="M297" i="35"/>
  <c r="G31" i="38"/>
  <c r="L233" i="35"/>
  <c r="J71" i="35"/>
  <c r="D330" i="38"/>
  <c r="F55" i="38"/>
  <c r="L5" i="35"/>
  <c r="M322" i="35"/>
  <c r="M344" i="35"/>
  <c r="L289" i="35"/>
  <c r="L105" i="35"/>
  <c r="L308" i="35"/>
  <c r="D211" i="38"/>
  <c r="L183" i="35"/>
  <c r="K75" i="35"/>
  <c r="E398" i="38"/>
  <c r="M39" i="35"/>
  <c r="J128" i="35"/>
  <c r="E289" i="38"/>
  <c r="L95" i="35"/>
  <c r="D205" i="38"/>
  <c r="K125" i="35"/>
  <c r="G55" i="38"/>
  <c r="L334" i="35"/>
  <c r="M350" i="35"/>
  <c r="F12" i="38"/>
  <c r="J18" i="35"/>
  <c r="E189" i="38"/>
  <c r="L323" i="35"/>
  <c r="D178" i="38"/>
  <c r="L26" i="35"/>
  <c r="D53" i="38"/>
  <c r="E340" i="38"/>
  <c r="L137" i="35"/>
  <c r="M75" i="35"/>
  <c r="P11" i="37"/>
  <c r="D144" i="38"/>
  <c r="M8" i="37"/>
  <c r="M320" i="35"/>
  <c r="H398" i="38"/>
  <c r="M211" i="35"/>
  <c r="L119" i="35"/>
  <c r="M158" i="35"/>
  <c r="F66" i="38"/>
  <c r="K391" i="38"/>
  <c r="D261" i="38"/>
  <c r="M171" i="35"/>
  <c r="L56" i="35"/>
  <c r="J78" i="35"/>
  <c r="L343" i="35"/>
  <c r="F64" i="38"/>
  <c r="L227" i="35"/>
  <c r="J9" i="35"/>
  <c r="E30" i="38"/>
  <c r="D328" i="38"/>
  <c r="K7" i="35"/>
  <c r="G18" i="38"/>
  <c r="G27" i="38"/>
  <c r="M276" i="35"/>
  <c r="K19" i="37"/>
  <c r="M235" i="35"/>
  <c r="D134" i="38"/>
  <c r="F380" i="38"/>
  <c r="D187" i="38"/>
  <c r="D117" i="38"/>
  <c r="M293" i="35"/>
  <c r="M15" i="37"/>
  <c r="E166" i="38"/>
  <c r="M157" i="35"/>
  <c r="L7" i="35"/>
  <c r="E38" i="38"/>
  <c r="M43" i="35"/>
  <c r="G397" i="38"/>
  <c r="E316" i="38"/>
  <c r="M101" i="35"/>
  <c r="O10" i="37"/>
  <c r="M379" i="35"/>
  <c r="D218" i="38"/>
  <c r="K101" i="35"/>
  <c r="J12" i="37"/>
  <c r="L307" i="35"/>
  <c r="L27" i="35"/>
  <c r="D93" i="38"/>
  <c r="E127" i="38"/>
  <c r="L22" i="35"/>
  <c r="L269" i="35"/>
  <c r="D18" i="38"/>
  <c r="J94" i="35"/>
  <c r="L230" i="35"/>
  <c r="D359" i="38"/>
  <c r="M9" i="37"/>
  <c r="M245" i="35"/>
  <c r="D325" i="38"/>
  <c r="D184" i="38"/>
  <c r="D37" i="38"/>
  <c r="M125" i="35"/>
  <c r="M132" i="35"/>
  <c r="E325" i="38"/>
  <c r="L4" i="35"/>
  <c r="E13" i="38"/>
  <c r="E381" i="38"/>
  <c r="M228" i="35"/>
  <c r="L202" i="35"/>
  <c r="K12" i="35"/>
  <c r="D113" i="38"/>
  <c r="E77" i="38"/>
  <c r="D143" i="38"/>
  <c r="M36" i="35"/>
  <c r="L58" i="35"/>
  <c r="J68" i="35"/>
  <c r="N14" i="37"/>
  <c r="N5" i="37"/>
  <c r="E400" i="38"/>
  <c r="D252" i="38"/>
  <c r="L46" i="35"/>
  <c r="D303" i="38"/>
  <c r="E85" i="38"/>
  <c r="M172" i="35"/>
  <c r="M81" i="35"/>
  <c r="J9" i="37"/>
  <c r="D147" i="38"/>
  <c r="M258" i="35"/>
  <c r="L242" i="35"/>
  <c r="E146" i="38"/>
  <c r="L212" i="35"/>
  <c r="F29" i="38"/>
  <c r="L48" i="35"/>
  <c r="M219" i="35"/>
  <c r="M79" i="35"/>
  <c r="D94" i="38"/>
  <c r="G395" i="38"/>
  <c r="D358" i="38"/>
  <c r="D208" i="38"/>
  <c r="E153" i="38"/>
  <c r="D126" i="38"/>
  <c r="L301" i="35"/>
  <c r="J14" i="37"/>
  <c r="G60" i="38"/>
  <c r="L320" i="35"/>
  <c r="M159" i="35"/>
  <c r="K116" i="35"/>
  <c r="L18" i="37"/>
  <c r="M225" i="35"/>
  <c r="E396" i="38"/>
  <c r="D124" i="38"/>
  <c r="L243" i="35"/>
  <c r="D267" i="38"/>
  <c r="E4" i="38"/>
  <c r="G12" i="38"/>
  <c r="K51" i="35"/>
  <c r="D259" i="38"/>
  <c r="D121" i="38"/>
  <c r="E362" i="38"/>
  <c r="E174" i="38"/>
  <c r="L299" i="35"/>
  <c r="E164" i="38"/>
  <c r="M178" i="35"/>
  <c r="L128" i="35"/>
  <c r="G32" i="38"/>
  <c r="D30" i="38"/>
  <c r="L3" i="35"/>
  <c r="E254" i="38"/>
  <c r="K94" i="35"/>
  <c r="D104" i="38"/>
  <c r="M86" i="35"/>
  <c r="K37" i="35"/>
  <c r="L101" i="35"/>
  <c r="L294" i="35"/>
  <c r="E230" i="38"/>
  <c r="L209" i="35"/>
  <c r="J390" i="38"/>
  <c r="M87" i="35"/>
  <c r="L376" i="35"/>
  <c r="K58" i="35"/>
  <c r="D179" i="38"/>
  <c r="K46" i="35"/>
  <c r="D162" i="38"/>
  <c r="E291" i="38"/>
  <c r="M192" i="35"/>
  <c r="L117" i="35"/>
  <c r="E109" i="38"/>
  <c r="K122" i="35"/>
  <c r="F62" i="38"/>
  <c r="K3" i="37"/>
  <c r="E364" i="38"/>
  <c r="K402" i="38"/>
  <c r="K72" i="35"/>
  <c r="E304" i="38"/>
  <c r="L206" i="35"/>
  <c r="K16" i="37"/>
  <c r="L257" i="35"/>
  <c r="K21" i="37"/>
  <c r="E365" i="38"/>
  <c r="K57" i="35"/>
  <c r="D271" i="38"/>
  <c r="J110" i="35"/>
  <c r="D274" i="38"/>
  <c r="M70" i="35"/>
  <c r="K20" i="37"/>
  <c r="E328" i="38"/>
  <c r="M47" i="35"/>
  <c r="M187" i="35"/>
  <c r="D198" i="38"/>
  <c r="L295" i="35"/>
  <c r="D290" i="38"/>
  <c r="K113" i="35"/>
  <c r="E129" i="38"/>
  <c r="L259" i="35"/>
  <c r="E70" i="38"/>
  <c r="M130" i="35"/>
  <c r="E378" i="38"/>
  <c r="E98" i="38"/>
  <c r="L208" i="35"/>
  <c r="K67" i="35"/>
  <c r="E54" i="38"/>
  <c r="J109" i="35"/>
  <c r="E176" i="38"/>
  <c r="E225" i="38"/>
  <c r="E213" i="38"/>
  <c r="D156" i="38"/>
  <c r="D282" i="38"/>
  <c r="L73" i="35"/>
  <c r="L238" i="35"/>
  <c r="E228" i="38"/>
  <c r="D212" i="38"/>
  <c r="E356" i="38"/>
  <c r="M140" i="35"/>
  <c r="L305" i="35"/>
  <c r="G14" i="38"/>
  <c r="J14" i="35"/>
  <c r="G8" i="38"/>
  <c r="E197" i="38"/>
  <c r="D302" i="38"/>
  <c r="L362" i="35"/>
  <c r="D61" i="38"/>
  <c r="E65" i="38"/>
  <c r="L182" i="35"/>
  <c r="L368" i="35"/>
  <c r="E17" i="38"/>
  <c r="M206" i="35"/>
  <c r="K111" i="35"/>
  <c r="E195" i="38"/>
  <c r="M82" i="35"/>
  <c r="M291" i="35"/>
  <c r="M91" i="35"/>
  <c r="L147" i="35"/>
  <c r="M274" i="35"/>
  <c r="J2" i="35"/>
  <c r="L40" i="35"/>
  <c r="M242" i="35"/>
  <c r="M3" i="35"/>
  <c r="J105" i="35"/>
  <c r="L45" i="35"/>
  <c r="E277" i="38"/>
  <c r="D170" i="38"/>
  <c r="D171" i="38"/>
  <c r="M373" i="35"/>
  <c r="M38" i="35"/>
  <c r="L177" i="35"/>
  <c r="L245" i="35"/>
  <c r="E149" i="38"/>
  <c r="F22" i="38"/>
  <c r="L374" i="35"/>
  <c r="E158" i="38"/>
  <c r="F56" i="38"/>
  <c r="G389" i="38"/>
  <c r="G48" i="38"/>
  <c r="G392" i="38"/>
  <c r="M147" i="35"/>
  <c r="O5" i="37"/>
  <c r="G36" i="38"/>
  <c r="P24" i="37"/>
  <c r="M107" i="35"/>
  <c r="D298" i="38"/>
  <c r="M149" i="35"/>
  <c r="E125" i="38"/>
  <c r="L321" i="35"/>
  <c r="K90" i="35"/>
  <c r="M30" i="35"/>
  <c r="E18" i="38"/>
  <c r="D189" i="38"/>
  <c r="G400" i="38"/>
  <c r="E314" i="38"/>
  <c r="G402" i="38"/>
  <c r="E163" i="38"/>
  <c r="L328" i="35"/>
  <c r="E377" i="38"/>
  <c r="L279" i="35"/>
  <c r="H388" i="38"/>
  <c r="D191" i="38"/>
  <c r="M335" i="35"/>
  <c r="M345" i="35"/>
  <c r="L86" i="35"/>
  <c r="K27" i="35"/>
  <c r="P15" i="37"/>
  <c r="D383" i="38"/>
  <c r="H393" i="38"/>
  <c r="I399" i="38"/>
  <c r="E112" i="38"/>
  <c r="G58" i="38"/>
  <c r="D225" i="38"/>
  <c r="K9" i="35"/>
  <c r="K25" i="35"/>
  <c r="P20" i="37"/>
  <c r="L150" i="35"/>
  <c r="D283" i="38"/>
  <c r="M205" i="35"/>
  <c r="E137" i="38"/>
  <c r="D238" i="38"/>
  <c r="D222" i="38"/>
  <c r="K62" i="35"/>
  <c r="L146" i="35"/>
  <c r="M105" i="35"/>
  <c r="L332" i="35"/>
  <c r="D120" i="38"/>
  <c r="E369" i="38"/>
  <c r="L65" i="35"/>
  <c r="L205" i="35"/>
  <c r="L59" i="35"/>
  <c r="E338" i="38"/>
  <c r="J43" i="35"/>
  <c r="E267" i="38"/>
  <c r="M310" i="35"/>
  <c r="F15" i="38"/>
  <c r="J394" i="38"/>
  <c r="K104" i="35"/>
  <c r="M160" i="35"/>
  <c r="M341" i="35"/>
  <c r="L100" i="35"/>
  <c r="L87" i="35"/>
  <c r="K119" i="35"/>
  <c r="M63" i="35"/>
  <c r="I395" i="38"/>
  <c r="M330" i="35"/>
  <c r="M354" i="35"/>
  <c r="N4" i="37"/>
  <c r="M12" i="35"/>
  <c r="K109" i="35"/>
  <c r="M302" i="35"/>
  <c r="E348" i="38"/>
  <c r="M248" i="35"/>
  <c r="G381" i="38"/>
  <c r="L335" i="35"/>
  <c r="J92" i="35"/>
  <c r="D64" i="38"/>
  <c r="L352" i="35"/>
  <c r="O23" i="37"/>
  <c r="P14" i="37"/>
  <c r="E26" i="38"/>
  <c r="D157" i="38"/>
  <c r="E120" i="38"/>
  <c r="D221" i="38"/>
  <c r="D253" i="38"/>
  <c r="J81" i="35"/>
  <c r="M277" i="35"/>
  <c r="G24" i="38"/>
  <c r="M41" i="35"/>
  <c r="L290" i="35"/>
  <c r="P5" i="37"/>
  <c r="J37" i="35"/>
  <c r="L49" i="35"/>
  <c r="Q5" i="37"/>
  <c r="K59" i="35"/>
  <c r="L250" i="35"/>
  <c r="K89" i="35"/>
  <c r="M163" i="35"/>
  <c r="L260" i="35"/>
  <c r="M229" i="35"/>
  <c r="D382" i="38"/>
  <c r="L192" i="35"/>
  <c r="M198" i="35"/>
  <c r="E353" i="38"/>
  <c r="D363" i="38"/>
  <c r="M308" i="35"/>
  <c r="D316" i="38"/>
  <c r="H395" i="38"/>
  <c r="I394" i="38"/>
  <c r="D188" i="38"/>
  <c r="L338" i="35"/>
  <c r="K120" i="35"/>
  <c r="Q9" i="37"/>
  <c r="M151" i="35"/>
  <c r="H400" i="38"/>
  <c r="J59" i="35"/>
  <c r="M263" i="35"/>
  <c r="M188" i="35"/>
  <c r="Q14" i="37"/>
  <c r="M331" i="35"/>
  <c r="D246" i="38"/>
  <c r="D360" i="38"/>
  <c r="L198" i="35"/>
  <c r="L123" i="35"/>
  <c r="M280" i="35"/>
  <c r="J10" i="35"/>
  <c r="M60" i="35"/>
  <c r="M51" i="35"/>
  <c r="J30" i="35"/>
  <c r="D342" i="38"/>
  <c r="N22" i="37"/>
  <c r="M76" i="35"/>
  <c r="L266" i="35"/>
  <c r="E255" i="38"/>
  <c r="M64" i="35"/>
  <c r="D313" i="38"/>
  <c r="J34" i="35"/>
  <c r="E318" i="38"/>
  <c r="M288" i="35"/>
  <c r="E43" i="38"/>
  <c r="M48" i="35"/>
  <c r="H390" i="38"/>
  <c r="M31" i="35"/>
  <c r="M295" i="35"/>
  <c r="D331" i="38"/>
  <c r="N15" i="37"/>
  <c r="L32" i="35"/>
  <c r="E179" i="38"/>
  <c r="E246" i="38"/>
  <c r="E347" i="38"/>
  <c r="K79" i="35"/>
  <c r="M236" i="35"/>
  <c r="D200" i="38"/>
  <c r="M370" i="35"/>
  <c r="M319" i="35"/>
  <c r="E100" i="38"/>
  <c r="F381" i="38"/>
  <c r="L292" i="35"/>
  <c r="D361" i="38"/>
  <c r="D177" i="38"/>
  <c r="D366" i="38"/>
  <c r="J397" i="38"/>
  <c r="M210" i="35"/>
  <c r="F384" i="38"/>
  <c r="G56" i="38"/>
  <c r="J45" i="35"/>
  <c r="M189" i="35"/>
  <c r="J392" i="38"/>
  <c r="M323" i="35"/>
  <c r="L253" i="35"/>
  <c r="J112" i="35"/>
  <c r="L169" i="35"/>
  <c r="D297" i="38"/>
  <c r="E141" i="38"/>
  <c r="L255" i="35"/>
  <c r="E60" i="38"/>
  <c r="E83" i="38"/>
  <c r="L359" i="35"/>
  <c r="M254" i="35"/>
  <c r="K71" i="35"/>
  <c r="D4" i="38"/>
  <c r="O13" i="37"/>
  <c r="J46" i="35"/>
  <c r="M292" i="35"/>
  <c r="L347" i="35"/>
  <c r="D194" i="38"/>
  <c r="L94" i="35"/>
  <c r="L207" i="35"/>
  <c r="D287" i="38"/>
  <c r="D125" i="38"/>
  <c r="D91" i="38"/>
  <c r="M13" i="35"/>
  <c r="J108" i="35"/>
  <c r="D142" i="38"/>
  <c r="G399" i="38"/>
  <c r="G23" i="38"/>
  <c r="K397" i="38"/>
  <c r="D139" i="38"/>
  <c r="F44" i="38"/>
  <c r="D101" i="38"/>
  <c r="J16" i="35"/>
  <c r="D292" i="38"/>
  <c r="E390" i="38"/>
  <c r="M27" i="35"/>
  <c r="D362" i="38"/>
  <c r="D318" i="38"/>
  <c r="K17" i="37"/>
  <c r="D60" i="38"/>
  <c r="E81" i="38"/>
  <c r="D210" i="38"/>
  <c r="D335" i="38"/>
  <c r="E389" i="38"/>
  <c r="M339" i="35"/>
  <c r="I398" i="38"/>
  <c r="F38" i="38"/>
  <c r="D48" i="38"/>
  <c r="K132" i="35"/>
  <c r="E139" i="38"/>
  <c r="M234" i="35"/>
  <c r="E41" i="38"/>
  <c r="E3" i="38"/>
  <c r="M74" i="35"/>
  <c r="E346" i="38"/>
  <c r="E90" i="38"/>
  <c r="E79" i="38"/>
  <c r="F390" i="38"/>
  <c r="L319" i="35"/>
  <c r="D12" i="38"/>
  <c r="E52" i="38"/>
  <c r="E391" i="38"/>
  <c r="E160" i="38"/>
  <c r="D129" i="38"/>
  <c r="F395" i="38"/>
  <c r="E384" i="38"/>
  <c r="M142" i="35"/>
  <c r="L278" i="35"/>
  <c r="J15" i="35"/>
  <c r="M265" i="35"/>
  <c r="E9" i="38"/>
  <c r="M272" i="35"/>
  <c r="M94" i="35"/>
  <c r="G2" i="38"/>
  <c r="E387" i="38"/>
  <c r="D74" i="38"/>
  <c r="L179" i="35"/>
  <c r="D135" i="38"/>
  <c r="E36" i="38"/>
  <c r="D322" i="38"/>
  <c r="E71" i="38"/>
  <c r="J33" i="35"/>
  <c r="M146" i="35"/>
  <c r="E74" i="38"/>
  <c r="M377" i="35"/>
  <c r="L248" i="35"/>
  <c r="D215" i="38"/>
  <c r="D27" i="38"/>
  <c r="L281" i="35"/>
  <c r="D398" i="38"/>
  <c r="F14" i="38"/>
  <c r="L189" i="35"/>
  <c r="M127" i="35"/>
  <c r="D109" i="38"/>
  <c r="M143" i="35"/>
  <c r="K95" i="35"/>
  <c r="M165" i="35"/>
  <c r="E117" i="38"/>
  <c r="L103" i="35"/>
  <c r="M181" i="35"/>
  <c r="F31" i="38"/>
  <c r="F402" i="38"/>
  <c r="D224" i="38"/>
  <c r="L15" i="35"/>
  <c r="E50" i="38"/>
  <c r="M337" i="35"/>
  <c r="E337" i="38"/>
  <c r="D25" i="38"/>
  <c r="J396" i="38"/>
  <c r="L276" i="35"/>
  <c r="D346" i="38"/>
  <c r="E170" i="38"/>
  <c r="M317" i="35"/>
  <c r="N18" i="37"/>
  <c r="M202" i="35"/>
  <c r="K383" i="38"/>
  <c r="E315" i="38"/>
  <c r="G47" i="38"/>
  <c r="H401" i="38"/>
  <c r="L116" i="35"/>
  <c r="G67" i="38"/>
  <c r="D353" i="38"/>
  <c r="E62" i="38"/>
  <c r="K20" i="35"/>
  <c r="E251" i="38"/>
  <c r="L54" i="35"/>
  <c r="M28" i="35"/>
  <c r="M371" i="35"/>
  <c r="E110" i="38"/>
  <c r="M326" i="35"/>
  <c r="E393" i="38"/>
  <c r="K388" i="38"/>
  <c r="E261" i="38"/>
  <c r="J13" i="35"/>
  <c r="K45" i="35"/>
  <c r="L315" i="35"/>
  <c r="D159" i="38"/>
  <c r="E245" i="38"/>
  <c r="L80" i="35"/>
  <c r="D87" i="38"/>
  <c r="L135" i="35"/>
  <c r="D317" i="38"/>
  <c r="M59" i="35"/>
  <c r="D348" i="38"/>
  <c r="F27" i="38"/>
  <c r="L370" i="35"/>
  <c r="K56" i="35"/>
  <c r="K76" i="35"/>
  <c r="J77" i="35"/>
  <c r="E296" i="38"/>
  <c r="D295" i="38"/>
  <c r="L346" i="35"/>
  <c r="E53" i="38"/>
  <c r="M253" i="35"/>
  <c r="P22" i="37"/>
  <c r="K385" i="38"/>
  <c r="L152" i="35"/>
  <c r="L297" i="35"/>
  <c r="G39" i="38"/>
  <c r="L218" i="35"/>
  <c r="E76" i="38"/>
  <c r="L60" i="35"/>
  <c r="E121" i="38"/>
  <c r="J101" i="35"/>
  <c r="D370" i="38"/>
  <c r="M11" i="35"/>
  <c r="D199" i="38"/>
  <c r="P12" i="37"/>
  <c r="E211" i="38"/>
  <c r="I390" i="38"/>
  <c r="L229" i="35"/>
  <c r="M193" i="35"/>
  <c r="M279" i="35"/>
  <c r="D310" i="38"/>
  <c r="D329" i="38"/>
  <c r="E150" i="38"/>
  <c r="D35" i="38"/>
  <c r="D369" i="38"/>
  <c r="E224" i="38"/>
  <c r="M92" i="35"/>
  <c r="L102" i="35"/>
  <c r="E386" i="38"/>
  <c r="M126" i="35"/>
  <c r="L197" i="35"/>
  <c r="K400" i="38"/>
  <c r="M213" i="35"/>
  <c r="L11" i="35"/>
  <c r="D395" i="38"/>
  <c r="D44" i="38"/>
  <c r="D249" i="38"/>
  <c r="M46" i="35"/>
  <c r="K123" i="35"/>
  <c r="L166" i="35"/>
  <c r="D136" i="38"/>
  <c r="L353" i="35"/>
  <c r="L24" i="35"/>
  <c r="K4" i="35"/>
  <c r="L29" i="35"/>
  <c r="M256" i="35"/>
  <c r="E205" i="38"/>
  <c r="D209" i="38"/>
  <c r="J83" i="35"/>
  <c r="J18" i="37"/>
  <c r="L357" i="35"/>
  <c r="J66" i="35"/>
  <c r="F49" i="38"/>
  <c r="K26" i="35"/>
  <c r="M124" i="35"/>
  <c r="E397" i="38"/>
  <c r="J96" i="35"/>
  <c r="J10" i="37"/>
  <c r="G45" i="38"/>
  <c r="D234" i="38"/>
  <c r="D164" i="38"/>
  <c r="M136" i="35"/>
  <c r="D220" i="38"/>
  <c r="M164" i="35"/>
  <c r="D190" i="38"/>
  <c r="K15" i="35"/>
  <c r="E247" i="38"/>
  <c r="M152" i="35"/>
  <c r="J72" i="35"/>
  <c r="D22" i="38"/>
  <c r="D379" i="38"/>
  <c r="F385" i="38"/>
  <c r="E173" i="38"/>
  <c r="J84" i="35"/>
  <c r="K129" i="35"/>
  <c r="D140" i="38"/>
  <c r="D52" i="38"/>
  <c r="K393" i="38"/>
  <c r="G384" i="38"/>
  <c r="P6" i="37"/>
  <c r="K36" i="35"/>
  <c r="E392" i="38"/>
  <c r="L211" i="35"/>
  <c r="D392" i="38"/>
  <c r="E95" i="38"/>
  <c r="M318" i="35"/>
  <c r="D36" i="38"/>
  <c r="L379" i="35"/>
  <c r="J132" i="35"/>
  <c r="K3" i="35"/>
  <c r="L268" i="35"/>
  <c r="M119" i="35"/>
  <c r="J80" i="35"/>
  <c r="J6" i="37"/>
  <c r="E5" i="38"/>
  <c r="E263" i="38"/>
  <c r="L108" i="35"/>
  <c r="M231" i="35"/>
  <c r="M296" i="35"/>
  <c r="M133" i="35"/>
  <c r="D79" i="38"/>
  <c r="J24" i="35"/>
  <c r="G10" i="38"/>
  <c r="L98" i="35"/>
  <c r="M327" i="35"/>
  <c r="D98" i="38"/>
  <c r="L339" i="35"/>
  <c r="D326" i="38"/>
  <c r="F26" i="38"/>
  <c r="M307" i="35"/>
  <c r="P2" i="37"/>
  <c r="J127" i="35"/>
  <c r="D102" i="38"/>
  <c r="M138" i="35"/>
  <c r="Q18" i="37"/>
  <c r="M97" i="35"/>
  <c r="M250" i="35"/>
  <c r="Q15" i="37"/>
  <c r="E265" i="38"/>
  <c r="F388" i="38"/>
  <c r="D24" i="38"/>
  <c r="L331" i="35"/>
  <c r="L23" i="37"/>
  <c r="M89" i="35"/>
  <c r="M204" i="35"/>
  <c r="G22" i="38"/>
  <c r="D85" i="38"/>
  <c r="D402" i="38"/>
  <c r="G386" i="38"/>
  <c r="M114" i="35"/>
  <c r="L140" i="35"/>
  <c r="E19" i="38"/>
  <c r="D332" i="38"/>
  <c r="J114" i="35"/>
  <c r="L96" i="35"/>
  <c r="L317" i="35"/>
  <c r="M357" i="35"/>
  <c r="M162" i="35"/>
  <c r="K22" i="35"/>
  <c r="J40" i="35"/>
  <c r="E49" i="38"/>
  <c r="J8" i="35"/>
  <c r="L350" i="35"/>
  <c r="G388" i="38"/>
  <c r="M207" i="35"/>
  <c r="E231" i="38"/>
  <c r="G11" i="38"/>
  <c r="D341" i="38"/>
  <c r="D307" i="38"/>
  <c r="E15" i="38"/>
  <c r="M153" i="35"/>
  <c r="N2" i="37"/>
  <c r="L256" i="35"/>
  <c r="D8" i="38"/>
  <c r="F65" i="38"/>
  <c r="L309" i="35"/>
  <c r="L345" i="35"/>
  <c r="H385" i="38"/>
  <c r="M343" i="35"/>
  <c r="M182" i="35"/>
  <c r="E293" i="38"/>
  <c r="D264" i="38"/>
  <c r="I401" i="38"/>
  <c r="J24" i="37"/>
  <c r="K2" i="35"/>
  <c r="J23" i="37"/>
  <c r="M121" i="35"/>
  <c r="K60" i="35"/>
  <c r="F397" i="38"/>
  <c r="D69" i="38"/>
  <c r="E154" i="38"/>
  <c r="J129" i="35"/>
  <c r="H381" i="38"/>
  <c r="M267" i="35"/>
  <c r="D242" i="38"/>
  <c r="F36" i="38"/>
  <c r="D130" i="38"/>
  <c r="D33" i="38"/>
  <c r="J99" i="35"/>
  <c r="O19" i="37"/>
  <c r="F40" i="38"/>
  <c r="D116" i="38"/>
  <c r="E22" i="38"/>
  <c r="M268" i="35"/>
  <c r="D59" i="38"/>
  <c r="D300" i="38"/>
  <c r="E234" i="38"/>
  <c r="J20" i="37"/>
  <c r="E252" i="38"/>
  <c r="E278" i="38"/>
  <c r="L178" i="35"/>
  <c r="E266" i="38"/>
  <c r="D394" i="38"/>
  <c r="E295" i="38"/>
  <c r="K29" i="35"/>
  <c r="F391" i="38"/>
  <c r="E14" i="38"/>
  <c r="M167" i="35"/>
  <c r="D38" i="38"/>
  <c r="E250" i="38"/>
  <c r="O2" i="37"/>
  <c r="D312" i="38"/>
  <c r="I387" i="38"/>
  <c r="I381" i="38"/>
  <c r="K2" i="37"/>
  <c r="M120" i="35"/>
  <c r="L24" i="37"/>
  <c r="K99" i="35"/>
  <c r="J119" i="35"/>
  <c r="D146" i="38"/>
  <c r="L99" i="35"/>
  <c r="M102" i="35"/>
  <c r="D141" i="38"/>
  <c r="J386" i="38"/>
  <c r="K91" i="35"/>
  <c r="L63" i="35"/>
  <c r="L349" i="35"/>
  <c r="L234" i="35"/>
  <c r="M304" i="35"/>
  <c r="E196" i="38"/>
  <c r="E31" i="38"/>
  <c r="E374" i="38"/>
  <c r="E268" i="38"/>
  <c r="L351" i="35"/>
  <c r="E198" i="38"/>
  <c r="D153" i="38"/>
  <c r="D23" i="38"/>
  <c r="D241" i="38"/>
  <c r="L313" i="35"/>
  <c r="D95" i="38"/>
  <c r="D3" i="38"/>
  <c r="K33" i="35"/>
  <c r="E58" i="38"/>
  <c r="L37" i="35"/>
  <c r="M155" i="35"/>
  <c r="L141" i="35"/>
  <c r="E143" i="38"/>
  <c r="E184" i="38"/>
  <c r="D227" i="38"/>
  <c r="L240" i="35"/>
  <c r="L300" i="35"/>
  <c r="K117" i="35"/>
  <c r="F6" i="38"/>
  <c r="L176" i="35"/>
  <c r="M334" i="35"/>
  <c r="E215" i="38"/>
  <c r="E67" i="38"/>
  <c r="E168" i="38"/>
  <c r="E115" i="38"/>
  <c r="D352" i="38"/>
  <c r="E106" i="38"/>
  <c r="L286" i="35"/>
  <c r="L144" i="35"/>
  <c r="M45" i="35"/>
  <c r="M311" i="35"/>
  <c r="G46" i="38"/>
  <c r="E312" i="38"/>
  <c r="G65" i="38"/>
  <c r="E236" i="38"/>
  <c r="L110" i="35"/>
  <c r="F7" i="38"/>
  <c r="J383" i="38"/>
  <c r="F32" i="38"/>
  <c r="E183" i="38"/>
  <c r="F30" i="38"/>
  <c r="E336" i="38"/>
  <c r="M32" i="35"/>
  <c r="H383" i="38"/>
  <c r="M77" i="35"/>
  <c r="G41" i="38"/>
  <c r="I391" i="38"/>
  <c r="D247" i="38"/>
  <c r="D260" i="38"/>
  <c r="M20" i="37"/>
  <c r="Q23" i="37"/>
  <c r="O3" i="37"/>
  <c r="Q7" i="37"/>
  <c r="F48" i="38"/>
  <c r="M154" i="35"/>
  <c r="L367" i="35"/>
  <c r="K128" i="35"/>
  <c r="J104" i="35"/>
  <c r="J55" i="35"/>
  <c r="M303" i="35"/>
  <c r="J41" i="35"/>
  <c r="O17" i="37"/>
  <c r="D122" i="38"/>
  <c r="D351" i="38"/>
  <c r="L246" i="35"/>
  <c r="D228" i="38"/>
  <c r="M259" i="35"/>
  <c r="E147" i="38"/>
  <c r="M212" i="35"/>
  <c r="M301" i="35"/>
  <c r="L187" i="35"/>
  <c r="Q6" i="37"/>
  <c r="M16" i="35"/>
  <c r="E274" i="38"/>
  <c r="G20" i="38"/>
  <c r="M336" i="35"/>
  <c r="D160" i="38"/>
  <c r="D248" i="38"/>
  <c r="D270" i="38"/>
  <c r="D324" i="38"/>
  <c r="E171" i="38"/>
  <c r="M217" i="35"/>
  <c r="M90" i="35"/>
  <c r="L20" i="35"/>
  <c r="D111" i="38"/>
  <c r="D294" i="38"/>
  <c r="E99" i="38"/>
  <c r="N19" i="37"/>
  <c r="K31" i="35"/>
  <c r="D374" i="38"/>
  <c r="L21" i="35"/>
  <c r="H389" i="38"/>
  <c r="D197" i="38"/>
  <c r="K43" i="35"/>
  <c r="J122" i="35"/>
  <c r="D284" i="38"/>
  <c r="G383" i="38"/>
  <c r="M58" i="35"/>
  <c r="M23" i="35"/>
  <c r="L267" i="35"/>
  <c r="D7" i="38"/>
  <c r="K394" i="38"/>
  <c r="N3" i="37"/>
  <c r="F25" i="38"/>
  <c r="F51" i="38"/>
  <c r="J382" i="38"/>
  <c r="M6" i="37"/>
  <c r="E119" i="38"/>
  <c r="J52" i="35"/>
  <c r="D299" i="38"/>
  <c r="O14" i="37"/>
  <c r="E281" i="38"/>
  <c r="L249" i="35"/>
  <c r="L124" i="35"/>
  <c r="M195" i="35"/>
  <c r="L143" i="35"/>
  <c r="N9" i="37"/>
  <c r="Q16" i="37"/>
  <c r="M73" i="35"/>
  <c r="L138" i="35"/>
  <c r="K98" i="35"/>
  <c r="E285" i="38"/>
  <c r="L251" i="35"/>
  <c r="K35" i="35"/>
  <c r="J86" i="35"/>
  <c r="J3" i="37"/>
  <c r="G26" i="38"/>
  <c r="G17" i="38"/>
  <c r="L34" i="35"/>
  <c r="M156" i="35"/>
  <c r="D172" i="38"/>
  <c r="M65" i="35"/>
  <c r="D6" i="38"/>
  <c r="L191" i="35"/>
  <c r="E219" i="38"/>
  <c r="E376" i="38"/>
  <c r="J111" i="35"/>
  <c r="M360" i="35"/>
  <c r="K133" i="35"/>
  <c r="D373" i="38"/>
  <c r="L190" i="35"/>
  <c r="G37" i="38"/>
  <c r="D105" i="38"/>
  <c r="K118" i="35"/>
  <c r="M282" i="35"/>
  <c r="D43" i="38"/>
  <c r="J133" i="35"/>
  <c r="F383" i="38"/>
  <c r="K44" i="35"/>
  <c r="F54" i="38"/>
  <c r="K80" i="35"/>
  <c r="M221" i="35"/>
  <c r="M169" i="35"/>
  <c r="K8" i="37"/>
  <c r="E190" i="38"/>
  <c r="L168" i="35"/>
  <c r="J106" i="35"/>
  <c r="L44" i="35"/>
  <c r="D244" i="38"/>
  <c r="E244" i="38"/>
  <c r="J42" i="35"/>
  <c r="M284" i="35"/>
  <c r="F10" i="38"/>
  <c r="I393" i="38"/>
  <c r="L336" i="35"/>
  <c r="L170" i="35"/>
  <c r="M246" i="35"/>
  <c r="L82" i="35"/>
  <c r="M106" i="35"/>
  <c r="K47" i="35"/>
  <c r="M358" i="35"/>
  <c r="J21" i="35"/>
  <c r="L148" i="35"/>
  <c r="L303" i="35"/>
  <c r="L75" i="35"/>
  <c r="J25" i="35"/>
  <c r="K68" i="35"/>
  <c r="F2" i="38"/>
  <c r="F46" i="38"/>
  <c r="F389" i="38"/>
  <c r="D201" i="38"/>
  <c r="F4" i="38"/>
  <c r="M183" i="35"/>
  <c r="P17" i="37"/>
  <c r="I389" i="38"/>
  <c r="D66" i="38"/>
  <c r="K381" i="38"/>
  <c r="E324" i="38"/>
  <c r="E8" i="38"/>
  <c r="M338" i="35"/>
  <c r="L325" i="35"/>
  <c r="J120" i="35"/>
  <c r="L173" i="35"/>
  <c r="D237" i="38"/>
  <c r="J58" i="35"/>
  <c r="I388" i="38"/>
  <c r="D180" i="38"/>
  <c r="D56" i="38"/>
  <c r="D89" i="38"/>
  <c r="L159" i="35"/>
  <c r="J56" i="35"/>
  <c r="L28" i="35"/>
  <c r="E394" i="38"/>
  <c r="L363" i="35"/>
  <c r="E97" i="38"/>
  <c r="M175" i="35"/>
  <c r="M7" i="37"/>
  <c r="F52" i="38"/>
  <c r="E92" i="38"/>
  <c r="L36" i="35"/>
  <c r="J395" i="38"/>
  <c r="M98" i="35"/>
  <c r="M251" i="35"/>
  <c r="H392" i="38"/>
  <c r="E156" i="38"/>
  <c r="O24" i="37"/>
  <c r="M72" i="35"/>
  <c r="K382" i="38"/>
  <c r="D112" i="38"/>
  <c r="M200" i="35"/>
  <c r="K64" i="35"/>
  <c r="E155" i="38"/>
  <c r="M100" i="35"/>
  <c r="D239" i="38"/>
  <c r="M238" i="35"/>
  <c r="Q2" i="37"/>
  <c r="M283" i="35"/>
  <c r="L163" i="35"/>
  <c r="L55" i="35"/>
  <c r="M135" i="35"/>
  <c r="P21" i="37"/>
  <c r="D396" i="38"/>
  <c r="G44" i="38"/>
  <c r="K5" i="37"/>
  <c r="M66" i="35"/>
  <c r="L104" i="35"/>
  <c r="D333" i="38"/>
  <c r="D97" i="38"/>
  <c r="H397" i="38"/>
  <c r="M112" i="35"/>
  <c r="L14" i="37"/>
  <c r="K24" i="37"/>
  <c r="L19" i="37"/>
  <c r="K14" i="37"/>
  <c r="E145" i="38"/>
  <c r="M14" i="37"/>
  <c r="K105" i="35"/>
  <c r="N7" i="37"/>
  <c r="D289" i="38"/>
  <c r="M325" i="35"/>
  <c r="M186" i="35"/>
  <c r="M85" i="35"/>
  <c r="K88" i="35"/>
  <c r="L67" i="35"/>
  <c r="M349" i="35"/>
  <c r="M2" i="35"/>
  <c r="K92" i="35"/>
  <c r="G398" i="38"/>
  <c r="D54" i="38"/>
  <c r="L196" i="35"/>
  <c r="L244" i="35"/>
  <c r="E131" i="38"/>
  <c r="D204" i="38"/>
  <c r="D323" i="38"/>
  <c r="J49" i="35"/>
  <c r="E235" i="38"/>
  <c r="E35" i="38"/>
  <c r="M20" i="35"/>
  <c r="Q3" i="37"/>
  <c r="D128" i="38"/>
  <c r="D123" i="38"/>
  <c r="E241" i="38"/>
  <c r="E80" i="38"/>
  <c r="E395" i="38"/>
  <c r="D55" i="38"/>
  <c r="D154" i="38"/>
  <c r="P10" i="37"/>
  <c r="K65" i="35"/>
  <c r="M40" i="35"/>
  <c r="J64" i="35"/>
  <c r="E282" i="38"/>
  <c r="K74" i="35"/>
  <c r="D345" i="38"/>
  <c r="D397" i="38"/>
  <c r="M122" i="35"/>
  <c r="J27" i="35"/>
  <c r="M145" i="35"/>
  <c r="M184" i="35"/>
  <c r="L16" i="35"/>
  <c r="D334" i="38"/>
  <c r="K28" i="35"/>
  <c r="M191" i="35"/>
  <c r="J117" i="35"/>
  <c r="D365" i="38"/>
  <c r="D10" i="38"/>
  <c r="L157" i="35"/>
  <c r="E188" i="38"/>
  <c r="D277" i="38"/>
  <c r="L76" i="35"/>
  <c r="D41" i="38"/>
  <c r="M214" i="35"/>
  <c r="L42" i="35"/>
  <c r="L112" i="35"/>
  <c r="M35" i="35"/>
  <c r="J23" i="35"/>
  <c r="E104" i="38"/>
  <c r="J391" i="38"/>
  <c r="J26" i="35"/>
  <c r="J39" i="35"/>
  <c r="D5" i="38"/>
  <c r="J402" i="38"/>
  <c r="E39" i="38"/>
  <c r="H387" i="38"/>
  <c r="M355" i="35"/>
  <c r="M128" i="35"/>
  <c r="E144" i="38"/>
  <c r="L33" i="35"/>
  <c r="D166" i="38"/>
  <c r="J20" i="35"/>
  <c r="K8" i="35"/>
  <c r="I402" i="38"/>
  <c r="M19" i="37"/>
  <c r="D73" i="38"/>
  <c r="E229" i="38"/>
  <c r="D108" i="38"/>
  <c r="E309" i="38"/>
  <c r="D99" i="38"/>
  <c r="K386" i="38"/>
  <c r="D372" i="38"/>
  <c r="Q11" i="37"/>
  <c r="E227" i="38"/>
  <c r="D152" i="38"/>
  <c r="D240" i="38"/>
  <c r="K81" i="35"/>
  <c r="L20" i="37"/>
  <c r="D63" i="38"/>
  <c r="L333" i="35"/>
  <c r="M83" i="35"/>
  <c r="E372" i="38"/>
  <c r="E59" i="38"/>
  <c r="E42" i="38"/>
  <c r="D86" i="38"/>
  <c r="P13" i="37"/>
  <c r="F28" i="38"/>
  <c r="E220" i="38"/>
  <c r="E12" i="38"/>
  <c r="L139" i="35"/>
  <c r="J123" i="35"/>
  <c r="F60" i="38"/>
  <c r="M365" i="35"/>
  <c r="K73" i="35"/>
  <c r="M69" i="35"/>
  <c r="M266" i="35"/>
  <c r="D243" i="38"/>
  <c r="K124" i="35"/>
  <c r="D399" i="38"/>
  <c r="L81" i="35"/>
  <c r="M239" i="35"/>
  <c r="M93" i="35"/>
  <c r="G6" i="38"/>
  <c r="J79" i="35"/>
  <c r="H382" i="38"/>
  <c r="J38" i="35"/>
  <c r="H402" i="38"/>
  <c r="E300" i="38"/>
  <c r="M300" i="35"/>
  <c r="I397" i="38"/>
  <c r="L118" i="35"/>
  <c r="K108" i="35"/>
  <c r="E306" i="38"/>
  <c r="M15" i="35"/>
  <c r="J388" i="38"/>
  <c r="E192" i="38"/>
  <c r="L2" i="35"/>
  <c r="M6" i="35"/>
  <c r="L201" i="35"/>
  <c r="M44" i="35"/>
  <c r="J62" i="35"/>
  <c r="E73" i="38"/>
  <c r="L327" i="35"/>
  <c r="L70" i="35"/>
  <c r="L92" i="35"/>
  <c r="L316" i="35"/>
  <c r="D272" i="38"/>
  <c r="L114" i="35"/>
  <c r="K93" i="35"/>
  <c r="E21" i="38"/>
  <c r="E329" i="38"/>
  <c r="E349" i="38"/>
  <c r="L78" i="35"/>
  <c r="K380" i="38"/>
  <c r="J124" i="35"/>
  <c r="E270" i="38"/>
  <c r="L106" i="35"/>
  <c r="E249" i="38"/>
  <c r="E288" i="38"/>
  <c r="Q19" i="37"/>
  <c r="E82" i="38"/>
  <c r="E107" i="38"/>
  <c r="L69" i="35"/>
  <c r="E161" i="38"/>
  <c r="L354" i="35"/>
  <c r="M223" i="35"/>
  <c r="M18" i="35"/>
  <c r="J82" i="35"/>
  <c r="K396" i="38"/>
  <c r="M141" i="35"/>
  <c r="K42" i="35"/>
  <c r="M241" i="35"/>
  <c r="M270" i="35"/>
  <c r="E355" i="38"/>
  <c r="D338" i="38"/>
  <c r="L142" i="35"/>
  <c r="N10" i="37"/>
  <c r="E363" i="38"/>
  <c r="F67" i="38"/>
  <c r="L217" i="35"/>
  <c r="K112" i="35"/>
  <c r="K55" i="35"/>
  <c r="J35" i="35"/>
  <c r="G5" i="38"/>
  <c r="D115" i="38"/>
  <c r="M134" i="35"/>
  <c r="J11" i="37"/>
  <c r="M3" i="37"/>
  <c r="E385" i="38"/>
  <c r="M139" i="35"/>
  <c r="K22" i="37"/>
  <c r="K100" i="35"/>
  <c r="M56" i="35"/>
  <c r="L371" i="35"/>
  <c r="G401" i="38"/>
  <c r="L241" i="35"/>
  <c r="D132" i="38"/>
  <c r="M226" i="35"/>
  <c r="E142" i="38"/>
  <c r="H386" i="38"/>
  <c r="E162" i="38"/>
  <c r="D31" i="38"/>
  <c r="D77" i="38"/>
  <c r="L17" i="37"/>
  <c r="E199" i="38"/>
  <c r="E126" i="38"/>
  <c r="F11" i="38"/>
  <c r="K66" i="35"/>
  <c r="D19" i="38"/>
  <c r="L120" i="35"/>
  <c r="L247" i="35"/>
  <c r="D296" i="38"/>
  <c r="M118" i="35"/>
  <c r="L378" i="35"/>
  <c r="I384" i="38"/>
  <c r="I396" i="38"/>
  <c r="O16" i="37"/>
  <c r="K127" i="35"/>
  <c r="J380" i="38"/>
  <c r="E357" i="38"/>
  <c r="L83" i="35"/>
  <c r="D165" i="38"/>
  <c r="L274" i="35"/>
  <c r="L239" i="35"/>
  <c r="K77" i="35"/>
  <c r="K131" i="35"/>
  <c r="E271" i="38"/>
  <c r="M14" i="35"/>
  <c r="M11" i="37"/>
  <c r="G30" i="38"/>
  <c r="E91" i="38"/>
  <c r="E242" i="38"/>
  <c r="F37" i="38"/>
  <c r="L210" i="35"/>
  <c r="E64" i="38"/>
  <c r="M362" i="35"/>
  <c r="D216" i="38"/>
  <c r="E358" i="38"/>
  <c r="G385" i="38"/>
  <c r="M309" i="35"/>
  <c r="E262" i="38"/>
  <c r="P23" i="37"/>
  <c r="E203" i="38"/>
  <c r="D193" i="38"/>
  <c r="E264" i="38"/>
  <c r="E47" i="38"/>
  <c r="E402" i="38"/>
  <c r="E275" i="38"/>
  <c r="Q22" i="37"/>
  <c r="G13" i="38"/>
  <c r="D291" i="38"/>
  <c r="E202" i="38"/>
  <c r="J113" i="35"/>
  <c r="I380" i="38"/>
  <c r="G63" i="38"/>
  <c r="F398" i="38"/>
  <c r="F21" i="38"/>
  <c r="M53" i="35"/>
  <c r="E114" i="38"/>
  <c r="L375" i="35"/>
  <c r="M199" i="35"/>
  <c r="E223" i="38"/>
  <c r="E401" i="38"/>
  <c r="L356" i="35"/>
  <c r="K34" i="35"/>
  <c r="E303" i="38"/>
  <c r="D161" i="38"/>
  <c r="G38" i="38"/>
  <c r="N6" i="37"/>
  <c r="E257" i="38"/>
  <c r="D256" i="38"/>
  <c r="M113" i="35"/>
  <c r="M208" i="35"/>
  <c r="E89" i="38"/>
  <c r="G387" i="38"/>
  <c r="K399" i="38"/>
  <c r="M374" i="35"/>
  <c r="D163" i="38"/>
  <c r="L8" i="37"/>
  <c r="L41" i="35"/>
  <c r="G394" i="38"/>
  <c r="D304" i="38"/>
  <c r="M161" i="35"/>
  <c r="L284" i="35"/>
  <c r="K87" i="35"/>
  <c r="D174" i="38"/>
  <c r="D11" i="38"/>
  <c r="E367" i="38"/>
  <c r="L132" i="35"/>
  <c r="D230" i="38"/>
  <c r="L126" i="35"/>
  <c r="L342" i="35"/>
  <c r="J91" i="35"/>
  <c r="K107" i="35"/>
  <c r="L193" i="35"/>
  <c r="E177" i="38"/>
  <c r="E75" i="38"/>
  <c r="M285" i="35"/>
  <c r="L174" i="35"/>
  <c r="M227" i="35"/>
  <c r="G9" i="38"/>
  <c r="M328" i="35"/>
  <c r="D175" i="38"/>
  <c r="M129" i="35"/>
  <c r="L84" i="35"/>
  <c r="E286" i="38"/>
  <c r="L25" i="35"/>
  <c r="D151" i="38"/>
  <c r="D145" i="38"/>
  <c r="N16" i="37"/>
  <c r="I383" i="38"/>
  <c r="L79" i="35"/>
  <c r="K69" i="35"/>
  <c r="K78" i="35"/>
  <c r="D364" i="38"/>
  <c r="D176" i="38"/>
  <c r="G29" i="38"/>
  <c r="J88" i="35"/>
  <c r="E133" i="38"/>
  <c r="D148" i="38"/>
  <c r="M324" i="35"/>
  <c r="J89" i="35"/>
  <c r="D158" i="38"/>
  <c r="L13" i="35"/>
  <c r="J11" i="35"/>
  <c r="L68" i="35"/>
  <c r="E382" i="38"/>
  <c r="K61" i="35"/>
  <c r="D391" i="38"/>
  <c r="Q10" i="37"/>
  <c r="K17" i="35"/>
  <c r="E69" i="38"/>
  <c r="L291" i="35"/>
  <c r="M224" i="35"/>
  <c r="J73" i="35"/>
  <c r="J118" i="35"/>
  <c r="M262" i="35"/>
  <c r="O6" i="37"/>
  <c r="E221" i="38"/>
  <c r="O7" i="37"/>
  <c r="L186" i="35"/>
  <c r="G40" i="38"/>
  <c r="D114" i="38"/>
  <c r="L91" i="35"/>
  <c r="M55" i="35"/>
  <c r="L312" i="35"/>
  <c r="G396" i="38"/>
  <c r="D20" i="38"/>
  <c r="L53" i="35"/>
  <c r="L145" i="35"/>
  <c r="J393" i="38"/>
  <c r="J98" i="35"/>
  <c r="K86" i="35"/>
  <c r="E175" i="38"/>
  <c r="M177" i="35"/>
  <c r="E232" i="38"/>
  <c r="M68" i="35"/>
  <c r="E332" i="38"/>
  <c r="D182" i="38"/>
  <c r="E308" i="38"/>
  <c r="L3" i="37"/>
  <c r="E204" i="38"/>
  <c r="F16" i="38"/>
  <c r="D245" i="38"/>
  <c r="E159" i="38"/>
  <c r="N12" i="37"/>
  <c r="D13" i="38"/>
  <c r="E165" i="38"/>
  <c r="K24" i="35"/>
  <c r="M305" i="35"/>
  <c r="O12" i="37"/>
  <c r="J7" i="37"/>
  <c r="N11" i="37"/>
  <c r="K121" i="35"/>
  <c r="L133" i="35"/>
  <c r="L337" i="35"/>
  <c r="L153" i="35"/>
  <c r="M356" i="35"/>
  <c r="D65" i="38"/>
  <c r="M7" i="35"/>
  <c r="K106" i="35"/>
  <c r="E298" i="38"/>
  <c r="D51" i="38"/>
  <c r="M315" i="35"/>
  <c r="D275" i="38"/>
  <c r="L377" i="35"/>
  <c r="E214" i="38"/>
  <c r="M21" i="37"/>
  <c r="E201" i="38"/>
  <c r="D213" i="38"/>
  <c r="J5" i="37"/>
  <c r="M170" i="35"/>
  <c r="K390" i="38"/>
  <c r="E207" i="38"/>
  <c r="M372" i="35"/>
  <c r="L175" i="35"/>
  <c r="D119" i="38"/>
  <c r="M34" i="35"/>
  <c r="K16" i="35"/>
  <c r="J28" i="35"/>
  <c r="E253" i="38"/>
  <c r="P16" i="37"/>
  <c r="G51" i="38"/>
  <c r="D196" i="38"/>
  <c r="G59" i="38"/>
  <c r="D80" i="38"/>
  <c r="E210" i="38"/>
  <c r="L261" i="35"/>
  <c r="L155" i="35"/>
  <c r="M203" i="35"/>
  <c r="E180" i="38"/>
  <c r="M18" i="37"/>
  <c r="L113" i="35"/>
  <c r="J31" i="35"/>
  <c r="E20" i="38"/>
  <c r="D263" i="38"/>
  <c r="K126" i="35"/>
  <c r="G52" i="38"/>
  <c r="O20" i="37"/>
  <c r="J57" i="35"/>
  <c r="D368" i="38"/>
  <c r="D343" i="38"/>
  <c r="O21" i="37"/>
  <c r="D17" i="38"/>
  <c r="E44" i="38"/>
  <c r="D308" i="38"/>
  <c r="L226" i="35"/>
  <c r="L149" i="35"/>
  <c r="M104" i="35"/>
  <c r="G50" i="38"/>
  <c r="M369" i="35"/>
  <c r="E206" i="38"/>
  <c r="D255" i="38"/>
  <c r="O22" i="37"/>
  <c r="L167" i="35"/>
  <c r="D309" i="38"/>
  <c r="E7" i="38"/>
  <c r="L122" i="35"/>
  <c r="N24" i="37"/>
  <c r="M348" i="35"/>
  <c r="D229" i="38"/>
  <c r="E237" i="38"/>
  <c r="F47" i="38"/>
  <c r="O11" i="37"/>
  <c r="E167" i="38"/>
  <c r="D49" i="38"/>
  <c r="E51" i="38"/>
  <c r="M131" i="35"/>
  <c r="D305" i="38"/>
  <c r="M351" i="35"/>
  <c r="H396" i="38"/>
  <c r="L329" i="35"/>
  <c r="P7" i="37"/>
  <c r="L195" i="35"/>
  <c r="L10" i="37"/>
  <c r="N23" i="37"/>
  <c r="E323" i="38"/>
  <c r="G64" i="38"/>
  <c r="M5" i="35"/>
  <c r="E72" i="38"/>
  <c r="F387" i="38"/>
  <c r="E331" i="38"/>
  <c r="E152" i="38"/>
  <c r="E260" i="38"/>
  <c r="E27" i="38"/>
  <c r="D355" i="38"/>
  <c r="K13" i="35"/>
  <c r="L6" i="37"/>
  <c r="M289" i="35"/>
  <c r="L39" i="35"/>
  <c r="J6" i="35"/>
  <c r="M57" i="35"/>
  <c r="M316" i="35"/>
  <c r="M244" i="35"/>
  <c r="M261" i="35"/>
  <c r="E86" i="38"/>
  <c r="E258" i="38"/>
  <c r="E122" i="38"/>
  <c r="E136" i="38"/>
  <c r="L47" i="35"/>
  <c r="M96" i="35"/>
  <c r="L85" i="35"/>
  <c r="E294" i="38"/>
  <c r="M103" i="35"/>
  <c r="E209" i="38"/>
  <c r="L344" i="35"/>
  <c r="M194" i="35"/>
  <c r="K23" i="37"/>
  <c r="J2" i="37"/>
  <c r="F42" i="38"/>
  <c r="M196" i="35"/>
  <c r="D266" i="38"/>
  <c r="K14" i="35"/>
  <c r="M220" i="35"/>
  <c r="E11" i="38"/>
  <c r="D202" i="38"/>
  <c r="J19" i="37"/>
  <c r="D293" i="38"/>
  <c r="E388" i="38"/>
  <c r="L9" i="37"/>
  <c r="D226" i="38"/>
  <c r="D71" i="38"/>
  <c r="L214" i="35"/>
  <c r="K40" i="35"/>
  <c r="D195" i="38"/>
  <c r="K48" i="35"/>
  <c r="L372" i="35"/>
  <c r="F58" i="38"/>
  <c r="E322" i="38"/>
  <c r="D78" i="38"/>
  <c r="M375" i="35"/>
  <c r="J65" i="35"/>
  <c r="D9" i="38"/>
  <c r="D75" i="38"/>
  <c r="D340" i="38"/>
  <c r="J63" i="35"/>
  <c r="J85" i="35"/>
  <c r="M333" i="35"/>
  <c r="D376" i="38"/>
  <c r="D257" i="38"/>
  <c r="E113" i="38"/>
  <c r="D185" i="38"/>
  <c r="F3" i="38"/>
  <c r="K23" i="35"/>
  <c r="J17" i="37"/>
  <c r="M54" i="35"/>
  <c r="L43" i="35"/>
  <c r="E181" i="38"/>
  <c r="I400" i="38"/>
  <c r="J126" i="35"/>
  <c r="M174" i="35"/>
  <c r="M346" i="35"/>
  <c r="J389" i="38"/>
  <c r="L254" i="35"/>
  <c r="J97" i="35"/>
  <c r="D235" i="38"/>
  <c r="M363" i="35"/>
  <c r="Q12" i="37"/>
  <c r="G49" i="38"/>
  <c r="L50" i="35"/>
  <c r="J54" i="35"/>
  <c r="L237" i="35"/>
  <c r="G53" i="38"/>
  <c r="K12" i="37"/>
  <c r="L12" i="37"/>
  <c r="D183" i="38"/>
  <c r="L277" i="35"/>
  <c r="O9" i="37"/>
  <c r="L61" i="35"/>
  <c r="E135" i="38"/>
  <c r="E344" i="38"/>
  <c r="D367" i="38"/>
  <c r="M353" i="35"/>
  <c r="J21" i="37"/>
  <c r="F57" i="38"/>
  <c r="M137" i="35"/>
  <c r="D314" i="38"/>
  <c r="K11" i="37"/>
  <c r="E46" i="38"/>
  <c r="K97" i="35"/>
  <c r="J75" i="35"/>
  <c r="K63" i="35"/>
  <c r="D258" i="38"/>
  <c r="M190" i="35"/>
  <c r="D327" i="38"/>
  <c r="E359" i="38"/>
  <c r="E317" i="38"/>
  <c r="L236" i="35"/>
  <c r="D21" i="38"/>
  <c r="E200" i="38"/>
  <c r="M17" i="35"/>
  <c r="M168" i="35"/>
  <c r="L107" i="35"/>
  <c r="L7" i="37"/>
  <c r="L287" i="35"/>
  <c r="M111" i="35"/>
  <c r="L134" i="35"/>
  <c r="D262" i="38"/>
  <c r="D223" i="38"/>
  <c r="E320" i="38"/>
  <c r="E45" i="38"/>
  <c r="E48" i="38"/>
  <c r="D354" i="38"/>
  <c r="L74" i="35"/>
  <c r="M240" i="35"/>
  <c r="D356" i="38"/>
  <c r="E248" i="38"/>
  <c r="D32" i="38"/>
  <c r="M321" i="35"/>
  <c r="E287" i="38"/>
  <c r="E239" i="38"/>
  <c r="P4" i="37"/>
  <c r="L199" i="35"/>
  <c r="M286" i="35"/>
  <c r="L185" i="35"/>
  <c r="K49" i="35"/>
  <c r="M117" i="35"/>
  <c r="O8" i="37"/>
  <c r="L121" i="35"/>
  <c r="L161" i="35"/>
  <c r="D138" i="38"/>
  <c r="F9" i="38"/>
  <c r="L340" i="35"/>
  <c r="D40" i="38"/>
  <c r="M260" i="35"/>
  <c r="K392" i="38"/>
  <c r="H399" i="38"/>
  <c r="D92" i="38"/>
  <c r="E218" i="38"/>
  <c r="K114" i="35"/>
  <c r="M8" i="35"/>
  <c r="E57" i="38"/>
  <c r="E151" i="38"/>
  <c r="L275" i="35"/>
  <c r="E256" i="38"/>
  <c r="L288" i="35"/>
  <c r="L30" i="35"/>
  <c r="E23" i="38"/>
  <c r="G380" i="38"/>
  <c r="D380" i="38"/>
  <c r="L15" i="37"/>
  <c r="E103" i="38"/>
  <c r="M313" i="35"/>
  <c r="L296" i="35"/>
  <c r="E182" i="38"/>
  <c r="E360" i="38"/>
  <c r="L231" i="35"/>
  <c r="E78" i="38"/>
  <c r="L162" i="35"/>
  <c r="M95" i="35"/>
  <c r="L322" i="35"/>
  <c r="D29" i="38"/>
  <c r="L298" i="35"/>
  <c r="K102" i="35"/>
  <c r="D389" i="38"/>
  <c r="M352" i="35"/>
  <c r="L21" i="37"/>
  <c r="D285" i="38"/>
  <c r="L272" i="35"/>
  <c r="M10" i="37"/>
  <c r="J12" i="35"/>
  <c r="J107" i="35"/>
  <c r="E226" i="38"/>
  <c r="F20" i="38"/>
  <c r="D34" i="38"/>
  <c r="E301" i="38"/>
  <c r="L22" i="37"/>
  <c r="D149" i="38"/>
  <c r="D167" i="38"/>
  <c r="E240" i="38"/>
  <c r="F41" i="38"/>
  <c r="E305" i="38"/>
  <c r="K7" i="37"/>
  <c r="L57" i="35"/>
  <c r="M67" i="35"/>
  <c r="K54" i="35"/>
  <c r="K5" i="35"/>
  <c r="E243" i="38"/>
  <c r="D336" i="38"/>
  <c r="L280" i="35"/>
  <c r="Q21" i="37"/>
  <c r="E88" i="38"/>
  <c r="M33" i="35"/>
  <c r="L180" i="35"/>
  <c r="E102" i="38"/>
  <c r="L164" i="35"/>
  <c r="G34" i="38"/>
  <c r="M249" i="35"/>
  <c r="M80" i="35"/>
  <c r="F39" i="38"/>
  <c r="N17" i="37"/>
  <c r="D306" i="38"/>
  <c r="E326" i="38"/>
  <c r="M17" i="37"/>
  <c r="J67" i="35"/>
  <c r="K11" i="35"/>
  <c r="E193" i="38"/>
  <c r="M19" i="35"/>
  <c r="D381" i="38"/>
  <c r="M376" i="35"/>
  <c r="E16" i="38"/>
  <c r="J29" i="35"/>
  <c r="E341" i="38"/>
  <c r="L366" i="35"/>
  <c r="J16" i="37"/>
  <c r="M232" i="35"/>
  <c r="L18" i="35"/>
  <c r="K96" i="35"/>
  <c r="J93" i="35"/>
  <c r="F23" i="38"/>
  <c r="D214" i="38"/>
  <c r="F382" i="38"/>
  <c r="E87" i="38"/>
  <c r="M275" i="35"/>
  <c r="M255" i="35"/>
  <c r="D288" i="38"/>
  <c r="L9" i="35"/>
  <c r="L270" i="35"/>
  <c r="E68" i="38"/>
  <c r="D42" i="38"/>
  <c r="E233" i="38"/>
  <c r="J53" i="35"/>
  <c r="F35" i="38"/>
  <c r="L364" i="35"/>
  <c r="G42" i="38"/>
  <c r="F43" i="38"/>
  <c r="L5" i="37"/>
  <c r="D14" i="38"/>
  <c r="E134" i="38"/>
  <c r="J95" i="35"/>
  <c r="D107" i="38"/>
  <c r="J387" i="38"/>
  <c r="M197" i="35"/>
  <c r="D150" i="38"/>
  <c r="N21" i="37"/>
  <c r="L52" i="35"/>
  <c r="L89" i="35"/>
  <c r="M88" i="35"/>
  <c r="E138" i="38"/>
  <c r="M269" i="35"/>
  <c r="L171" i="35"/>
  <c r="H380" i="38"/>
  <c r="D387" i="38"/>
  <c r="L151" i="35"/>
  <c r="J60" i="35"/>
  <c r="M347" i="35"/>
  <c r="K401" i="38"/>
  <c r="D15" i="38"/>
  <c r="L252" i="35"/>
  <c r="M116" i="35"/>
  <c r="L156" i="35"/>
  <c r="J7" i="35"/>
  <c r="F61" i="38"/>
  <c r="D168" i="38"/>
  <c r="F399" i="38"/>
  <c r="D207" i="38"/>
  <c r="L51" i="35"/>
  <c r="D39" i="38"/>
  <c r="K6" i="37"/>
  <c r="D349" i="38"/>
  <c r="F50" i="38"/>
  <c r="L232" i="35"/>
  <c r="M179" i="35"/>
  <c r="E66" i="38"/>
  <c r="E302" i="38"/>
  <c r="E380" i="38"/>
  <c r="E361" i="38"/>
  <c r="D319" i="38"/>
  <c r="E284" i="38"/>
  <c r="L88" i="35"/>
  <c r="L222" i="35"/>
  <c r="D337" i="38"/>
  <c r="M109" i="35"/>
  <c r="M237" i="35"/>
  <c r="L181" i="35"/>
  <c r="K41" i="35"/>
  <c r="J32" i="35"/>
  <c r="L97" i="35"/>
  <c r="E130" i="38"/>
  <c r="E132" i="38"/>
  <c r="E350" i="38"/>
  <c r="M332" i="35"/>
  <c r="E101" i="38"/>
  <c r="J22" i="35"/>
  <c r="E108" i="38"/>
  <c r="E40" i="38"/>
  <c r="L77" i="35"/>
  <c r="M281" i="35"/>
  <c r="K395" i="38"/>
  <c r="M78" i="35"/>
  <c r="D192" i="38"/>
  <c r="M16" i="37"/>
  <c r="M230" i="35"/>
  <c r="L311" i="35"/>
  <c r="M148" i="35"/>
  <c r="E55" i="38"/>
  <c r="L14" i="35"/>
  <c r="E222" i="38"/>
  <c r="J90" i="35"/>
  <c r="E96" i="38"/>
  <c r="D217" i="38"/>
  <c r="J22" i="37"/>
  <c r="E370" i="38"/>
  <c r="E128" i="38"/>
  <c r="E2" i="38"/>
  <c r="F401" i="38"/>
  <c r="L160" i="35"/>
  <c r="M12" i="37"/>
  <c r="E379" i="38"/>
  <c r="M110" i="35"/>
  <c r="D273" i="38"/>
  <c r="J51" i="35"/>
  <c r="E172" i="38"/>
  <c r="J116" i="35"/>
  <c r="M9" i="35"/>
  <c r="E194" i="38"/>
  <c r="L285" i="35"/>
  <c r="E191" i="38"/>
  <c r="M115" i="35"/>
  <c r="L136" i="35"/>
  <c r="D390" i="38"/>
  <c r="L283" i="35"/>
  <c r="D2" i="38"/>
  <c r="E307" i="38"/>
  <c r="H384" i="38"/>
  <c r="F393" i="38"/>
  <c r="L8" i="35"/>
  <c r="L203" i="35"/>
  <c r="M273" i="35"/>
  <c r="M21" i="35"/>
  <c r="J74" i="35"/>
  <c r="L158" i="35"/>
  <c r="K13" i="37"/>
  <c r="M71" i="35"/>
  <c r="D232" i="38"/>
  <c r="D281" i="38"/>
  <c r="L365" i="35"/>
  <c r="K6" i="35"/>
  <c r="M176" i="35"/>
  <c r="D385" i="38"/>
  <c r="L16" i="37"/>
  <c r="L204" i="35"/>
  <c r="E399" i="38"/>
  <c r="L23" i="35"/>
  <c r="L66" i="35"/>
  <c r="D219" i="38"/>
  <c r="E10" i="38"/>
  <c r="F45" i="38"/>
  <c r="J401" i="38"/>
  <c r="D110" i="38"/>
  <c r="K18" i="37"/>
  <c r="H391" i="38"/>
  <c r="L64" i="35"/>
  <c r="E6" i="38"/>
  <c r="D186" i="38"/>
  <c r="K82" i="35"/>
  <c r="K110" i="35"/>
  <c r="D47" i="38"/>
  <c r="E354" i="38"/>
  <c r="E32" i="38"/>
  <c r="E212" i="38"/>
  <c r="M84" i="35"/>
  <c r="L130" i="35"/>
  <c r="L263" i="35"/>
  <c r="K70" i="35"/>
  <c r="M359" i="35"/>
  <c r="J4" i="37"/>
  <c r="M24" i="37"/>
  <c r="K10" i="37"/>
  <c r="K85" i="35"/>
  <c r="E28" i="38"/>
  <c r="P3" i="37"/>
  <c r="E84" i="38"/>
  <c r="M294" i="35"/>
  <c r="E299" i="38"/>
  <c r="L10" i="35"/>
  <c r="L273" i="35"/>
  <c r="L324" i="35"/>
  <c r="M329" i="35"/>
  <c r="L265" i="35"/>
  <c r="D251" i="38"/>
  <c r="L220" i="35"/>
  <c r="F53" i="38"/>
  <c r="D131" i="38"/>
  <c r="K30" i="35"/>
  <c r="J36" i="35"/>
  <c r="F63" i="38"/>
  <c r="E25" i="38"/>
  <c r="F18" i="38"/>
  <c r="Q17" i="37"/>
  <c r="L216" i="35"/>
  <c r="D45" i="38"/>
  <c r="K84" i="35"/>
  <c r="G54" i="38"/>
  <c r="F24" i="38"/>
  <c r="E279" i="38"/>
  <c r="L4" i="37"/>
  <c r="K83" i="35"/>
  <c r="F59" i="38"/>
  <c r="L310" i="35"/>
  <c r="G25" i="38"/>
  <c r="E186" i="38"/>
  <c r="E290" i="38"/>
  <c r="G61" i="38"/>
  <c r="L172" i="35"/>
  <c r="L165" i="35"/>
  <c r="G33" i="38"/>
  <c r="D88" i="38"/>
  <c r="O4" i="37"/>
  <c r="M340" i="35"/>
  <c r="L361" i="35"/>
  <c r="K130" i="35"/>
  <c r="K18" i="35"/>
  <c r="E216" i="38"/>
  <c r="L90" i="35"/>
  <c r="K15" i="37"/>
  <c r="L262" i="35"/>
  <c r="E351" i="38"/>
  <c r="M50" i="35"/>
  <c r="E313" i="38"/>
  <c r="I392" i="38"/>
  <c r="E56" i="38"/>
  <c r="E93" i="38"/>
  <c r="D278" i="38"/>
  <c r="J3" i="35"/>
  <c r="J384" i="38"/>
  <c r="N8" i="37"/>
  <c r="E311" i="38"/>
  <c r="O18" i="37"/>
  <c r="E342" i="38"/>
  <c r="L282" i="35"/>
  <c r="L200" i="35"/>
  <c r="J87" i="35"/>
  <c r="F34" i="38"/>
  <c r="M173" i="35"/>
  <c r="D301" i="38"/>
  <c r="E310" i="38"/>
  <c r="D400" i="38"/>
  <c r="D118" i="38"/>
  <c r="D81" i="38"/>
  <c r="E276" i="38"/>
  <c r="D46" i="38"/>
  <c r="K10" i="35"/>
  <c r="D269" i="38"/>
  <c r="M150" i="35"/>
  <c r="E33" i="38"/>
  <c r="M278" i="35"/>
  <c r="F13" i="38"/>
  <c r="D181" i="38"/>
  <c r="M257" i="35"/>
  <c r="D103" i="38"/>
  <c r="D84" i="38"/>
  <c r="M218" i="35"/>
  <c r="G35" i="38"/>
  <c r="E273" i="38"/>
  <c r="E283" i="38"/>
  <c r="M247" i="35"/>
  <c r="E118" i="38"/>
  <c r="L127" i="35"/>
  <c r="H394" i="38"/>
  <c r="L215" i="35"/>
  <c r="G391" i="38"/>
  <c r="L71" i="35"/>
  <c r="E187" i="38"/>
  <c r="G57" i="38"/>
  <c r="J125" i="35"/>
  <c r="F392" i="38"/>
  <c r="L129" i="35"/>
  <c r="M42" i="35"/>
  <c r="J8" i="37"/>
  <c r="D280" i="38"/>
  <c r="L264" i="35"/>
  <c r="E61" i="38"/>
  <c r="Q4" i="37"/>
  <c r="D265" i="38"/>
  <c r="L213" i="35"/>
  <c r="G16" i="38"/>
  <c r="D320" i="38"/>
  <c r="D384" i="38"/>
  <c r="E94" i="38"/>
  <c r="E116" i="38"/>
  <c r="J50" i="35"/>
  <c r="J121" i="35"/>
  <c r="J48" i="35"/>
  <c r="P19" i="37"/>
  <c r="L318" i="35"/>
  <c r="F394" i="38"/>
  <c r="D90" i="38"/>
  <c r="D315" i="38"/>
  <c r="E178" i="38"/>
  <c r="J103" i="35"/>
  <c r="Q24" i="37"/>
  <c r="D393" i="38"/>
  <c r="L109" i="35"/>
  <c r="E371" i="38"/>
  <c r="D137" i="38"/>
  <c r="M243" i="35"/>
  <c r="M342" i="35"/>
  <c r="G28" i="38"/>
  <c r="F5" i="38"/>
  <c r="K9" i="37"/>
  <c r="M233" i="35"/>
  <c r="D203" i="38"/>
  <c r="D155" i="38"/>
  <c r="M209" i="35"/>
  <c r="D76" i="38"/>
  <c r="M52" i="35"/>
  <c r="D250" i="38"/>
  <c r="Q20" i="37"/>
  <c r="M368" i="35"/>
  <c r="L258" i="35"/>
  <c r="L184" i="35"/>
  <c r="F386" i="38"/>
  <c r="E217" i="38"/>
  <c r="M215" i="35"/>
  <c r="J381" i="38"/>
  <c r="D133" i="38"/>
  <c r="J102" i="35"/>
  <c r="D16" i="38"/>
  <c r="M252" i="35"/>
  <c r="L154" i="35"/>
  <c r="J130" i="35"/>
  <c r="E105" i="38"/>
  <c r="M24" i="35"/>
  <c r="M22" i="37"/>
  <c r="J100" i="35"/>
  <c r="L111" i="35"/>
  <c r="L235" i="35"/>
  <c r="M23" i="37"/>
  <c r="G66" i="38"/>
  <c r="M123" i="35"/>
  <c r="E352" i="38"/>
  <c r="N20" i="37"/>
  <c r="Q13" i="37"/>
  <c r="O15" i="37"/>
  <c r="M26" i="35"/>
  <c r="P18" i="37"/>
  <c r="M298" i="35"/>
  <c r="J13" i="37"/>
  <c r="M364" i="35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 shape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 shape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<sst xmlns="http://schemas.openxmlformats.org/spreadsheetml/2006/main" count="3327" uniqueCount="2065">
  <si>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</si>
  <si>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</si>
  <si>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</si>
  <si>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</si>
  <si>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</si>
  <si>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</si>
  <si>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</si>
  <si>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</si>
  <si>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</si>
  <si>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</si>
  <si>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</si>
  <si>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</si>
  <si>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</si>
  <si>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</si>
  <si>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</si>
  <si>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</si>
  <si>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</si>
  <si>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</si>
  <si>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</si>
  <si>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</si>
  <si>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</si>
  <si>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</si>
  <si>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</si>
  <si>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</si>
  <si>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</si>
  <si>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</si>
  <si>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</si>
  <si>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</si>
  <si>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</si>
  <si>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</si>
  <si>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</si>
  <si>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</si>
  <si>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</si>
  <si>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</si>
  <si>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</si>
  <si>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</si>
  <si>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</si>
  <si>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</si>
  <si>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</si>
  <si>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</si>
  <si>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</si>
  <si>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</si>
  <si>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</si>
  <si>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</si>
  <si>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</si>
  <si>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</si>
  <si>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</si>
  <si>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</si>
  <si>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</si>
  <si>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</si>
  <si>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</si>
  <si>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</si>
  <si>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</si>
  <si>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</si>
  <si>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</si>
  <si>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</si>
  <si>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</si>
  <si>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</si>
  <si>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</si>
  <si>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</si>
  <si>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</si>
  <si>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</si>
  <si>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</si>
  <si>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</si>
  <si>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</si>
  <si>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</si>
  <si>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</si>
  <si>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</si>
  <si>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</si>
  <si>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</si>
  <si>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</si>
  <si>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</si>
  <si>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</si>
  <si>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</si>
  <si>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</si>
  <si>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</si>
  <si>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</si>
  <si>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</si>
  <si>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</si>
  <si>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</si>
  <si>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</si>
  <si>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</si>
  <si>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</si>
  <si>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</si>
  <si>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</si>
  <si>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</si>
  <si>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</si>
  <si>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</si>
  <si>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</si>
  <si>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</si>
  <si>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</si>
  <si>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</si>
  <si>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</si>
  <si>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</si>
  <si>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</si>
  <si>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</si>
  <si>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</si>
  <si>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</si>
  <si>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</si>
  <si>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</si>
  <si>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</si>
  <si>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</si>
  <si>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</si>
  <si>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</si>
  <si>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</si>
  <si>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</si>
  <si>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</si>
  <si>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</si>
  <si>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</si>
  <si>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</si>
  <si>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</si>
  <si>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</si>
  <si>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</si>
  <si>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</si>
  <si>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</si>
  <si>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</si>
  <si>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</si>
  <si>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</si>
  <si>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</si>
  <si>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</si>
  <si>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</si>
  <si>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</si>
  <si>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</si>
  <si>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</si>
  <si>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</si>
  <si>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</si>
  <si>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</si>
  <si>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</si>
  <si>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</si>
  <si>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</si>
  <si>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</si>
  <si>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</si>
  <si>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</si>
  <si>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</si>
  <si>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</si>
  <si>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</si>
  <si>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</si>
  <si>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</si>
  <si>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</si>
  <si>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</si>
  <si>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</si>
  <si>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</si>
  <si>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</si>
  <si>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</si>
  <si>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</si>
  <si>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</si>
  <si>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</si>
  <si>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</si>
  <si>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</si>
  <si>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</si>
  <si>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</si>
  <si>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</si>
  <si>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</si>
  <si>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</si>
  <si>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</si>
  <si>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</si>
  <si>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</si>
  <si>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</si>
  <si>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</si>
  <si>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</si>
  <si>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</si>
  <si>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</si>
  <si>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</si>
  <si>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</si>
  <si>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</si>
  <si>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</si>
  <si>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</si>
  <si>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</si>
  <si>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</si>
  <si>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</si>
  <si>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</si>
  <si>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</si>
  <si>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</si>
  <si>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</si>
  <si>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</si>
  <si>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</si>
  <si>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</si>
  <si>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</si>
  <si>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</si>
  <si>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</si>
  <si>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</si>
  <si>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</si>
  <si>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</si>
  <si>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</si>
  <si>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</si>
  <si>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</si>
  <si>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</si>
  <si>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</si>
  <si>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</si>
  <si>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</si>
  <si>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</si>
  <si>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</si>
  <si>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</si>
  <si>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</si>
  <si>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</si>
  <si>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</si>
  <si>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</si>
  <si>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</si>
  <si>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</si>
  <si>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</si>
  <si>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</si>
  <si>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</si>
  <si>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</si>
  <si>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</si>
  <si>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</si>
  <si>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</si>
  <si>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</si>
  <si>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</si>
  <si>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</si>
  <si>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</si>
  <si>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</si>
  <si>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</si>
  <si>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</si>
  <si>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</si>
  <si>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</si>
  <si>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</si>
  <si>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</si>
  <si>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</si>
  <si>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</si>
  <si>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</si>
  <si>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</si>
  <si>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</si>
  <si>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</si>
  <si>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</si>
  <si>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</si>
  <si>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</si>
  <si>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</si>
  <si>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</si>
  <si>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</si>
  <si>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</si>
  <si>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</si>
  <si>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</si>
  <si>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</si>
  <si>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</si>
  <si>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</si>
  <si>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</si>
  <si>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</si>
  <si>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</si>
  <si>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</si>
  <si>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</si>
  <si>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</si>
  <si>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</si>
  <si>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</si>
  <si>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</si>
  <si>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</si>
  <si>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</si>
  <si>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</si>
  <si>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</si>
  <si>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</si>
  <si>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</si>
  <si>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</si>
  <si>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</si>
  <si>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</si>
  <si>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</si>
  <si>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</si>
  <si>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</si>
  <si>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</si>
  <si>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</si>
  <si>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</si>
  <si>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</si>
  <si>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</si>
  <si>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</si>
  <si>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</si>
  <si>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</si>
  <si>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</si>
  <si>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</si>
  <si>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</si>
  <si>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</si>
  <si>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</si>
  <si>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</si>
  <si>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</si>
  <si>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</si>
  <si>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</si>
  <si>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</si>
  <si>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</si>
  <si>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</si>
  <si>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</si>
  <si>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</si>
  <si>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</si>
  <si>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</si>
  <si>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</si>
  <si>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</si>
  <si>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</si>
  <si>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</si>
  <si>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</si>
  <si>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</si>
  <si>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</si>
  <si>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</si>
  <si>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</si>
  <si>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</si>
  <si>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</si>
  <si>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</si>
  <si>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</si>
  <si>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</si>
  <si>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</si>
  <si>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</si>
  <si>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</si>
  <si>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</si>
  <si>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</si>
  <si>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</si>
  <si>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</si>
  <si>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</si>
  <si>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</si>
  <si>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</si>
  <si>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</si>
  <si>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</si>
  <si>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</si>
  <si>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</si>
  <si>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</si>
  <si>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</si>
  <si>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</si>
  <si>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</si>
  <si>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</si>
  <si>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</si>
  <si>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</si>
  <si>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</si>
  <si>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</si>
  <si>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</si>
  <si>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</si>
  <si>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</si>
  <si>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</si>
  <si>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</si>
  <si>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</si>
  <si>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</si>
  <si>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</si>
  <si>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</si>
  <si>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</si>
  <si>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</si>
  <si>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</si>
  <si>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</si>
  <si>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</si>
  <si>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</si>
  <si>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</si>
  <si>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</si>
  <si>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</si>
  <si>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</si>
  <si>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</si>
  <si>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</si>
  <si>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</si>
  <si>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</si>
  <si>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</si>
  <si>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</si>
  <si>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</si>
  <si>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</si>
  <si>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</si>
  <si>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</si>
  <si>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</si>
  <si>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</si>
  <si>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</si>
  <si>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</si>
  <si>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</si>
  <si>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</si>
  <si>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</si>
  <si>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</si>
  <si>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</si>
  <si>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</si>
  <si>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</si>
  <si>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</si>
  <si>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</si>
  <si>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</si>
  <si>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</si>
  <si>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</si>
  <si>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</si>
  <si>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</si>
  <si>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</si>
  <si>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</si>
  <si>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</si>
  <si>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</si>
  <si>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</si>
  <si>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</si>
  <si>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</si>
  <si>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</si>
  <si>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</si>
  <si>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</si>
  <si>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</si>
  <si>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</si>
  <si>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</si>
  <si>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</si>
  <si>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</si>
  <si>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</si>
  <si>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</si>
  <si>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</si>
  <si>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</si>
  <si>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</si>
  <si>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</si>
  <si>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</si>
  <si>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</si>
  <si>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</si>
  <si>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</si>
  <si>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</si>
  <si>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</si>
  <si>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</si>
  <si>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</si>
  <si>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</si>
  <si>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</si>
  <si>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</si>
  <si>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</si>
  <si>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</si>
  <si>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</si>
  <si>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</si>
  <si>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</si>
  <si>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</si>
  <si>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</si>
  <si>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</si>
  <si>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</si>
  <si>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</si>
  <si>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</si>
  <si>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</si>
  <si>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</si>
  <si>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</si>
  <si>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</si>
  <si>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</si>
  <si>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</si>
  <si>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</si>
  <si>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</si>
  <si>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</si>
  <si>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</si>
  <si>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</si>
  <si>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</si>
  <si>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</si>
  <si>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</si>
  <si>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</si>
  <si>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</si>
  <si>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</si>
  <si>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</si>
  <si>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</si>
  <si>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</si>
  <si>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</si>
  <si>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</si>
  <si>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</si>
  <si>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</si>
  <si>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</si>
  <si>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</si>
  <si>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</si>
  <si>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</si>
  <si>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</si>
  <si>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</si>
  <si>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</si>
  <si>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</si>
  <si>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</si>
  <si>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</si>
  <si>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</si>
  <si>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</si>
  <si>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</si>
  <si>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</si>
  <si>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</si>
  <si>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</si>
  <si>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</si>
  <si>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</si>
  <si>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</si>
  <si>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</si>
  <si>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</si>
  <si>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</si>
  <si>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</si>
  <si>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</si>
  <si>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</si>
  <si>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</si>
  <si>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</si>
  <si>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</si>
  <si>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</si>
  <si>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</si>
  <si>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</si>
  <si>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</si>
  <si>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</si>
  <si>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</si>
  <si>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</si>
  <si>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</si>
  <si>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</si>
  <si>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</si>
  <si>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</si>
  <si>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</si>
  <si>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</si>
  <si>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</si>
  <si>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</si>
  <si>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</si>
  <si>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</si>
  <si>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</si>
  <si>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</si>
  <si>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</si>
  <si>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</si>
  <si>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</si>
  <si>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</si>
  <si>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</si>
  <si>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</si>
  <si>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</si>
  <si>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</si>
  <si>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</si>
  <si>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</si>
  <si>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</si>
  <si>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</si>
  <si>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</si>
  <si>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</si>
  <si>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</si>
  <si>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</si>
  <si>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</si>
  <si>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</si>
  <si>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</si>
  <si>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</si>
  <si>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</si>
  <si>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</si>
  <si>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</si>
  <si>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</si>
  <si>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</si>
  <si>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</si>
  <si>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</si>
  <si>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</si>
  <si>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</si>
  <si>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</si>
  <si>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</si>
  <si>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</si>
  <si>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</si>
  <si>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</si>
  <si>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</si>
  <si>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</si>
  <si>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</si>
  <si>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</si>
  <si>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</si>
  <si>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</si>
  <si>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</si>
  <si>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</si>
  <si>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</si>
  <si>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</si>
  <si>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</si>
  <si>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</si>
  <si>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</si>
  <si>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</si>
  <si>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</si>
  <si>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</si>
  <si>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</si>
  <si>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</si>
  <si>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</si>
  <si>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</si>
  <si>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</si>
  <si>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</si>
  <si>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</si>
  <si>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</si>
  <si>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</si>
  <si>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</si>
  <si>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</si>
  <si>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</si>
  <si>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</si>
  <si>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</si>
  <si>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</si>
  <si>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</si>
  <si>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</si>
  <si>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</si>
  <si>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</si>
  <si>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</si>
  <si>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</si>
  <si>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</si>
  <si>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</si>
  <si>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</si>
  <si>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</si>
  <si>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</si>
  <si>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</si>
  <si>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</si>
  <si>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</si>
  <si>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</si>
  <si>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</si>
  <si>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</si>
  <si>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</si>
  <si>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</si>
  <si>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</si>
  <si>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</si>
  <si>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</si>
  <si>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</si>
  <si>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</si>
  <si>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</si>
  <si>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</si>
  <si>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</si>
  <si>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</si>
  <si>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</si>
  <si>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</si>
  <si>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</si>
  <si>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</si>
  <si>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</si>
  <si>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</si>
  <si>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</si>
  <si>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</si>
  <si>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</si>
  <si>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</si>
  <si>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</si>
  <si>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</si>
  <si>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</si>
  <si>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</si>
  <si>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</si>
  <si>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</si>
  <si>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</si>
  <si>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</si>
  <si>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</si>
  <si>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</si>
  <si>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</si>
  <si>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</si>
  <si>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</si>
  <si>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</si>
  <si>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</si>
  <si>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</si>
  <si>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</si>
  <si>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</si>
  <si>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</si>
  <si>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</si>
  <si>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</si>
  <si>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</si>
  <si>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</si>
  <si>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</si>
  <si>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</si>
  <si>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</si>
  <si>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</si>
  <si>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</si>
  <si>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</si>
  <si>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</si>
  <si>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</si>
  <si>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</si>
  <si>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</si>
  <si>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</si>
  <si>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</si>
  <si>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</si>
  <si>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</si>
  <si>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</si>
  <si>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</si>
  <si>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</si>
  <si>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</si>
  <si>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</si>
  <si>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</si>
  <si>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</si>
  <si>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</si>
  <si>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</si>
  <si>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</si>
  <si>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</si>
  <si>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</si>
  <si>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</si>
  <si>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</si>
  <si>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</si>
  <si>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</si>
  <si>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</si>
  <si>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</si>
  <si>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</si>
  <si>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</si>
  <si>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</si>
  <si>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</si>
  <si>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</si>
  <si>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</si>
  <si>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</si>
  <si>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</si>
  <si>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</si>
  <si>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</si>
  <si>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</si>
  <si>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</si>
  <si>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</si>
  <si>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</si>
  <si>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</si>
  <si>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</si>
  <si>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</si>
  <si>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</si>
  <si>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</si>
  <si>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</si>
  <si>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</si>
  <si>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</si>
  <si>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</si>
  <si>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</si>
  <si>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</si>
  <si>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</si>
  <si>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</si>
  <si>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</si>
  <si>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</si>
  <si>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</si>
  <si>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</si>
  <si>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</si>
  <si>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</si>
  <si>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</si>
  <si>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</si>
  <si>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</si>
  <si>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</si>
  <si>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</si>
  <si>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</si>
  <si>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</si>
  <si>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</si>
  <si>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</si>
  <si>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</si>
  <si>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</si>
  <si>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</si>
  <si>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</si>
  <si>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</si>
  <si>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</si>
  <si>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</si>
  <si>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</si>
  <si>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</si>
  <si>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</si>
  <si>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</si>
  <si>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</si>
  <si>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</si>
  <si>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</si>
  <si>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</si>
  <si>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</si>
  <si>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</si>
  <si>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</si>
  <si>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</si>
  <si>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</si>
  <si>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</si>
  <si>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</si>
  <si>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</si>
  <si>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</si>
  <si>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</si>
  <si>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</si>
  <si>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</si>
  <si>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</si>
  <si>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</si>
  <si>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</si>
  <si>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</si>
  <si>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</si>
  <si>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</si>
  <si>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</si>
  <si>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</si>
  <si>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</si>
  <si>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</si>
  <si>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</si>
  <si>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</si>
  <si>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</si>
  <si>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</si>
  <si>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</si>
  <si>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</si>
  <si>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</si>
  <si>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</si>
  <si>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</si>
  <si>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</si>
  <si>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</si>
  <si>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</si>
  <si>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</si>
  <si>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</si>
  <si>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</si>
  <si>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</si>
  <si>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</si>
  <si>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</si>
  <si>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</si>
  <si>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</si>
  <si>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</si>
  <si>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</si>
  <si>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</si>
  <si>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</si>
  <si>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</si>
  <si>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</si>
  <si>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</si>
  <si>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</si>
  <si>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</si>
  <si>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</si>
  <si>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</si>
  <si>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</si>
  <si>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</si>
  <si>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</si>
  <si>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</si>
  <si>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</si>
  <si>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</si>
  <si>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</si>
  <si>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</si>
  <si>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</si>
  <si>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</si>
  <si>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</si>
  <si>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</si>
  <si>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</si>
  <si>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</si>
  <si>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</si>
  <si>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</si>
  <si>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</si>
  <si>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</si>
  <si>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</si>
  <si>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</si>
  <si>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</si>
  <si>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</si>
  <si>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</si>
  <si>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</si>
  <si>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</si>
  <si>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</si>
  <si>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</si>
  <si>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</si>
  <si>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</si>
  <si>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</si>
  <si>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</si>
  <si>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</si>
  <si>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</si>
  <si>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</si>
  <si>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</si>
  <si>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</si>
  <si>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</si>
  <si>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</si>
  <si>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</si>
  <si>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</si>
  <si>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</si>
  <si>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</si>
  <si>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</si>
  <si>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</si>
  <si>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</si>
  <si>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</si>
  <si>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</si>
  <si>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</si>
  <si>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</si>
  <si>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</si>
  <si>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</si>
  <si>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</si>
  <si>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</si>
  <si>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</si>
  <si>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</si>
  <si>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</si>
  <si>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</si>
  <si>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</si>
  <si>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</si>
  <si>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</si>
  <si>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</si>
  <si>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</si>
  <si>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</si>
  <si>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</si>
  <si>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</si>
  <si>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</si>
  <si>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</si>
  <si>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</si>
  <si>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</si>
  <si>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</si>
  <si>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</si>
  <si>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</si>
  <si>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</si>
  <si>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</si>
  <si>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</si>
  <si>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</si>
  <si>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</si>
  <si>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</si>
  <si>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</si>
  <si>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</si>
  <si>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</si>
  <si>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</si>
  <si>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</si>
  <si>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</si>
  <si>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</si>
  <si>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</si>
  <si>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</si>
  <si>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</si>
  <si>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</si>
  <si>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</si>
  <si>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</si>
  <si>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</si>
  <si>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</si>
  <si>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</si>
  <si>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</si>
  <si>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</si>
  <si>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</si>
  <si>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</si>
  <si>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</si>
  <si>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</si>
  <si>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</si>
  <si>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</si>
  <si>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</si>
  <si>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</si>
  <si>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</si>
  <si>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</si>
  <si>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</si>
  <si>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</si>
  <si>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</si>
  <si>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</si>
  <si>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</si>
  <si>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</si>
  <si>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</si>
  <si>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</si>
  <si>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</si>
  <si>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</si>
  <si>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</si>
  <si>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</si>
  <si>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</si>
  <si>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</si>
  <si>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</si>
  <si>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</si>
  <si>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</si>
  <si>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</si>
  <si>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</si>
  <si>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</si>
  <si>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</si>
  <si>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</si>
  <si>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</si>
  <si>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</si>
  <si>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</si>
  <si>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</si>
  <si>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</si>
  <si>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</si>
  <si>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</si>
  <si>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</si>
  <si>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</si>
  <si>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</si>
  <si>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</si>
  <si>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</si>
  <si>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</si>
  <si>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</si>
  <si>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</si>
  <si>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</si>
  <si>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</si>
  <si>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</si>
  <si>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</si>
  <si>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</si>
  <si>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</si>
  <si>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</si>
  <si>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</si>
  <si>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</si>
  <si>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</si>
  <si>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</si>
  <si>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</si>
  <si>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</si>
  <si>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</si>
  <si>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</si>
  <si>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</si>
  <si>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</si>
  <si>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</si>
  <si>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</si>
  <si>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</si>
  <si>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</si>
  <si>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</si>
  <si>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</si>
  <si>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</si>
  <si>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</si>
  <si>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</si>
  <si>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</si>
  <si>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</si>
  <si>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</si>
  <si>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</si>
  <si>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</si>
  <si>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</si>
  <si>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</si>
  <si>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</si>
  <si>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</si>
  <si>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</si>
  <si>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</si>
  <si>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</si>
  <si>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</si>
  <si>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</si>
  <si>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</si>
  <si>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</si>
  <si>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</si>
  <si>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</si>
  <si>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</si>
  <si>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</si>
  <si>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</si>
  <si>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</si>
  <si>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</si>
  <si>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</si>
  <si>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</si>
  <si>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</si>
  <si>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</si>
  <si>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</si>
  <si>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</si>
  <si>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</si>
  <si>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</si>
  <si>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</si>
  <si>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</si>
  <si>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</si>
  <si>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</si>
  <si>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</si>
  <si>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</si>
  <si>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</si>
  <si>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</si>
  <si>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</si>
  <si>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</si>
  <si>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</si>
  <si>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</si>
  <si>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</si>
  <si>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</si>
  <si>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</si>
  <si>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</si>
  <si>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</si>
  <si>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</si>
  <si>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</si>
  <si>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</si>
  <si>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</si>
  <si>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</si>
  <si>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</si>
  <si>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</si>
  <si>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</si>
  <si>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</si>
  <si>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</si>
  <si>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</si>
  <si>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</si>
  <si>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</si>
  <si>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</si>
  <si>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</si>
  <si>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</si>
  <si>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</si>
  <si>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</si>
  <si>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</si>
  <si>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</si>
  <si>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</si>
  <si>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</si>
  <si>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</si>
  <si>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</si>
  <si>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</si>
  <si>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</si>
  <si>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</si>
  <si>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</si>
  <si>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</si>
  <si>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</si>
  <si>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</si>
  <si>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</si>
  <si>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</si>
  <si>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</si>
  <si>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</si>
  <si>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</si>
  <si>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</si>
  <si>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</si>
  <si>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</si>
  <si>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</si>
  <si>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</si>
  <si>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</si>
  <si>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</si>
  <si>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</si>
  <si>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</si>
  <si>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</si>
  <si>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</si>
  <si>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</si>
  <si>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</si>
  <si>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</si>
  <si>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</si>
  <si>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</si>
  <si>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</si>
  <si>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</si>
  <si>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</si>
  <si>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</si>
  <si>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</si>
  <si>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</si>
  <si>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</si>
  <si>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</si>
  <si>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</si>
  <si>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</si>
  <si>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</si>
  <si>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</si>
  <si>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</si>
  <si>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</si>
  <si>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</si>
  <si>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</si>
  <si>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</si>
  <si>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</si>
  <si>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</si>
  <si>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</si>
  <si>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</si>
  <si>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</si>
  <si>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</si>
  <si>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</si>
  <si>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</si>
  <si>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</si>
  <si>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</si>
  <si>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</si>
  <si>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</si>
  <si>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</si>
  <si>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</si>
  <si>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</si>
  <si>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</si>
  <si>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</si>
  <si>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</si>
  <si>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</si>
  <si>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</si>
  <si>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</si>
  <si>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</si>
  <si>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</si>
  <si>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</si>
  <si>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</si>
  <si>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</si>
  <si>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</si>
  <si>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</si>
  <si>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</si>
  <si>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</si>
  <si>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</si>
  <si>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</si>
  <si>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</si>
  <si>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</si>
  <si>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</si>
  <si>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</si>
  <si>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</si>
  <si>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</si>
  <si>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</si>
  <si>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</si>
  <si>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</si>
  <si>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</si>
  <si>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</si>
  <si>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</si>
  <si>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</si>
  <si>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</si>
  <si>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</si>
  <si>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</si>
  <si>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</si>
  <si>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</si>
  <si>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</si>
  <si>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</si>
  <si>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</si>
  <si>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</si>
  <si>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</si>
  <si>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</si>
  <si>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</si>
  <si>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</si>
  <si>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</si>
  <si>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</si>
  <si>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</si>
  <si>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</si>
  <si>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</si>
  <si>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</si>
  <si>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</si>
  <si>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</si>
  <si>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</si>
  <si>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</si>
  <si>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</si>
  <si>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</si>
  <si>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</si>
  <si>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</si>
  <si>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</si>
  <si>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</si>
  <si>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</si>
  <si>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</si>
  <si>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</si>
  <si>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</si>
  <si>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</si>
  <si>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</si>
  <si>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</si>
  <si>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</si>
  <si>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</si>
  <si>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</si>
  <si>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</si>
  <si>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</si>
  <si>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</si>
  <si>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</si>
  <si>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</si>
  <si>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</si>
  <si>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</si>
  <si>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</si>
  <si>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</si>
  <si>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</si>
  <si>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</si>
  <si>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</si>
  <si>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</si>
  <si>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</si>
  <si>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</si>
  <si>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</si>
  <si>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</si>
  <si>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</si>
  <si>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</si>
  <si>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</si>
  <si>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</si>
  <si>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</si>
  <si>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</si>
  <si>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</si>
  <si>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</si>
  <si>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</si>
  <si>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</si>
  <si>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</si>
  <si>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</si>
  <si>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</si>
  <si>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</si>
  <si>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</si>
  <si>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</si>
  <si>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</si>
  <si>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</si>
  <si>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</si>
  <si>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</si>
  <si>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</si>
  <si>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</si>
  <si>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</si>
  <si>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</si>
  <si>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</si>
  <si>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</si>
  <si>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</si>
  <si>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</si>
  <si>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</si>
  <si>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</si>
  <si>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</si>
  <si>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</si>
  <si>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</si>
  <si>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</si>
  <si>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</si>
  <si>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</si>
  <si>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</si>
  <si>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</si>
  <si>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</si>
  <si>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</si>
  <si>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</si>
  <si>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</si>
  <si>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</si>
  <si>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</si>
  <si>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</si>
  <si>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</si>
  <si>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</si>
  <si>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</si>
  <si>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</si>
  <si>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</si>
  <si>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</si>
  <si>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</si>
  <si>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</si>
  <si>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</si>
  <si>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</si>
  <si>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</si>
  <si>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</si>
  <si>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</si>
  <si>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</si>
  <si>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</si>
  <si>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</si>
  <si>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</si>
  <si>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</si>
  <si>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</si>
  <si>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</si>
  <si>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</si>
  <si>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</si>
  <si>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</si>
  <si>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</si>
  <si>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</si>
  <si>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</si>
  <si>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</si>
  <si>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</si>
  <si>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</si>
  <si>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</si>
  <si>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</si>
  <si>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</si>
  <si>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</si>
  <si>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</si>
  <si>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</si>
  <si>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</si>
  <si>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</si>
  <si>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</si>
  <si>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</si>
  <si>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</si>
  <si>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</si>
  <si>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</si>
  <si>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</si>
  <si>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</si>
  <si>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</si>
  <si>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</si>
  <si>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</si>
  <si>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</si>
  <si>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</si>
  <si>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</si>
  <si>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</si>
  <si>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</si>
  <si>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</si>
  <si>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</si>
  <si>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</si>
  <si>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</si>
  <si>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</si>
  <si>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</si>
  <si>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</si>
  <si>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</si>
  <si>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</si>
  <si>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</si>
  <si>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</si>
  <si>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</si>
  <si>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</si>
  <si>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</si>
  <si>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</si>
  <si>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</si>
  <si>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</si>
  <si>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</si>
  <si>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</si>
  <si>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</si>
  <si>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</si>
  <si>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</si>
  <si>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</si>
  <si>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</si>
  <si>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</si>
  <si>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</si>
  <si>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</si>
  <si>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</si>
  <si>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</si>
  <si>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</si>
  <si>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</si>
  <si>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</si>
  <si>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</si>
  <si>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</si>
  <si>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</si>
  <si>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</si>
  <si>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</si>
  <si>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</si>
  <si>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</si>
  <si>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</si>
  <si>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</si>
  <si>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</si>
  <si>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</si>
  <si>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</si>
  <si>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</si>
  <si>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</si>
  <si>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</si>
  <si>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</si>
  <si>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</si>
  <si>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</si>
  <si>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</si>
  <si>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</si>
  <si>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</si>
  <si>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</si>
  <si>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</si>
  <si>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</si>
  <si>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</si>
  <si>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</si>
  <si>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</si>
  <si>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</si>
  <si>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</si>
  <si>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</si>
  <si>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</si>
  <si>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</si>
  <si>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</si>
  <si>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</si>
  <si>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</si>
  <si>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</si>
  <si>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</si>
  <si>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</si>
  <si>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</si>
  <si>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</si>
  <si>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</si>
  <si>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</si>
  <si>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</si>
  <si>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</si>
  <si>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</si>
  <si>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</si>
  <si>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</si>
  <si>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</si>
  <si>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</si>
  <si>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</si>
  <si>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</si>
  <si>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</si>
  <si>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</si>
  <si>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</si>
  <si>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</si>
  <si>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</si>
  <si>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</si>
  <si>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</si>
  <si>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</si>
  <si>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</si>
  <si>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</si>
  <si>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</si>
  <si>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</si>
  <si>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</si>
  <si>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</si>
  <si>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</si>
  <si>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</si>
  <si>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</si>
  <si>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</si>
  <si>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</si>
  <si>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</si>
  <si>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</si>
  <si>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</si>
  <si>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</si>
  <si>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</si>
  <si>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</si>
  <si>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</si>
  <si>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</si>
  <si>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</si>
  <si>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</si>
  <si>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</si>
  <si>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</si>
  <si>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</si>
  <si>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</si>
  <si>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</si>
  <si>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</si>
  <si>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</si>
  <si>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</si>
  <si>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</si>
  <si>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</si>
  <si>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</si>
  <si>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</si>
  <si>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</si>
  <si>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</si>
  <si>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</si>
  <si>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</si>
  <si>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</si>
  <si>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</si>
  <si>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</si>
  <si>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</si>
  <si>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</si>
  <si>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</si>
  <si>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</si>
  <si>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</si>
  <si>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</si>
  <si>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</si>
  <si>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</si>
  <si>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</si>
  <si>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</si>
  <si>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</si>
  <si>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</si>
  <si>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</si>
  <si>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</si>
  <si>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</si>
  <si>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</si>
  <si>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</si>
  <si>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</si>
  <si>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</si>
  <si>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</si>
  <si>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</si>
  <si>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</si>
  <si>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</si>
  <si>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</si>
  <si>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</si>
  <si>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</si>
  <si>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</si>
  <si>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</si>
  <si>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</si>
  <si>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</si>
  <si>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</si>
  <si>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</si>
  <si>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</si>
  <si>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</si>
  <si>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</si>
  <si>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</si>
  <si>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</si>
  <si>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</si>
  <si>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</si>
  <si>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</si>
  <si>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</si>
  <si>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</si>
  <si>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</si>
  <si>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</si>
  <si>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</si>
  <si>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</si>
  <si>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</si>
  <si>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</si>
  <si>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</si>
  <si>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</si>
  <si>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</si>
  <si>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</si>
  <si>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</si>
  <si>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</si>
  <si>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</si>
  <si>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</si>
  <si>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</si>
  <si>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</si>
  <si>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</si>
  <si>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</si>
  <si>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</si>
  <si>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</si>
  <si>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</si>
  <si>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</si>
  <si>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</si>
  <si>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</si>
  <si>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</si>
  <si>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</si>
  <si>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</si>
  <si>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</si>
  <si>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</si>
  <si>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</si>
  <si>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</si>
  <si>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</si>
  <si>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</si>
  <si>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</si>
  <si>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</si>
  <si>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</si>
  <si>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</si>
  <si>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</si>
  <si>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</si>
  <si>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</si>
  <si>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</si>
  <si>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</si>
  <si>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</si>
  <si>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</si>
  <si>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</si>
  <si>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</si>
  <si>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</si>
  <si>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</si>
  <si>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</si>
  <si>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</si>
  <si>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</si>
  <si>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</si>
  <si>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</si>
  <si>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</si>
  <si>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</si>
  <si>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</si>
  <si>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</si>
  <si>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</si>
  <si>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</si>
  <si>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</si>
  <si>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</si>
  <si>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</si>
  <si>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</si>
  <si>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</si>
  <si>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</si>
  <si>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</si>
  <si>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</si>
  <si>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</si>
  <si>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</si>
  <si>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</si>
  <si>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</si>
  <si>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</si>
  <si>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</si>
  <si>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</si>
  <si>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</si>
  <si>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</si>
  <si>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</si>
  <si>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</si>
  <si>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</si>
  <si>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</si>
  <si>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</si>
  <si>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</si>
  <si>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</si>
  <si>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</si>
  <si>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</si>
  <si>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</si>
  <si>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</si>
  <si>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</si>
  <si>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</si>
  <si>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</si>
  <si>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</si>
  <si>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</si>
  <si>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</si>
  <si>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</si>
  <si>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</si>
  <si>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</si>
  <si>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</si>
  <si>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</si>
  <si>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</si>
  <si>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</si>
  <si>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</si>
  <si>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</si>
  <si>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</si>
  <si>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</si>
  <si>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</si>
  <si>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</si>
  <si>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</si>
  <si>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</si>
  <si>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</si>
  <si>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</si>
  <si>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</si>
  <si>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</si>
  <si>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</si>
  <si>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</si>
  <si>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</si>
  <si>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</si>
  <si>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</si>
  <si>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</si>
  <si>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</si>
  <si>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</si>
  <si>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</si>
  <si>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</si>
  <si>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</si>
  <si>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</si>
  <si>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</si>
  <si>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</si>
  <si>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</si>
  <si>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</si>
  <si>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</si>
  <si>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</si>
  <si>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</si>
  <si>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</si>
  <si>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</si>
  <si>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</si>
  <si>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</si>
  <si>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</si>
  <si>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</si>
  <si>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</si>
  <si>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</si>
  <si>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</si>
  <si>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</si>
  <si>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</si>
  <si>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</si>
  <si>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</si>
  <si>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</si>
  <si>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</si>
  <si>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</si>
  <si>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</si>
  <si>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</si>
  <si>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</si>
  <si>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</si>
  <si>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</si>
  <si>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</si>
  <si>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</si>
  <si>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</si>
  <si>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</si>
  <si>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</si>
  <si>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</si>
  <si>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</si>
  <si>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</si>
  <si>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</si>
  <si>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</si>
  <si>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</si>
  <si>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</si>
  <si>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</si>
  <si>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</si>
  <si>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</si>
  <si>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</si>
  <si>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</si>
  <si>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</si>
  <si>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</si>
  <si>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</si>
  <si>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</si>
  <si>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</si>
  <si>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</si>
  <si>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</si>
  <si>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</si>
  <si>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</si>
  <si>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</si>
  <si>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</si>
  <si>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</si>
  <si>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</si>
  <si>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</si>
  <si>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</si>
  <si>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</si>
  <si>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</si>
  <si>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</si>
  <si>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</si>
  <si>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</si>
  <si>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</si>
  <si>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</si>
  <si>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</si>
  <si>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</si>
  <si>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</si>
  <si>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</si>
  <si>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</si>
  <si>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</si>
  <si>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</si>
  <si>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</si>
  <si>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</si>
  <si>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</si>
  <si>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</si>
  <si>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</si>
  <si>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</si>
  <si>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</si>
  <si>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</si>
  <si>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</si>
  <si>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</si>
  <si>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</si>
  <si>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</si>
  <si>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</si>
  <si>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</si>
  <si>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</si>
  <si>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</si>
  <si>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</si>
  <si>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</si>
  <si>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</si>
  <si>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</si>
  <si>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</si>
  <si>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</si>
  <si>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</si>
  <si>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</si>
  <si>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</si>
  <si>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</si>
  <si>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</si>
  <si>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</si>
  <si>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</si>
  <si>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</si>
  <si>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</si>
  <si>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</si>
  <si>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</si>
  <si>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</si>
  <si>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</si>
  <si>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</si>
  <si>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</si>
  <si>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</si>
  <si>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</si>
  <si>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</si>
  <si>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</si>
  <si>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</si>
  <si>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</si>
  <si>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</si>
  <si>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</si>
  <si>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</si>
  <si>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</si>
  <si>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</si>
  <si>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</si>
  <si>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</si>
  <si>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</si>
  <si>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</si>
  <si>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</si>
  <si>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</si>
  <si>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</si>
  <si>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</si>
  <si>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</si>
  <si>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</si>
  <si>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</si>
  <si>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</si>
  <si>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</si>
  <si>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</si>
  <si>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</si>
  <si>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</si>
  <si>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</si>
  <si>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</si>
  <si>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</si>
  <si>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</si>
  <si>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</si>
  <si>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</si>
  <si>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</si>
  <si>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</si>
  <si>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</si>
  <si>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</si>
  <si>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</si>
  <si>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</si>
  <si>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</si>
  <si>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</si>
  <si>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</si>
  <si>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</si>
  <si>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</si>
  <si>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</si>
  <si>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</si>
  <si>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</si>
  <si>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</si>
  <si>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</si>
  <si>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</si>
  <si>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</si>
  <si>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</si>
  <si>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</si>
  <si>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</si>
  <si>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</si>
  <si>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</si>
  <si>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</si>
  <si>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</si>
  <si>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</si>
  <si>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</si>
  <si>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</si>
  <si>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</si>
  <si>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</si>
  <si>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</si>
  <si>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</si>
  <si>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</si>
  <si>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</si>
  <si>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</si>
  <si>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</si>
  <si>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</si>
  <si>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</si>
  <si>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</si>
  <si>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</si>
  <si>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</si>
  <si>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</si>
  <si>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</si>
  <si>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</si>
  <si>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</si>
  <si>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</si>
  <si>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</si>
  <si>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</si>
  <si>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</si>
  <si>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</si>
  <si>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</si>
  <si>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</si>
  <si>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</si>
  <si>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</si>
  <si>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</si>
  <si>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</si>
  <si>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</si>
  <si>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</si>
  <si>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</si>
  <si>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</si>
  <si>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</si>
  <si>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</si>
  <si>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</si>
  <si>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</si>
  <si>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</si>
  <si>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</si>
  <si>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</si>
  <si>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</si>
  <si>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</si>
  <si>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</si>
  <si>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</si>
  <si>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</si>
  <si>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</si>
  <si>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</si>
  <si>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</si>
  <si>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</si>
  <si>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</si>
  <si>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</si>
  <si>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</si>
  <si>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</si>
  <si>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</si>
  <si>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</si>
  <si>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</si>
  <si>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</si>
  <si>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</si>
  <si>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</si>
  <si>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</si>
  <si>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</si>
  <si>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</si>
  <si>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</si>
  <si>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</si>
  <si>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</si>
  <si>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</si>
  <si>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</si>
  <si>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</si>
  <si>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</si>
  <si>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</si>
  <si>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</si>
  <si>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</si>
  <si>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</si>
  <si>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</si>
  <si>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</si>
  <si>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</si>
  <si>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</si>
  <si>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</si>
  <si>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</si>
  <si>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</si>
  <si>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</si>
  <si>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</si>
  <si>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</si>
  <si>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</si>
  <si>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</si>
  <si>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</si>
  <si>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</si>
  <si>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</si>
  <si>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</si>
  <si>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</si>
  <si>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</si>
  <si>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</si>
  <si>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</si>
  <si>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</si>
  <si>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</si>
  <si>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</si>
  <si>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</si>
  <si>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</si>
  <si>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</si>
  <si>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</si>
  <si>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</si>
  <si>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</si>
  <si>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</si>
  <si>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</si>
  <si>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</si>
  <si>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</si>
  <si>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</si>
  <si>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</si>
  <si>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</si>
  <si>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</si>
  <si>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</si>
  <si>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</si>
  <si>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</si>
  <si>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</si>
  <si>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</si>
  <si>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</si>
  <si>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</si>
  <si>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</si>
  <si>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</si>
  <si>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</si>
  <si>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</si>
  <si>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</si>
  <si>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</si>
  <si>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</si>
  <si>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</si>
  <si>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</si>
  <si>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</si>
  <si>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</si>
  <si>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</si>
  <si>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</si>
  <si>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</si>
  <si>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</si>
  <si>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</si>
  <si>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</si>
  <si>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</si>
  <si>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</si>
  <si>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</si>
  <si>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</si>
  <si>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</si>
  <si>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</si>
  <si>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</si>
  <si>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</si>
  <si>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</si>
  <si>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</si>
  <si>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</si>
  <si>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</si>
  <si>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</si>
  <si>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</si>
  <si>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</si>
  <si>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</si>
  <si>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</si>
  <si>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</si>
  <si>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</si>
  <si>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</si>
  <si>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</si>
  <si>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</si>
  <si>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</si>
  <si>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</si>
  <si>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</si>
  <si>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</si>
  <si>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</si>
  <si>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</si>
  <si>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</si>
  <si>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</si>
  <si>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</si>
  <si>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</si>
  <si>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</si>
  <si>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</si>
  <si>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</si>
  <si>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</si>
  <si>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</si>
  <si>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</si>
  <si>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</si>
  <si>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</si>
  <si>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</si>
  <si>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</si>
  <si>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</si>
  <si>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</si>
  <si>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</si>
  <si>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</si>
  <si>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</si>
  <si>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</si>
  <si>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</si>
  <si>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</si>
  <si>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</si>
  <si>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</si>
  <si>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</si>
  <si>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</si>
  <si>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</si>
  <si>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</si>
  <si>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</si>
  <si>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</si>
  <si>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</si>
  <si>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</si>
  <si>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</si>
  <si>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</si>
  <si>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</si>
  <si>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</si>
  <si>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</si>
  <si>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</si>
  <si>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</si>
  <si>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</si>
  <si>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</si>
  <si>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</si>
  <si>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</si>
  <si>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</si>
  <si>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</si>
  <si>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</si>
  <si>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</si>
  <si>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</si>
  <si>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</si>
  <si>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</si>
  <si>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</si>
  <si>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</si>
  <si>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</si>
  <si>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</si>
  <si>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</si>
  <si>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</si>
  <si>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</si>
  <si>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</si>
  <si>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</si>
  <si>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</si>
  <si>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</si>
  <si>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</si>
  <si>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</si>
  <si>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</si>
  <si>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</si>
  <si>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</si>
  <si>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</si>
  <si>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</si>
  <si>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</si>
  <si>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</si>
  <si>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</si>
  <si>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</si>
  <si>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</si>
  <si>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</si>
  <si>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</si>
  <si>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</si>
  <si>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</si>
  <si>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</si>
  <si>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</si>
  <si>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</si>
  <si>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</si>
  <si>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</si>
  <si>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</si>
  <si>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</si>
  <si>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</si>
  <si>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</si>
  <si>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</si>
  <si>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</si>
  <si>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</si>
  <si>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</si>
  <si>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</si>
  <si>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</si>
  <si>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</si>
  <si>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</si>
  <si>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</si>
  <si>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</si>
  <si>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</si>
  <si>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</si>
  <si>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</si>
  <si>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</si>
  <si>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</si>
  <si>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</si>
  <si>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</si>
  <si>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</si>
  <si>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</si>
  <si>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</si>
  <si>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</si>
  <si>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</si>
  <si>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</si>
  <si>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</si>
  <si>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</si>
  <si>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</si>
  <si>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</si>
  <si>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</si>
  <si>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</si>
  <si>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</si>
  <si>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</si>
  <si>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</si>
  <si>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</si>
  <si>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</si>
  <si>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</si>
  <si>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</si>
  <si>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</si>
  <si>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</si>
  <si>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</si>
  <si>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</si>
  <si>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</si>
  <si>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</si>
  <si>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</si>
  <si>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</si>
  <si>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</si>
  <si>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</si>
  <si>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</si>
  <si>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</si>
  <si>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</si>
  <si>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</si>
  <si>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</si>
  <si>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</si>
  <si>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</si>
  <si>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</si>
  <si>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</si>
  <si>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</si>
  <si>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</si>
  <si>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</si>
  <si>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</si>
  <si>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</si>
  <si>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</si>
  <si>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</si>
  <si>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</si>
  <si>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</si>
  <si>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</si>
  <si>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</si>
  <si>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</si>
  <si>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</si>
  <si>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</si>
  <si>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</si>
  <si>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</si>
  <si>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</si>
  <si>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</si>
  <si>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</si>
  <si>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</si>
  <si>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</si>
  <si>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</si>
  <si>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</si>
  <si>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</si>
  <si>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</si>
  <si>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</si>
  <si>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</si>
  <si>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</si>
  <si>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</si>
  <si>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</si>
  <si>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</si>
  <si>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</si>
  <si>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</si>
  <si>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</si>
  <si>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</si>
  <si>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</si>
  <si>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</si>
  <si>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</si>
  <si>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</si>
  <si>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</si>
  <si>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</si>
  <si>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</si>
  <si>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</si>
  <si>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</si>
  <si>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</si>
  <si>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</si>
  <si>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</si>
  <si>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</si>
  <si>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"Мтел" а.д.</t>
  </si>
  <si>
    <t>Бања Лука</t>
  </si>
  <si>
    <t>Бањој Луци</t>
  </si>
  <si>
    <t>Весна Гудураш</t>
  </si>
  <si>
    <t>Марко Лопичић</t>
  </si>
  <si>
    <t>Вука Караџића 2</t>
  </si>
  <si>
    <t>www.mtel.ba</t>
  </si>
  <si>
    <t>Vesna.Guduras@mtel.ba</t>
  </si>
  <si>
    <t>Logosoft д.о.о</t>
  </si>
  <si>
    <t>Сарајево</t>
  </si>
  <si>
    <t>СР-0456/19</t>
  </si>
  <si>
    <t>Блицнет д.о.о.</t>
  </si>
  <si>
    <t>Телрад Нет д.о.о.</t>
  </si>
  <si>
    <t>Бијељина</t>
  </si>
  <si>
    <t>ЕЛТА-КАБЕЛ д.о.о.</t>
  </si>
  <si>
    <t>Добој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</si>
</sst>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  <numFmt numFmtId="171" formatCode="0.0000"/>
  </numFmts>
  <fonts count="34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8"/>
      <name val="Segoe UI"/>
      <family val="2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theme="0" tint="-0.14999847407452621"/>
        <bgColor indexed="64"/>
      </patternFill>
    </fill>
  </fills>
  <borders count="10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6">
    <xf numFmtId="0" fontId="0" fillId="0" borderId="0" applyNumberFormat="0" applyFill="0" applyBorder="0" applyAlignment="0"/>
    <xf numFmtId="166" fontId="8" fillId="0" borderId="0" applyFill="0" applyBorder="0">
      <alignment horizontal="center" vertical="center"/>
      <protection hidden="1"/>
    </xf>
    <xf numFmtId="0" fontId="14" fillId="7" borderId="66" applyNumberFormat="0" applyAlignment="0" applyProtection="0"/>
    <xf numFmtId="0" fontId="15" fillId="8" borderId="0" applyNumberFormat="0" applyBorder="0" applyAlignment="0" applyProtection="0"/>
    <xf numFmtId="168" fontId="8" fillId="0" borderId="0" applyFill="0" applyBorder="0">
      <alignment horizontal="center" vertical="center" wrapText="1"/>
      <protection hidden="1"/>
    </xf>
    <xf numFmtId="0" fontId="16" fillId="0" borderId="0" applyNumberFormat="0" applyFill="0" applyBorder="0" applyAlignment="0" applyProtection="0"/>
    <xf numFmtId="0" fontId="17" fillId="9" borderId="2">
      <alignment horizontal="center" vertical="center"/>
      <protection locked="0"/>
    </xf>
    <xf numFmtId="169" fontId="9" fillId="9" borderId="3">
      <alignment horizontal="left" indent="1"/>
      <protection locked="0"/>
    </xf>
    <xf numFmtId="0" fontId="17" fillId="9" borderId="4">
      <alignment horizontal="left" vertical="center"/>
      <protection locked="0"/>
    </xf>
    <xf numFmtId="49" fontId="8" fillId="0" borderId="4" applyFill="0">
      <alignment horizontal="left" indent="1"/>
      <protection hidden="1"/>
    </xf>
    <xf numFmtId="0" fontId="8" fillId="0" borderId="4" applyFill="0">
      <alignment horizontal="left" indent="1"/>
      <protection hidden="1"/>
    </xf>
    <xf numFmtId="49" fontId="8" fillId="10" borderId="5">
      <alignment horizontal="left" indent="1"/>
      <protection locked="0"/>
    </xf>
    <xf numFmtId="0" fontId="27" fillId="14" borderId="0" applyNumberFormat="0" applyBorder="0" applyAlignment="0" applyProtection="0"/>
    <xf numFmtId="0" fontId="28" fillId="15" borderId="66" applyNumberFormat="0" applyAlignment="0" applyProtection="0"/>
    <xf numFmtId="0" fontId="30" fillId="0" borderId="0">
      <alignment vertical="top"/>
    </xf>
    <xf numFmtId="0" fontId="8" fillId="0" borderId="0" applyNumberFormat="0" applyFill="0" applyBorder="0" applyAlignment="0"/>
  </cellStyleXfs>
  <cellXfs count="55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8" fillId="3" borderId="6" xfId="0" applyFont="1" applyFill="1" applyBorder="1" applyAlignment="1" applyProtection="1">
      <alignment horizontal="center" vertical="center"/>
      <protection hidden="1"/>
    </xf>
    <xf numFmtId="0" fontId="18" fillId="3" borderId="6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Alignment="1" applyProtection="1">
      <alignment horizontal="center"/>
      <protection hidden="1"/>
    </xf>
    <xf numFmtId="0" fontId="18" fillId="3" borderId="6" xfId="0" applyFont="1" applyFill="1" applyBorder="1" applyAlignment="1" applyProtection="1">
      <alignment horizontal="center"/>
      <protection hidden="1"/>
    </xf>
    <xf numFmtId="0" fontId="18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7" fillId="4" borderId="9" xfId="0" applyNumberFormat="1" applyFont="1" applyFill="1" applyBorder="1" applyAlignment="1" applyProtection="1">
      <alignment horizontal="right" vertical="center"/>
      <protection hidden="1"/>
    </xf>
    <xf numFmtId="3" fontId="7" fillId="4" borderId="1" xfId="0" applyNumberFormat="1" applyFont="1" applyFill="1" applyBorder="1" applyAlignment="1" applyProtection="1">
      <alignment horizontal="right" vertical="center"/>
      <protection hidden="1"/>
    </xf>
    <xf numFmtId="3" fontId="7" fillId="4" borderId="10" xfId="0" applyNumberFormat="1" applyFont="1" applyFill="1" applyBorder="1" applyAlignment="1" applyProtection="1">
      <alignment horizontal="right" vertical="center"/>
      <protection hidden="1"/>
    </xf>
    <xf numFmtId="3" fontId="7" fillId="0" borderId="1" xfId="0" applyNumberFormat="1" applyFont="1" applyBorder="1" applyAlignment="1" applyProtection="1">
      <alignment horizontal="right" vertical="center"/>
      <protection hidden="1"/>
    </xf>
    <xf numFmtId="3" fontId="7" fillId="5" borderId="1" xfId="0" applyNumberFormat="1" applyFont="1" applyFill="1" applyBorder="1" applyAlignment="1" applyProtection="1">
      <alignment horizontal="right" vertical="center"/>
      <protection hidden="1"/>
    </xf>
    <xf numFmtId="3" fontId="7" fillId="0" borderId="11" xfId="0" applyNumberFormat="1" applyFont="1" applyBorder="1" applyAlignment="1" applyProtection="1">
      <alignment horizontal="right" vertical="center"/>
      <protection hidden="1"/>
    </xf>
    <xf numFmtId="3" fontId="7" fillId="4" borderId="11" xfId="0" applyNumberFormat="1" applyFont="1" applyFill="1" applyBorder="1" applyAlignment="1" applyProtection="1">
      <alignment horizontal="right" vertical="center"/>
      <protection hidden="1"/>
    </xf>
    <xf numFmtId="3" fontId="7" fillId="0" borderId="12" xfId="0" applyNumberFormat="1" applyFont="1" applyBorder="1" applyAlignment="1" applyProtection="1">
      <alignment horizontal="right" vertical="center"/>
      <protection hidden="1"/>
    </xf>
    <xf numFmtId="3" fontId="7" fillId="0" borderId="13" xfId="0" applyNumberFormat="1" applyFont="1" applyBorder="1" applyAlignment="1" applyProtection="1">
      <alignment horizontal="right" vertical="center"/>
      <protection hidden="1"/>
    </xf>
    <xf numFmtId="3" fontId="7" fillId="4" borderId="14" xfId="0" applyNumberFormat="1" applyFont="1" applyFill="1" applyBorder="1" applyAlignment="1" applyProtection="1">
      <alignment vertical="center"/>
      <protection hidden="1"/>
    </xf>
    <xf numFmtId="3" fontId="7" fillId="4" borderId="15" xfId="0" applyNumberFormat="1" applyFont="1" applyFill="1" applyBorder="1" applyAlignment="1" applyProtection="1">
      <alignment vertical="center"/>
      <protection hidden="1"/>
    </xf>
    <xf numFmtId="3" fontId="7" fillId="0" borderId="16" xfId="0" applyNumberFormat="1" applyFont="1" applyBorder="1" applyAlignment="1" applyProtection="1">
      <alignment vertical="center"/>
      <protection hidden="1"/>
    </xf>
    <xf numFmtId="3" fontId="7" fillId="0" borderId="17" xfId="0" applyNumberFormat="1" applyFont="1" applyBorder="1" applyAlignment="1" applyProtection="1">
      <alignment vertical="center"/>
      <protection hidden="1"/>
    </xf>
    <xf numFmtId="3" fontId="7" fillId="4" borderId="16" xfId="0" applyNumberFormat="1" applyFont="1" applyFill="1" applyBorder="1" applyAlignment="1" applyProtection="1">
      <alignment vertical="center"/>
      <protection hidden="1"/>
    </xf>
    <xf numFmtId="3" fontId="7" fillId="4" borderId="17" xfId="0" applyNumberFormat="1" applyFont="1" applyFill="1" applyBorder="1" applyAlignment="1" applyProtection="1">
      <alignment vertical="center"/>
      <protection hidden="1"/>
    </xf>
    <xf numFmtId="0" fontId="15" fillId="8" borderId="0" xfId="3" applyAlignment="1">
      <alignment horizontal="center" vertical="center"/>
    </xf>
    <xf numFmtId="0" fontId="18" fillId="3" borderId="18" xfId="0" applyFont="1" applyFill="1" applyBorder="1" applyAlignment="1" applyProtection="1">
      <alignment horizontal="center"/>
      <protection hidden="1"/>
    </xf>
    <xf numFmtId="0" fontId="18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8" fillId="3" borderId="67" xfId="0" applyFont="1" applyFill="1" applyBorder="1" applyAlignment="1" applyProtection="1">
      <alignment horizontal="center" vertical="center" wrapText="1"/>
      <protection hidden="1"/>
    </xf>
    <xf numFmtId="0" fontId="18" fillId="3" borderId="6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8" fillId="0" borderId="4" xfId="9" applyProtection="1">
      <alignment horizontal="left" indent="1"/>
      <protection hidden="1"/>
    </xf>
    <xf numFmtId="0" fontId="18" fillId="3" borderId="1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Protection="1">
      <protection hidden="1"/>
    </xf>
    <xf numFmtId="3" fontId="7" fillId="0" borderId="17" xfId="0" applyNumberFormat="1" applyFont="1" applyBorder="1" applyAlignment="1" applyProtection="1">
      <alignment horizontal="right" vertical="center"/>
      <protection hidden="1"/>
    </xf>
    <xf numFmtId="3" fontId="7" fillId="0" borderId="21" xfId="0" applyNumberFormat="1" applyFont="1" applyBorder="1" applyAlignment="1" applyProtection="1">
      <alignment horizontal="right" vertical="center"/>
      <protection hidden="1"/>
    </xf>
    <xf numFmtId="3" fontId="7" fillId="4" borderId="17" xfId="0" applyNumberFormat="1" applyFont="1" applyFill="1" applyBorder="1" applyAlignment="1" applyProtection="1">
      <alignment horizontal="right" vertical="center"/>
      <protection hidden="1"/>
    </xf>
    <xf numFmtId="3" fontId="7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4" fillId="7" borderId="66" xfId="2" applyFont="1"/>
    <xf numFmtId="0" fontId="0" fillId="0" borderId="0" xfId="0" applyAlignment="1">
      <alignment horizontal="center" vertical="center" wrapText="1"/>
    </xf>
    <xf numFmtId="0" fontId="19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8" fillId="4" borderId="69" xfId="4" applyFill="1" applyBorder="1">
      <alignment horizontal="center" vertical="center" wrapText="1"/>
      <protection hidden="1"/>
    </xf>
    <xf numFmtId="166" fontId="8" fillId="4" borderId="70" xfId="1" applyFill="1" applyBorder="1">
      <alignment horizontal="center" vertical="center"/>
      <protection hidden="1"/>
    </xf>
    <xf numFmtId="3" fontId="7" fillId="4" borderId="70" xfId="0" applyNumberFormat="1" applyFont="1" applyFill="1" applyBorder="1" applyAlignment="1" applyProtection="1">
      <alignment horizontal="right" vertical="center"/>
      <protection hidden="1"/>
    </xf>
    <xf numFmtId="3" fontId="7" fillId="4" borderId="71" xfId="0" applyNumberFormat="1" applyFont="1" applyFill="1" applyBorder="1" applyAlignment="1" applyProtection="1">
      <alignment horizontal="right" vertical="center"/>
      <protection hidden="1"/>
    </xf>
    <xf numFmtId="168" fontId="8" fillId="0" borderId="69" xfId="4" applyBorder="1">
      <alignment horizontal="center" vertical="center" wrapText="1"/>
      <protection hidden="1"/>
    </xf>
    <xf numFmtId="166" fontId="8" fillId="0" borderId="70" xfId="1" applyFill="1" applyBorder="1">
      <alignment horizontal="center" vertical="center"/>
      <protection hidden="1"/>
    </xf>
    <xf numFmtId="3" fontId="7" fillId="0" borderId="70" xfId="0" applyNumberFormat="1" applyFont="1" applyBorder="1" applyAlignment="1" applyProtection="1">
      <alignment horizontal="right" vertical="center"/>
      <protection hidden="1"/>
    </xf>
    <xf numFmtId="3" fontId="7" fillId="0" borderId="71" xfId="0" applyNumberFormat="1" applyFont="1" applyBorder="1" applyAlignment="1" applyProtection="1">
      <alignment horizontal="right" vertical="center"/>
      <protection hidden="1"/>
    </xf>
    <xf numFmtId="168" fontId="8" fillId="0" borderId="69" xfId="4" applyFill="1" applyBorder="1">
      <alignment horizontal="center" vertical="center" wrapText="1"/>
      <protection hidden="1"/>
    </xf>
    <xf numFmtId="3" fontId="7" fillId="0" borderId="70" xfId="0" applyNumberFormat="1" applyFont="1" applyFill="1" applyBorder="1" applyAlignment="1" applyProtection="1">
      <alignment horizontal="right" vertical="center"/>
      <protection hidden="1"/>
    </xf>
    <xf numFmtId="3" fontId="7" fillId="0" borderId="71" xfId="0" applyNumberFormat="1" applyFont="1" applyFill="1" applyBorder="1" applyAlignment="1" applyProtection="1">
      <alignment horizontal="right" vertical="center"/>
      <protection hidden="1"/>
    </xf>
    <xf numFmtId="168" fontId="8" fillId="0" borderId="72" xfId="4" applyFill="1" applyBorder="1">
      <alignment horizontal="center" vertical="center" wrapText="1"/>
      <protection hidden="1"/>
    </xf>
    <xf numFmtId="166" fontId="8" fillId="0" borderId="73" xfId="1" applyFill="1" applyBorder="1">
      <alignment horizontal="center" vertical="center"/>
      <protection hidden="1"/>
    </xf>
    <xf numFmtId="0" fontId="18" fillId="3" borderId="74" xfId="0" applyFont="1" applyFill="1" applyBorder="1" applyAlignment="1" applyProtection="1">
      <alignment horizontal="center"/>
      <protection hidden="1"/>
    </xf>
    <xf numFmtId="0" fontId="18" fillId="3" borderId="75" xfId="0" applyFont="1" applyFill="1" applyBorder="1" applyAlignment="1" applyProtection="1">
      <alignment horizontal="center"/>
      <protection hidden="1"/>
    </xf>
    <xf numFmtId="0" fontId="18" fillId="3" borderId="76" xfId="0" applyFont="1" applyFill="1" applyBorder="1" applyAlignment="1" applyProtection="1">
      <alignment horizontal="center"/>
      <protection hidden="1"/>
    </xf>
    <xf numFmtId="168" fontId="8" fillId="0" borderId="77" xfId="4" applyBorder="1">
      <alignment horizontal="center" vertical="center" wrapText="1"/>
      <protection hidden="1"/>
    </xf>
    <xf numFmtId="3" fontId="7" fillId="0" borderId="78" xfId="0" applyNumberFormat="1" applyFont="1" applyBorder="1" applyAlignment="1" applyProtection="1">
      <alignment horizontal="right" vertical="center"/>
      <protection hidden="1"/>
    </xf>
    <xf numFmtId="3" fontId="7" fillId="0" borderId="79" xfId="0" applyNumberFormat="1" applyFont="1" applyBorder="1" applyAlignment="1" applyProtection="1">
      <alignment horizontal="right" vertical="center"/>
      <protection hidden="1"/>
    </xf>
    <xf numFmtId="168" fontId="8" fillId="4" borderId="77" xfId="4" applyFill="1" applyBorder="1">
      <alignment horizontal="center" vertical="center" wrapText="1"/>
      <protection hidden="1"/>
    </xf>
    <xf numFmtId="166" fontId="8" fillId="4" borderId="78" xfId="1" applyFill="1" applyBorder="1">
      <alignment horizontal="center" vertical="center"/>
      <protection hidden="1"/>
    </xf>
    <xf numFmtId="3" fontId="7" fillId="4" borderId="78" xfId="0" applyNumberFormat="1" applyFont="1" applyFill="1" applyBorder="1" applyAlignment="1" applyProtection="1">
      <alignment horizontal="right" vertical="center" wrapText="1"/>
      <protection hidden="1"/>
    </xf>
    <xf numFmtId="3" fontId="7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7" fillId="0" borderId="70" xfId="0" applyNumberFormat="1" applyFont="1" applyFill="1" applyBorder="1" applyAlignment="1" applyProtection="1">
      <alignment horizontal="right" vertical="center" wrapText="1"/>
      <protection hidden="1"/>
    </xf>
    <xf numFmtId="3" fontId="7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7" fillId="4" borderId="70" xfId="0" applyNumberFormat="1" applyFont="1" applyFill="1" applyBorder="1" applyAlignment="1" applyProtection="1">
      <alignment horizontal="right" vertical="center" wrapText="1"/>
      <protection hidden="1"/>
    </xf>
    <xf numFmtId="3" fontId="7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7" fillId="0" borderId="73" xfId="0" applyNumberFormat="1" applyFont="1" applyFill="1" applyBorder="1" applyAlignment="1" applyProtection="1">
      <alignment horizontal="right" vertical="center" wrapText="1"/>
      <protection hidden="1"/>
    </xf>
    <xf numFmtId="3" fontId="7" fillId="0" borderId="80" xfId="0" applyNumberFormat="1" applyFont="1" applyFill="1" applyBorder="1" applyAlignment="1" applyProtection="1">
      <alignment horizontal="right" vertical="center" wrapText="1"/>
      <protection hidden="1"/>
    </xf>
    <xf numFmtId="166" fontId="8" fillId="0" borderId="78" xfId="1" applyBorder="1">
      <alignment horizontal="center" vertical="center"/>
      <protection hidden="1"/>
    </xf>
    <xf numFmtId="3" fontId="0" fillId="0" borderId="78" xfId="0" applyNumberFormat="1" applyFill="1" applyBorder="1" applyAlignment="1" applyProtection="1">
      <alignment horizontal="right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166" fontId="8" fillId="0" borderId="70" xfId="1" applyBorder="1">
      <alignment horizontal="center" vertical="center"/>
      <protection hidden="1"/>
    </xf>
    <xf numFmtId="168" fontId="8" fillId="0" borderId="72" xfId="4" applyBorder="1">
      <alignment horizontal="center" vertical="center" wrapText="1"/>
      <protection hidden="1"/>
    </xf>
    <xf numFmtId="166" fontId="8" fillId="0" borderId="73" xfId="1" applyBorder="1">
      <alignment horizontal="center" vertical="center"/>
      <protection hidden="1"/>
    </xf>
    <xf numFmtId="0" fontId="18" fillId="3" borderId="75" xfId="0" quotePrefix="1" applyFont="1" applyFill="1" applyBorder="1" applyAlignment="1" applyProtection="1">
      <alignment horizontal="center"/>
      <protection hidden="1"/>
    </xf>
    <xf numFmtId="0" fontId="18" fillId="3" borderId="76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7" fillId="4" borderId="70" xfId="0" applyNumberFormat="1" applyFont="1" applyFill="1" applyBorder="1" applyAlignment="1" applyProtection="1">
      <alignment horizontal="right" vertical="center"/>
      <protection locked="0"/>
    </xf>
    <xf numFmtId="3" fontId="7" fillId="4" borderId="71" xfId="0" applyNumberFormat="1" applyFont="1" applyFill="1" applyBorder="1" applyAlignment="1" applyProtection="1">
      <alignment horizontal="right" vertical="center"/>
      <protection locked="0"/>
    </xf>
    <xf numFmtId="0" fontId="17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6" fillId="0" borderId="0" xfId="5" applyAlignment="1" applyProtection="1">
      <alignment horizontal="left"/>
      <protection hidden="1"/>
    </xf>
    <xf numFmtId="0" fontId="16" fillId="0" borderId="0" xfId="5" applyProtection="1">
      <protection hidden="1"/>
    </xf>
    <xf numFmtId="0" fontId="6" fillId="11" borderId="26" xfId="0" applyFont="1" applyFill="1" applyBorder="1" applyAlignment="1" applyProtection="1">
      <alignment horizontal="right" vertical="center" indent="1"/>
      <protection hidden="1"/>
    </xf>
    <xf numFmtId="0" fontId="17" fillId="9" borderId="27" xfId="6" applyBorder="1">
      <alignment horizontal="center" vertical="center"/>
      <protection locked="0"/>
    </xf>
    <xf numFmtId="0" fontId="9" fillId="10" borderId="5" xfId="0" applyNumberFormat="1" applyFont="1" applyFill="1" applyBorder="1" applyAlignment="1">
      <alignment horizontal="left" vertical="center" indent="1"/>
    </xf>
    <xf numFmtId="0" fontId="9" fillId="0" borderId="0" xfId="0" applyNumberFormat="1" applyFont="1" applyAlignment="1">
      <alignment horizontal="left" vertical="center" indent="1"/>
    </xf>
    <xf numFmtId="0" fontId="9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6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7" fillId="9" borderId="28" xfId="8" applyBorder="1" applyProtection="1">
      <alignment horizontal="left" vertical="center"/>
      <protection hidden="1"/>
    </xf>
    <xf numFmtId="0" fontId="17" fillId="9" borderId="29" xfId="8" applyBorder="1" applyProtection="1">
      <alignment horizontal="left" vertical="center"/>
      <protection hidden="1"/>
    </xf>
    <xf numFmtId="0" fontId="6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1" xfId="0" applyFill="1" applyBorder="1"/>
    <xf numFmtId="0" fontId="0" fillId="0" borderId="82" xfId="0" applyFill="1" applyBorder="1"/>
    <xf numFmtId="0" fontId="0" fillId="0" borderId="83" xfId="0" applyFill="1" applyBorder="1" applyAlignment="1">
      <alignment horizontal="left" vertical="center"/>
    </xf>
    <xf numFmtId="0" fontId="0" fillId="0" borderId="84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86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5" fillId="0" borderId="0" xfId="0" applyFont="1" applyBorder="1" applyAlignment="1">
      <alignment horizontal="right" vertical="center"/>
    </xf>
    <xf numFmtId="0" fontId="12" fillId="0" borderId="0" xfId="0" applyFont="1" applyBorder="1" applyAlignment="1" applyProtection="1">
      <alignment horizontal="left" vertical="center" wrapText="1" indent="1"/>
      <protection hidden="1"/>
    </xf>
    <xf numFmtId="0" fontId="12" fillId="0" borderId="0" xfId="0" applyFont="1" applyBorder="1" applyAlignment="1" applyProtection="1">
      <alignment horizontal="left" indent="1"/>
      <protection hidden="1"/>
    </xf>
    <xf numFmtId="0" fontId="12" fillId="0" borderId="0" xfId="0" applyFont="1" applyBorder="1" applyAlignment="1" applyProtection="1">
      <alignment horizontal="left" vertical="center" indent="1"/>
      <protection hidden="1"/>
    </xf>
    <xf numFmtId="0" fontId="18" fillId="3" borderId="30" xfId="0" applyFont="1" applyFill="1" applyBorder="1" applyAlignment="1" applyProtection="1">
      <alignment horizontal="center"/>
      <protection hidden="1"/>
    </xf>
    <xf numFmtId="0" fontId="14" fillId="7" borderId="66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8" fillId="6" borderId="28" xfId="4" applyFont="1" applyFill="1" applyBorder="1">
      <alignment horizontal="center" vertical="center" wrapText="1"/>
      <protection hidden="1"/>
    </xf>
    <xf numFmtId="168" fontId="8" fillId="0" borderId="22" xfId="4" applyFont="1" applyBorder="1">
      <alignment horizontal="center" vertical="center" wrapText="1"/>
      <protection hidden="1"/>
    </xf>
    <xf numFmtId="166" fontId="8" fillId="0" borderId="1" xfId="1" applyFont="1" applyFill="1" applyBorder="1">
      <alignment horizontal="center" vertical="center"/>
      <protection hidden="1"/>
    </xf>
    <xf numFmtId="168" fontId="8" fillId="4" borderId="22" xfId="4" applyFont="1" applyFill="1" applyBorder="1">
      <alignment horizontal="center" vertical="center" wrapText="1"/>
      <protection hidden="1"/>
    </xf>
    <xf numFmtId="166" fontId="8" fillId="4" borderId="1" xfId="1" applyFont="1" applyFill="1" applyBorder="1">
      <alignment horizontal="center" vertical="center"/>
      <protection hidden="1"/>
    </xf>
    <xf numFmtId="0" fontId="8" fillId="0" borderId="31" xfId="0" applyFont="1" applyBorder="1" applyAlignment="1" applyProtection="1">
      <protection hidden="1"/>
    </xf>
    <xf numFmtId="3" fontId="8" fillId="0" borderId="31" xfId="0" applyNumberFormat="1" applyFont="1" applyBorder="1" applyAlignment="1" applyProtection="1">
      <protection hidden="1"/>
    </xf>
    <xf numFmtId="0" fontId="8" fillId="0" borderId="0" xfId="0" applyFont="1" applyAlignment="1" applyProtection="1">
      <alignment vertical="center"/>
      <protection hidden="1"/>
    </xf>
    <xf numFmtId="0" fontId="8" fillId="0" borderId="0" xfId="0" applyFont="1" applyProtection="1">
      <protection hidden="1"/>
    </xf>
    <xf numFmtId="0" fontId="8" fillId="0" borderId="0" xfId="0" applyFont="1" applyAlignment="1" applyProtection="1">
      <alignment horizontal="right"/>
      <protection hidden="1"/>
    </xf>
    <xf numFmtId="0" fontId="8" fillId="0" borderId="0" xfId="0" applyFont="1" applyBorder="1" applyProtection="1">
      <protection hidden="1"/>
    </xf>
    <xf numFmtId="165" fontId="8" fillId="0" borderId="0" xfId="0" applyNumberFormat="1" applyFont="1" applyBorder="1" applyAlignment="1" applyProtection="1">
      <alignment vertical="center" wrapText="1"/>
      <protection hidden="1"/>
    </xf>
    <xf numFmtId="0" fontId="8" fillId="0" borderId="0" xfId="0" applyFont="1" applyFill="1" applyProtection="1">
      <protection hidden="1"/>
    </xf>
    <xf numFmtId="0" fontId="8" fillId="0" borderId="0" xfId="0" applyFont="1" applyFill="1" applyBorder="1" applyAlignment="1" applyProtection="1">
      <protection hidden="1"/>
    </xf>
    <xf numFmtId="0" fontId="8" fillId="0" borderId="0" xfId="0" applyFont="1"/>
    <xf numFmtId="0" fontId="8" fillId="0" borderId="0" xfId="0" applyFont="1" applyAlignment="1" applyProtection="1">
      <alignment horizontal="center"/>
      <protection hidden="1"/>
    </xf>
    <xf numFmtId="3" fontId="8" fillId="0" borderId="0" xfId="0" applyNumberFormat="1" applyFont="1" applyFill="1" applyBorder="1" applyAlignment="1" applyProtection="1">
      <alignment horizontal="right" vertical="center"/>
      <protection hidden="1"/>
    </xf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7" fillId="9" borderId="28" xfId="6" applyBorder="1">
      <alignment horizontal="center" vertical="center"/>
      <protection locked="0"/>
    </xf>
    <xf numFmtId="0" fontId="17" fillId="9" borderId="5" xfId="6" applyBorder="1">
      <alignment horizontal="center" vertical="center"/>
      <protection locked="0"/>
    </xf>
    <xf numFmtId="0" fontId="9" fillId="0" borderId="0" xfId="0" applyFont="1" applyFill="1" applyProtection="1">
      <protection hidden="1"/>
    </xf>
    <xf numFmtId="0" fontId="20" fillId="0" borderId="0" xfId="0" applyFont="1" applyFill="1" applyProtection="1">
      <protection hidden="1"/>
    </xf>
    <xf numFmtId="0" fontId="21" fillId="0" borderId="0" xfId="0" applyFont="1" applyFill="1" applyAlignment="1" applyProtection="1">
      <alignment horizontal="center" vertical="center"/>
      <protection hidden="1"/>
    </xf>
    <xf numFmtId="0" fontId="22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0" xfId="0" applyNumberFormat="1" applyFont="1" applyFill="1" applyBorder="1" applyAlignment="1" applyProtection="1">
      <alignment horizontal="right" vertical="center"/>
      <protection hidden="1"/>
    </xf>
    <xf numFmtId="3" fontId="0" fillId="0" borderId="70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8" xfId="0" applyNumberFormat="1" applyFont="1" applyBorder="1" applyAlignment="1" applyProtection="1">
      <alignment horizontal="right" vertical="center"/>
      <protection hidden="1"/>
    </xf>
    <xf numFmtId="3" fontId="0" fillId="4" borderId="70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0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0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7" fillId="0" borderId="70" xfId="0" applyNumberFormat="1" applyFont="1" applyFill="1" applyBorder="1" applyAlignment="1" applyProtection="1">
      <alignment horizontal="right" vertical="center"/>
      <protection locked="0"/>
    </xf>
    <xf numFmtId="3" fontId="7" fillId="0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0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0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7" fillId="0" borderId="70" xfId="0" applyNumberFormat="1" applyFont="1" applyFill="1" applyBorder="1" applyAlignment="1" applyProtection="1">
      <alignment horizontal="right" vertical="center" wrapText="1"/>
      <protection locked="0"/>
    </xf>
    <xf numFmtId="3" fontId="7" fillId="0" borderId="71" xfId="0" applyNumberFormat="1" applyFont="1" applyFill="1" applyBorder="1" applyAlignment="1" applyProtection="1">
      <alignment horizontal="right" vertical="center" wrapText="1"/>
      <protection locked="0"/>
    </xf>
    <xf numFmtId="0" fontId="17" fillId="0" borderId="4" xfId="8" quotePrefix="1" applyFill="1" applyAlignment="1" applyProtection="1">
      <alignment horizontal="left" vertical="center" indent="1"/>
      <protection hidden="1"/>
    </xf>
    <xf numFmtId="3" fontId="7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7" fillId="0" borderId="4" xfId="9" applyFont="1" applyProtection="1">
      <alignment horizontal="left" indent="1"/>
      <protection hidden="1"/>
    </xf>
    <xf numFmtId="168" fontId="7" fillId="6" borderId="28" xfId="4" applyFont="1" applyFill="1" applyBorder="1">
      <alignment horizontal="center" vertical="center" wrapText="1"/>
      <protection hidden="1"/>
    </xf>
    <xf numFmtId="168" fontId="7" fillId="4" borderId="32" xfId="4" applyFont="1" applyFill="1" applyBorder="1">
      <alignment horizontal="center" vertical="center" wrapText="1"/>
      <protection hidden="1"/>
    </xf>
    <xf numFmtId="166" fontId="7" fillId="4" borderId="9" xfId="1" applyFont="1" applyFill="1" applyBorder="1">
      <alignment horizontal="center" vertical="center"/>
      <protection hidden="1"/>
    </xf>
    <xf numFmtId="168" fontId="7" fillId="0" borderId="22" xfId="4" applyFont="1" applyBorder="1">
      <alignment horizontal="center" vertical="center" wrapText="1"/>
      <protection hidden="1"/>
    </xf>
    <xf numFmtId="166" fontId="7" fillId="0" borderId="1" xfId="1" applyFont="1" applyFill="1" applyBorder="1">
      <alignment horizontal="center" vertical="center"/>
      <protection hidden="1"/>
    </xf>
    <xf numFmtId="168" fontId="7" fillId="4" borderId="22" xfId="4" applyFont="1" applyFill="1" applyBorder="1">
      <alignment horizontal="center" vertical="center" wrapText="1"/>
      <protection hidden="1"/>
    </xf>
    <xf numFmtId="166" fontId="7" fillId="4" borderId="1" xfId="1" applyFont="1" applyFill="1" applyBorder="1">
      <alignment horizontal="center" vertical="center"/>
      <protection hidden="1"/>
    </xf>
    <xf numFmtId="168" fontId="7" fillId="4" borderId="7" xfId="4" applyFont="1" applyFill="1" applyBorder="1">
      <alignment horizontal="center" vertical="center" wrapText="1"/>
      <protection hidden="1"/>
    </xf>
    <xf numFmtId="166" fontId="7" fillId="4" borderId="6" xfId="1" applyFont="1" applyFill="1" applyBorder="1">
      <alignment horizontal="center" vertical="center"/>
      <protection hidden="1"/>
    </xf>
    <xf numFmtId="168" fontId="7" fillId="0" borderId="18" xfId="4" applyFont="1" applyBorder="1">
      <alignment horizontal="center" vertical="center" wrapText="1"/>
      <protection hidden="1"/>
    </xf>
    <xf numFmtId="166" fontId="7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7" fillId="6" borderId="34" xfId="0" applyFont="1" applyFill="1" applyBorder="1" applyAlignment="1" applyProtection="1">
      <alignment vertical="center"/>
      <protection hidden="1"/>
    </xf>
    <xf numFmtId="0" fontId="7" fillId="6" borderId="33" xfId="0" applyFont="1" applyFill="1" applyBorder="1" applyAlignment="1" applyProtection="1">
      <alignment vertical="center" wrapText="1"/>
      <protection hidden="1"/>
    </xf>
    <xf numFmtId="0" fontId="7" fillId="6" borderId="35" xfId="0" applyFont="1" applyFill="1" applyBorder="1" applyAlignment="1" applyProtection="1">
      <alignment vertical="center" wrapText="1"/>
      <protection hidden="1"/>
    </xf>
    <xf numFmtId="0" fontId="7" fillId="6" borderId="34" xfId="0" applyFont="1" applyFill="1" applyBorder="1" applyAlignment="1" applyProtection="1">
      <alignment horizontal="center" vertical="center" wrapText="1"/>
      <protection hidden="1"/>
    </xf>
    <xf numFmtId="0" fontId="7" fillId="6" borderId="29" xfId="0" applyFont="1" applyFill="1" applyBorder="1" applyAlignment="1" applyProtection="1">
      <alignment horizontal="center" vertical="center" wrapText="1"/>
      <protection hidden="1"/>
    </xf>
    <xf numFmtId="3" fontId="7" fillId="0" borderId="30" xfId="0" applyNumberFormat="1" applyFont="1" applyBorder="1" applyAlignment="1" applyProtection="1">
      <alignment vertical="center"/>
      <protection hidden="1"/>
    </xf>
    <xf numFmtId="3" fontId="7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7" xfId="0" applyFill="1" applyBorder="1"/>
    <xf numFmtId="0" fontId="0" fillId="0" borderId="88" xfId="0" applyFill="1" applyBorder="1"/>
    <xf numFmtId="0" fontId="0" fillId="0" borderId="89" xfId="0" applyFill="1" applyBorder="1"/>
    <xf numFmtId="166" fontId="8" fillId="4" borderId="70" xfId="1" applyFont="1" applyFill="1" applyBorder="1">
      <alignment horizontal="center" vertical="center"/>
      <protection hidden="1"/>
    </xf>
    <xf numFmtId="166" fontId="8" fillId="0" borderId="70" xfId="1" applyFont="1" applyFill="1" applyBorder="1">
      <alignment horizontal="center" vertical="center"/>
      <protection hidden="1"/>
    </xf>
    <xf numFmtId="166" fontId="7" fillId="4" borderId="70" xfId="1" applyFont="1" applyFill="1" applyBorder="1">
      <alignment horizontal="center" vertical="center"/>
      <protection hidden="1"/>
    </xf>
    <xf numFmtId="166" fontId="7" fillId="0" borderId="70" xfId="1" applyFont="1" applyFill="1" applyBorder="1">
      <alignment horizontal="center" vertical="center"/>
      <protection hidden="1"/>
    </xf>
    <xf numFmtId="3" fontId="7" fillId="0" borderId="36" xfId="0" applyNumberFormat="1" applyFont="1" applyBorder="1" applyAlignment="1" applyProtection="1">
      <alignment horizontal="right" vertical="center"/>
      <protection hidden="1"/>
    </xf>
    <xf numFmtId="3" fontId="7" fillId="0" borderId="37" xfId="0" applyNumberFormat="1" applyFont="1" applyBorder="1" applyAlignment="1" applyProtection="1">
      <alignment horizontal="right" vertical="center"/>
      <protection hidden="1"/>
    </xf>
    <xf numFmtId="49" fontId="8" fillId="0" borderId="4" xfId="9" applyBorder="1" applyAlignment="1">
      <protection hidden="1"/>
    </xf>
    <xf numFmtId="49" fontId="8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8" fillId="0" borderId="0" xfId="9" applyFill="1" applyBorder="1">
      <alignment horizontal="left" indent="1"/>
      <protection hidden="1"/>
    </xf>
    <xf numFmtId="0" fontId="8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5" fillId="0" borderId="0" xfId="0" applyFont="1" applyBorder="1" applyAlignment="1" applyProtection="1">
      <alignment vertical="center"/>
      <protection hidden="1"/>
    </xf>
    <xf numFmtId="0" fontId="8" fillId="0" borderId="0" xfId="0" applyFont="1" applyBorder="1" applyAlignment="1" applyProtection="1">
      <alignment horizontal="right"/>
      <protection hidden="1"/>
    </xf>
    <xf numFmtId="168" fontId="7" fillId="0" borderId="77" xfId="4" applyFont="1" applyBorder="1" applyAlignment="1">
      <alignment horizontal="center" vertical="center" wrapText="1"/>
      <protection hidden="1"/>
    </xf>
    <xf numFmtId="166" fontId="7" fillId="0" borderId="78" xfId="1" applyFont="1" applyFill="1" applyBorder="1">
      <alignment horizontal="center" vertical="center"/>
      <protection hidden="1"/>
    </xf>
    <xf numFmtId="168" fontId="7" fillId="4" borderId="69" xfId="4" applyFont="1" applyFill="1" applyBorder="1" applyAlignment="1">
      <alignment horizontal="center" vertical="center" wrapText="1"/>
      <protection hidden="1"/>
    </xf>
    <xf numFmtId="168" fontId="7" fillId="0" borderId="69" xfId="4" applyFont="1" applyBorder="1" applyAlignment="1">
      <alignment horizontal="center" vertical="center" wrapText="1"/>
      <protection hidden="1"/>
    </xf>
    <xf numFmtId="168" fontId="7" fillId="0" borderId="69" xfId="4" applyFont="1" applyFill="1" applyBorder="1" applyAlignment="1">
      <alignment horizontal="center" vertical="center" wrapText="1"/>
      <protection hidden="1"/>
    </xf>
    <xf numFmtId="168" fontId="8" fillId="4" borderId="69" xfId="4" applyFont="1" applyFill="1" applyBorder="1" applyAlignment="1">
      <alignment horizontal="center" vertical="center" wrapText="1"/>
      <protection hidden="1"/>
    </xf>
    <xf numFmtId="168" fontId="8" fillId="0" borderId="69" xfId="4" applyFont="1" applyBorder="1" applyAlignment="1">
      <alignment horizontal="center" vertical="center" wrapText="1"/>
      <protection hidden="1"/>
    </xf>
    <xf numFmtId="168" fontId="8" fillId="0" borderId="69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7" fillId="0" borderId="77" xfId="4" applyFont="1" applyBorder="1" applyProtection="1">
      <alignment horizontal="center" vertical="center" wrapText="1"/>
      <protection hidden="1"/>
    </xf>
    <xf numFmtId="166" fontId="7" fillId="0" borderId="78" xfId="1" applyFont="1" applyBorder="1" applyProtection="1">
      <alignment horizontal="center" vertical="center"/>
      <protection hidden="1"/>
    </xf>
    <xf numFmtId="168" fontId="7" fillId="4" borderId="69" xfId="4" applyFont="1" applyFill="1" applyBorder="1" applyProtection="1">
      <alignment horizontal="center" vertical="center" wrapText="1"/>
      <protection hidden="1"/>
    </xf>
    <xf numFmtId="166" fontId="7" fillId="4" borderId="70" xfId="1" applyFont="1" applyFill="1" applyBorder="1" applyProtection="1">
      <alignment horizontal="center" vertical="center"/>
      <protection hidden="1"/>
    </xf>
    <xf numFmtId="168" fontId="7" fillId="0" borderId="69" xfId="4" applyFont="1" applyBorder="1" applyProtection="1">
      <alignment horizontal="center" vertical="center" wrapText="1"/>
      <protection hidden="1"/>
    </xf>
    <xf numFmtId="166" fontId="7" fillId="0" borderId="70" xfId="1" applyFont="1" applyBorder="1" applyProtection="1">
      <alignment horizontal="center" vertical="center"/>
      <protection hidden="1"/>
    </xf>
    <xf numFmtId="168" fontId="7" fillId="0" borderId="72" xfId="4" applyFont="1" applyBorder="1" applyProtection="1">
      <alignment horizontal="center" vertical="center" wrapText="1"/>
      <protection hidden="1"/>
    </xf>
    <xf numFmtId="166" fontId="7" fillId="0" borderId="73" xfId="1" applyFont="1" applyBorder="1" applyProtection="1">
      <alignment horizontal="center" vertical="center"/>
      <protection hidden="1"/>
    </xf>
    <xf numFmtId="168" fontId="8" fillId="4" borderId="69" xfId="4" applyFont="1" applyFill="1" applyBorder="1" applyProtection="1">
      <alignment horizontal="center" vertical="center" wrapText="1"/>
      <protection hidden="1"/>
    </xf>
    <xf numFmtId="166" fontId="8" fillId="4" borderId="70" xfId="1" applyFont="1" applyFill="1" applyBorder="1" applyProtection="1">
      <alignment horizontal="center" vertical="center"/>
      <protection hidden="1"/>
    </xf>
    <xf numFmtId="168" fontId="8" fillId="0" borderId="69" xfId="4" applyFont="1" applyBorder="1" applyProtection="1">
      <alignment horizontal="center" vertical="center" wrapText="1"/>
      <protection hidden="1"/>
    </xf>
    <xf numFmtId="166" fontId="8" fillId="0" borderId="70" xfId="1" applyFont="1" applyBorder="1" applyProtection="1">
      <alignment horizontal="center" vertical="center"/>
      <protection hidden="1"/>
    </xf>
    <xf numFmtId="168" fontId="8" fillId="4" borderId="72" xfId="4" applyFont="1" applyFill="1" applyBorder="1" applyAlignment="1">
      <alignment horizontal="center" vertical="center" wrapText="1"/>
      <protection hidden="1"/>
    </xf>
    <xf numFmtId="166" fontId="8" fillId="4" borderId="73" xfId="1" applyFont="1" applyFill="1" applyBorder="1">
      <alignment horizontal="center" vertical="center"/>
      <protection hidden="1"/>
    </xf>
    <xf numFmtId="3" fontId="0" fillId="0" borderId="70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0" fontId="18" fillId="3" borderId="12" xfId="0" quotePrefix="1" applyNumberFormat="1" applyFont="1" applyFill="1" applyBorder="1" applyAlignment="1" applyProtection="1">
      <alignment horizontal="center"/>
      <protection hidden="1"/>
    </xf>
    <xf numFmtId="168" fontId="7" fillId="4" borderId="69" xfId="4" applyFont="1" applyFill="1" applyBorder="1">
      <alignment horizontal="center" vertical="center" wrapText="1"/>
      <protection hidden="1"/>
    </xf>
    <xf numFmtId="168" fontId="7" fillId="0" borderId="69" xfId="4" applyFont="1" applyBorder="1">
      <alignment horizontal="center" vertical="center" wrapText="1"/>
      <protection hidden="1"/>
    </xf>
    <xf numFmtId="166" fontId="7" fillId="0" borderId="70" xfId="1" applyFont="1" applyBorder="1">
      <alignment horizontal="center" vertical="center"/>
      <protection hidden="1"/>
    </xf>
    <xf numFmtId="168" fontId="8" fillId="0" borderId="77" xfId="4" applyFont="1" applyBorder="1">
      <alignment horizontal="center" vertical="center" wrapText="1"/>
      <protection hidden="1"/>
    </xf>
    <xf numFmtId="166" fontId="8" fillId="0" borderId="78" xfId="1" applyFont="1" applyBorder="1">
      <alignment horizontal="center" vertical="center"/>
      <protection hidden="1"/>
    </xf>
    <xf numFmtId="168" fontId="8" fillId="4" borderId="69" xfId="4" applyFont="1" applyFill="1" applyBorder="1">
      <alignment horizontal="center" vertical="center" wrapText="1"/>
      <protection hidden="1"/>
    </xf>
    <xf numFmtId="168" fontId="8" fillId="0" borderId="69" xfId="4" applyFont="1" applyBorder="1">
      <alignment horizontal="center" vertical="center" wrapText="1"/>
      <protection hidden="1"/>
    </xf>
    <xf numFmtId="166" fontId="8" fillId="0" borderId="70" xfId="1" applyFont="1" applyBorder="1">
      <alignment horizontal="center" vertical="center"/>
      <protection hidden="1"/>
    </xf>
    <xf numFmtId="168" fontId="8" fillId="4" borderId="72" xfId="4" applyFont="1" applyFill="1" applyBorder="1">
      <alignment horizontal="center" vertical="center" wrapText="1"/>
      <protection hidden="1"/>
    </xf>
    <xf numFmtId="3" fontId="7" fillId="0" borderId="73" xfId="0" applyNumberFormat="1" applyFont="1" applyBorder="1" applyAlignment="1" applyProtection="1">
      <alignment horizontal="right" vertical="center"/>
      <protection hidden="1"/>
    </xf>
    <xf numFmtId="3" fontId="7" fillId="0" borderId="80" xfId="0" applyNumberFormat="1" applyFont="1" applyBorder="1" applyAlignment="1" applyProtection="1">
      <alignment horizontal="right" vertical="center"/>
      <protection hidden="1"/>
    </xf>
    <xf numFmtId="38" fontId="7" fillId="4" borderId="15" xfId="0" applyNumberFormat="1" applyFont="1" applyFill="1" applyBorder="1" applyAlignment="1" applyProtection="1">
      <alignment horizontal="right" vertical="center"/>
      <protection hidden="1"/>
    </xf>
    <xf numFmtId="38" fontId="7" fillId="4" borderId="38" xfId="0" applyNumberFormat="1" applyFont="1" applyFill="1" applyBorder="1" applyAlignment="1" applyProtection="1">
      <alignment horizontal="right" vertical="center"/>
      <protection hidden="1"/>
    </xf>
    <xf numFmtId="38" fontId="7" fillId="0" borderId="73" xfId="0" applyNumberFormat="1" applyFont="1" applyFill="1" applyBorder="1" applyAlignment="1" applyProtection="1">
      <alignment horizontal="right" vertical="center"/>
      <protection hidden="1"/>
    </xf>
    <xf numFmtId="38" fontId="7" fillId="0" borderId="80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7" fillId="0" borderId="1" xfId="0" applyNumberFormat="1" applyFont="1" applyBorder="1" applyAlignment="1" applyProtection="1">
      <alignment horizontal="right" vertical="center"/>
      <protection locked="0"/>
    </xf>
    <xf numFmtId="3" fontId="7" fillId="0" borderId="11" xfId="0" applyNumberFormat="1" applyFont="1" applyBorder="1" applyAlignment="1" applyProtection="1">
      <alignment horizontal="right" vertical="center"/>
      <protection locked="0"/>
    </xf>
    <xf numFmtId="167" fontId="7" fillId="4" borderId="1" xfId="0" applyNumberFormat="1" applyFont="1" applyFill="1" applyBorder="1" applyAlignment="1" applyProtection="1">
      <alignment horizontal="right" vertical="center"/>
      <protection locked="0"/>
    </xf>
    <xf numFmtId="167" fontId="7" fillId="4" borderId="11" xfId="0" applyNumberFormat="1" applyFont="1" applyFill="1" applyBorder="1" applyAlignment="1" applyProtection="1">
      <alignment horizontal="right" vertical="center"/>
      <protection locked="0"/>
    </xf>
    <xf numFmtId="3" fontId="7" fillId="4" borderId="11" xfId="0" applyNumberFormat="1" applyFont="1" applyFill="1" applyBorder="1" applyAlignment="1" applyProtection="1">
      <alignment horizontal="right" vertical="center"/>
      <protection locked="0"/>
    </xf>
    <xf numFmtId="3" fontId="7" fillId="4" borderId="0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7" fillId="4" borderId="17" xfId="0" applyNumberFormat="1" applyFont="1" applyFill="1" applyBorder="1" applyAlignment="1" applyProtection="1">
      <alignment horizontal="right" vertical="center"/>
      <protection locked="0"/>
    </xf>
    <xf numFmtId="3" fontId="7" fillId="4" borderId="21" xfId="0" applyNumberFormat="1" applyFont="1" applyFill="1" applyBorder="1" applyAlignment="1" applyProtection="1">
      <alignment horizontal="right" vertical="center"/>
      <protection locked="0"/>
    </xf>
    <xf numFmtId="3" fontId="7" fillId="0" borderId="17" xfId="0" applyNumberFormat="1" applyFont="1" applyBorder="1" applyAlignment="1" applyProtection="1">
      <alignment horizontal="right" vertical="center"/>
      <protection locked="0"/>
    </xf>
    <xf numFmtId="3" fontId="7" fillId="0" borderId="21" xfId="0" applyNumberFormat="1" applyFont="1" applyBorder="1" applyAlignment="1" applyProtection="1">
      <alignment horizontal="right" vertical="center"/>
      <protection locked="0"/>
    </xf>
    <xf numFmtId="3" fontId="7" fillId="0" borderId="70" xfId="0" applyNumberFormat="1" applyFont="1" applyBorder="1" applyAlignment="1" applyProtection="1">
      <alignment horizontal="right" vertical="center"/>
      <protection locked="0"/>
    </xf>
    <xf numFmtId="3" fontId="7" fillId="0" borderId="71" xfId="0" applyNumberFormat="1" applyFont="1" applyBorder="1" applyAlignment="1" applyProtection="1">
      <alignment horizontal="right" vertical="center"/>
      <protection locked="0"/>
    </xf>
    <xf numFmtId="0" fontId="7" fillId="4" borderId="70" xfId="0" applyNumberFormat="1" applyFont="1" applyFill="1" applyBorder="1" applyAlignment="1" applyProtection="1">
      <alignment horizontal="right" vertical="center"/>
      <protection locked="0"/>
    </xf>
    <xf numFmtId="0" fontId="7" fillId="4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0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0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3" xfId="0" applyNumberFormat="1" applyFont="1" applyFill="1" applyBorder="1" applyAlignment="1" applyProtection="1">
      <alignment horizontal="right" vertical="center"/>
      <protection locked="0"/>
    </xf>
    <xf numFmtId="3" fontId="0" fillId="0" borderId="78" xfId="0" applyNumberFormat="1" applyFont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4" borderId="73" xfId="0" applyNumberFormat="1" applyFont="1" applyFill="1" applyBorder="1" applyAlignment="1" applyProtection="1">
      <alignment horizontal="right" vertical="center"/>
      <protection locked="0"/>
    </xf>
    <xf numFmtId="3" fontId="7" fillId="0" borderId="78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9" fillId="0" borderId="0" xfId="0" applyFont="1" applyFill="1" applyAlignment="1" applyProtection="1">
      <alignment horizontal="left" inden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9" fillId="0" borderId="39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9" fillId="0" borderId="41" xfId="0" applyFont="1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23" fillId="0" borderId="41" xfId="0" applyFont="1" applyFill="1" applyBorder="1" applyProtection="1">
      <protection hidden="1"/>
    </xf>
    <xf numFmtId="0" fontId="23" fillId="0" borderId="43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4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2" xfId="0" applyNumberFormat="1" applyFill="1" applyBorder="1"/>
    <xf numFmtId="0" fontId="0" fillId="0" borderId="4" xfId="0" applyFill="1" applyBorder="1"/>
    <xf numFmtId="0" fontId="28" fillId="15" borderId="66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9" fillId="14" borderId="0" xfId="12" applyFont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17" fillId="9" borderId="2" xfId="6" applyProtection="1">
      <alignment horizontal="center" vertical="center"/>
      <protection locked="0"/>
    </xf>
    <xf numFmtId="3" fontId="31" fillId="0" borderId="11" xfId="14" applyNumberFormat="1" applyFont="1" applyBorder="1" applyAlignment="1" applyProtection="1">
      <alignment horizontal="right" vertical="center"/>
      <protection locked="0"/>
    </xf>
    <xf numFmtId="3" fontId="31" fillId="16" borderId="11" xfId="14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7" fillId="0" borderId="71" xfId="0" applyNumberFormat="1" applyFont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7" fillId="4" borderId="17" xfId="0" applyNumberFormat="1" applyFont="1" applyFill="1" applyBorder="1" applyAlignment="1" applyProtection="1">
      <alignment vertical="center"/>
      <protection locked="0"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 hidden="1"/>
    </xf>
    <xf numFmtId="171" fontId="32" fillId="0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80" xfId="0" applyNumberFormat="1" applyFont="1" applyFill="1" applyBorder="1" applyAlignment="1" applyProtection="1">
      <alignment horizontal="right" vertical="center"/>
      <protection locked="0" hidden="1"/>
    </xf>
    <xf numFmtId="0" fontId="0" fillId="0" borderId="71" xfId="0" applyNumberFormat="1" applyFont="1" applyFill="1" applyBorder="1" applyAlignment="1" applyProtection="1">
      <alignment horizontal="right" vertical="center"/>
      <protection locked="0" hidden="1"/>
    </xf>
    <xf numFmtId="3" fontId="7" fillId="4" borderId="71" xfId="0" applyNumberFormat="1" applyFont="1" applyFill="1" applyBorder="1" applyAlignment="1" applyProtection="1">
      <alignment horizontal="right" vertical="center"/>
      <protection locked="0" hidden="1"/>
    </xf>
    <xf numFmtId="3" fontId="0" fillId="4" borderId="80" xfId="0" applyNumberFormat="1" applyFont="1" applyFill="1" applyBorder="1" applyAlignment="1" applyProtection="1">
      <alignment horizontal="right" vertical="center"/>
      <protection locked="0"/>
    </xf>
    <xf numFmtId="3" fontId="7" fillId="4" borderId="6" xfId="0" applyNumberFormat="1" applyFont="1" applyFill="1" applyBorder="1" applyAlignment="1" applyProtection="1">
      <alignment horizontal="right" vertical="center"/>
      <protection locked="0" hidden="1"/>
    </xf>
    <xf numFmtId="0" fontId="21" fillId="0" borderId="0" xfId="0" applyFont="1" applyFill="1" applyAlignment="1" applyProtection="1">
      <alignment horizontal="center" vertical="center"/>
      <protection hidden="1"/>
    </xf>
    <xf numFmtId="0" fontId="24" fillId="0" borderId="4" xfId="6" applyFont="1" applyFill="1" applyBorder="1" applyAlignment="1" applyProtection="1">
      <alignment horizontal="right" vertical="center" indent="1"/>
      <protection hidden="1"/>
    </xf>
    <xf numFmtId="0" fontId="24" fillId="9" borderId="28" xfId="6" applyFont="1" applyBorder="1" applyAlignment="1">
      <alignment horizontal="right" vertical="center" indent="1"/>
      <protection locked="0"/>
    </xf>
    <xf numFmtId="0" fontId="24" fillId="9" borderId="29" xfId="6" applyFont="1" applyBorder="1" applyAlignment="1">
      <alignment horizontal="right" vertical="center" indent="1"/>
      <protection locked="0"/>
    </xf>
    <xf numFmtId="0" fontId="24" fillId="9" borderId="45" xfId="6" applyFont="1" applyBorder="1" applyAlignment="1">
      <alignment horizontal="center" vertical="center"/>
      <protection locked="0"/>
    </xf>
    <xf numFmtId="0" fontId="24" fillId="9" borderId="46" xfId="6" applyFont="1" applyBorder="1" applyAlignment="1">
      <alignment horizontal="center" vertical="center"/>
      <protection locked="0"/>
    </xf>
    <xf numFmtId="0" fontId="24" fillId="9" borderId="47" xfId="6" applyFont="1" applyBorder="1" applyAlignment="1">
      <alignment horizontal="center" vertical="center"/>
      <protection locked="0"/>
    </xf>
    <xf numFmtId="0" fontId="24" fillId="9" borderId="48" xfId="6" applyFont="1" applyBorder="1" applyAlignment="1">
      <alignment horizontal="center" vertical="center"/>
      <protection locked="0"/>
    </xf>
    <xf numFmtId="0" fontId="24" fillId="9" borderId="0" xfId="6" applyFont="1" applyBorder="1" applyAlignment="1">
      <alignment horizontal="center" vertical="center"/>
      <protection locked="0"/>
    </xf>
    <xf numFmtId="0" fontId="24" fillId="9" borderId="49" xfId="6" applyFont="1" applyBorder="1" applyAlignment="1">
      <alignment horizontal="center" vertical="center"/>
      <protection locked="0"/>
    </xf>
    <xf numFmtId="0" fontId="24" fillId="9" borderId="50" xfId="6" applyFont="1" applyBorder="1" applyAlignment="1">
      <alignment horizontal="center" vertical="center"/>
      <protection locked="0"/>
    </xf>
    <xf numFmtId="0" fontId="24" fillId="9" borderId="51" xfId="6" applyFont="1" applyBorder="1" applyAlignment="1">
      <alignment horizontal="center" vertical="center"/>
      <protection locked="0"/>
    </xf>
    <xf numFmtId="0" fontId="24" fillId="9" borderId="52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5" fillId="9" borderId="4" xfId="8" applyFont="1" applyAlignment="1" applyProtection="1">
      <alignment horizontal="left" vertical="center"/>
      <protection locked="0"/>
    </xf>
    <xf numFmtId="0" fontId="17" fillId="9" borderId="28" xfId="6" applyBorder="1" applyAlignment="1">
      <alignment horizontal="right" vertical="center" indent="1"/>
      <protection locked="0"/>
    </xf>
    <xf numFmtId="0" fontId="17" fillId="9" borderId="33" xfId="6" applyBorder="1" applyAlignment="1">
      <alignment horizontal="right" vertical="center" indent="1"/>
      <protection locked="0"/>
    </xf>
    <xf numFmtId="0" fontId="17" fillId="9" borderId="29" xfId="6" applyBorder="1" applyAlignment="1">
      <alignment horizontal="right" vertical="center" indent="1"/>
      <protection locked="0"/>
    </xf>
    <xf numFmtId="0" fontId="17" fillId="9" borderId="4" xfId="8" applyFont="1" applyProtection="1">
      <alignment horizontal="left" vertical="center"/>
      <protection locked="0"/>
    </xf>
    <xf numFmtId="0" fontId="17" fillId="9" borderId="4" xfId="8" applyProtection="1">
      <alignment horizontal="left" vertical="center"/>
      <protection locked="0"/>
    </xf>
    <xf numFmtId="0" fontId="17" fillId="9" borderId="4" xfId="8">
      <alignment horizontal="left" vertical="center"/>
      <protection locked="0"/>
    </xf>
    <xf numFmtId="0" fontId="3" fillId="9" borderId="4" xfId="8" applyFont="1" applyProtection="1">
      <alignment horizontal="left" vertical="center"/>
      <protection locked="0"/>
    </xf>
    <xf numFmtId="0" fontId="17" fillId="9" borderId="4" xfId="8" applyBorder="1">
      <alignment horizontal="left" vertical="center"/>
      <protection locked="0"/>
    </xf>
    <xf numFmtId="0" fontId="2" fillId="9" borderId="4" xfId="8" applyFont="1" applyProtection="1">
      <alignment horizontal="left" vertical="center"/>
      <protection locked="0"/>
    </xf>
    <xf numFmtId="0" fontId="1" fillId="9" borderId="4" xfId="8" applyFont="1">
      <alignment horizontal="left" vertical="center"/>
      <protection locked="0"/>
    </xf>
    <xf numFmtId="0" fontId="18" fillId="3" borderId="30" xfId="0" applyFont="1" applyFill="1" applyBorder="1" applyAlignment="1" applyProtection="1">
      <alignment horizontal="center"/>
      <protection hidden="1"/>
    </xf>
    <xf numFmtId="0" fontId="18" fillId="3" borderId="36" xfId="0" applyFont="1" applyFill="1" applyBorder="1" applyAlignment="1" applyProtection="1">
      <alignment horizontal="center"/>
      <protection hidden="1"/>
    </xf>
    <xf numFmtId="0" fontId="18" fillId="3" borderId="54" xfId="0" applyFont="1" applyFill="1" applyBorder="1" applyAlignment="1" applyProtection="1">
      <alignment horizontal="center" vertical="center" wrapText="1"/>
      <protection hidden="1"/>
    </xf>
    <xf numFmtId="0" fontId="18" fillId="3" borderId="32" xfId="0" applyFont="1" applyFill="1" applyBorder="1" applyAlignment="1" applyProtection="1">
      <alignment horizontal="center" vertical="center" wrapText="1"/>
      <protection hidden="1"/>
    </xf>
    <xf numFmtId="0" fontId="18" fillId="3" borderId="24" xfId="0" applyFont="1" applyFill="1" applyBorder="1" applyAlignment="1" applyProtection="1">
      <alignment horizontal="center" vertical="center" wrapText="1"/>
      <protection hidden="1"/>
    </xf>
    <xf numFmtId="0" fontId="18" fillId="3" borderId="61" xfId="0" applyFont="1" applyFill="1" applyBorder="1" applyAlignment="1" applyProtection="1">
      <alignment horizontal="center" vertical="center" wrapText="1"/>
      <protection hidden="1"/>
    </xf>
    <xf numFmtId="0" fontId="18" fillId="3" borderId="62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3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3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7" fillId="4" borderId="16" xfId="0" applyFont="1" applyFill="1" applyBorder="1" applyAlignment="1" applyProtection="1">
      <alignment horizontal="left" vertical="center" wrapText="1"/>
      <protection hidden="1"/>
    </xf>
    <xf numFmtId="0" fontId="7" fillId="4" borderId="53" xfId="0" applyFont="1" applyFill="1" applyBorder="1" applyAlignment="1" applyProtection="1">
      <alignment horizontal="left" vertical="center" wrapText="1"/>
      <protection hidden="1"/>
    </xf>
    <xf numFmtId="0" fontId="7" fillId="4" borderId="17" xfId="0" applyFont="1" applyFill="1" applyBorder="1" applyAlignment="1" applyProtection="1">
      <alignment horizontal="left" vertical="center" wrapText="1"/>
      <protection hidden="1"/>
    </xf>
    <xf numFmtId="0" fontId="18" fillId="3" borderId="55" xfId="0" applyFont="1" applyFill="1" applyBorder="1" applyAlignment="1" applyProtection="1">
      <alignment horizontal="center"/>
      <protection hidden="1"/>
    </xf>
    <xf numFmtId="0" fontId="7" fillId="0" borderId="16" xfId="0" applyFont="1" applyBorder="1" applyAlignment="1" applyProtection="1">
      <alignment horizontal="left" vertical="center" wrapText="1"/>
      <protection hidden="1"/>
    </xf>
    <xf numFmtId="0" fontId="7" fillId="0" borderId="53" xfId="0" applyFont="1" applyBorder="1" applyAlignment="1" applyProtection="1">
      <alignment horizontal="left" vertical="center" wrapText="1"/>
      <protection hidden="1"/>
    </xf>
    <xf numFmtId="0" fontId="7" fillId="0" borderId="17" xfId="0" applyFont="1" applyBorder="1" applyAlignment="1" applyProtection="1">
      <alignment horizontal="left" vertical="center" wrapText="1"/>
      <protection hidden="1"/>
    </xf>
    <xf numFmtId="0" fontId="7" fillId="0" borderId="30" xfId="0" applyFont="1" applyBorder="1" applyAlignment="1" applyProtection="1">
      <alignment horizontal="left" vertical="center" wrapText="1"/>
      <protection hidden="1"/>
    </xf>
    <xf numFmtId="0" fontId="7" fillId="0" borderId="55" xfId="0" applyFont="1" applyBorder="1" applyAlignment="1" applyProtection="1">
      <alignment horizontal="left" vertical="center" wrapText="1"/>
      <protection hidden="1"/>
    </xf>
    <xf numFmtId="0" fontId="7" fillId="0" borderId="36" xfId="0" applyFont="1" applyBorder="1" applyAlignment="1" applyProtection="1">
      <alignment horizontal="left" vertical="center" wrapText="1"/>
      <protection hidden="1"/>
    </xf>
    <xf numFmtId="0" fontId="7" fillId="6" borderId="33" xfId="0" applyFont="1" applyFill="1" applyBorder="1" applyAlignment="1" applyProtection="1">
      <alignment horizontal="left" vertical="center"/>
      <protection hidden="1"/>
    </xf>
    <xf numFmtId="0" fontId="7" fillId="6" borderId="35" xfId="0" applyFont="1" applyFill="1" applyBorder="1" applyAlignment="1" applyProtection="1">
      <alignment horizontal="left" vertical="center"/>
      <protection hidden="1"/>
    </xf>
    <xf numFmtId="0" fontId="7" fillId="4" borderId="14" xfId="0" applyFont="1" applyFill="1" applyBorder="1" applyAlignment="1" applyProtection="1">
      <alignment horizontal="left" vertical="center" wrapText="1"/>
      <protection hidden="1"/>
    </xf>
    <xf numFmtId="0" fontId="7" fillId="4" borderId="56" xfId="0" applyFont="1" applyFill="1" applyBorder="1" applyAlignment="1" applyProtection="1">
      <alignment horizontal="left" vertical="center" wrapText="1"/>
      <protection hidden="1"/>
    </xf>
    <xf numFmtId="0" fontId="7" fillId="4" borderId="15" xfId="0" applyFont="1" applyFill="1" applyBorder="1" applyAlignment="1" applyProtection="1">
      <alignment horizontal="left" vertical="center" wrapText="1"/>
      <protection hidden="1"/>
    </xf>
    <xf numFmtId="0" fontId="18" fillId="3" borderId="63" xfId="0" applyFont="1" applyFill="1" applyBorder="1" applyAlignment="1" applyProtection="1">
      <alignment horizontal="center" vertical="center" wrapText="1"/>
      <protection hidden="1"/>
    </xf>
    <xf numFmtId="0" fontId="18" fillId="3" borderId="64" xfId="0" applyFont="1" applyFill="1" applyBorder="1" applyAlignment="1" applyProtection="1">
      <alignment horizontal="center" vertical="center" wrapText="1"/>
      <protection hidden="1"/>
    </xf>
    <xf numFmtId="0" fontId="18" fillId="3" borderId="57" xfId="0" applyFont="1" applyFill="1" applyBorder="1" applyAlignment="1" applyProtection="1">
      <alignment horizontal="center" vertical="center"/>
      <protection hidden="1"/>
    </xf>
    <xf numFmtId="0" fontId="18" fillId="3" borderId="31" xfId="0" applyFont="1" applyFill="1" applyBorder="1" applyAlignment="1" applyProtection="1">
      <alignment horizontal="center" vertical="center"/>
      <protection hidden="1"/>
    </xf>
    <xf numFmtId="0" fontId="18" fillId="3" borderId="58" xfId="0" applyFont="1" applyFill="1" applyBorder="1" applyAlignment="1" applyProtection="1">
      <alignment horizontal="center" vertical="center"/>
      <protection hidden="1"/>
    </xf>
    <xf numFmtId="0" fontId="18" fillId="3" borderId="59" xfId="0" applyFont="1" applyFill="1" applyBorder="1" applyAlignment="1" applyProtection="1">
      <alignment horizontal="center" vertical="center"/>
      <protection hidden="1"/>
    </xf>
    <xf numFmtId="0" fontId="18" fillId="3" borderId="65" xfId="0" applyFont="1" applyFill="1" applyBorder="1" applyAlignment="1" applyProtection="1">
      <alignment horizontal="center" vertical="center"/>
      <protection hidden="1"/>
    </xf>
    <xf numFmtId="0" fontId="18" fillId="3" borderId="60" xfId="0" applyFont="1" applyFill="1" applyBorder="1" applyAlignment="1" applyProtection="1">
      <alignment horizontal="center" vertical="center"/>
      <protection hidden="1"/>
    </xf>
    <xf numFmtId="0" fontId="18" fillId="3" borderId="57" xfId="0" applyFont="1" applyFill="1" applyBorder="1" applyAlignment="1" applyProtection="1">
      <alignment horizontal="center" vertical="center" wrapText="1"/>
      <protection hidden="1"/>
    </xf>
    <xf numFmtId="0" fontId="18" fillId="3" borderId="58" xfId="0" applyFont="1" applyFill="1" applyBorder="1" applyAlignment="1" applyProtection="1">
      <alignment horizontal="center" vertical="center" wrapText="1"/>
      <protection hidden="1"/>
    </xf>
    <xf numFmtId="0" fontId="18" fillId="3" borderId="59" xfId="0" applyFont="1" applyFill="1" applyBorder="1" applyAlignment="1" applyProtection="1">
      <alignment horizontal="center" vertical="center" wrapText="1"/>
      <protection hidden="1"/>
    </xf>
    <xf numFmtId="0" fontId="18" fillId="3" borderId="60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left" wrapText="1"/>
      <protection hidden="1"/>
    </xf>
    <xf numFmtId="0" fontId="18" fillId="13" borderId="57" xfId="0" applyFont="1" applyFill="1" applyBorder="1" applyAlignment="1" applyProtection="1">
      <alignment horizontal="center" vertical="center"/>
      <protection hidden="1"/>
    </xf>
    <xf numFmtId="0" fontId="18" fillId="13" borderId="31" xfId="0" applyFont="1" applyFill="1" applyBorder="1" applyAlignment="1" applyProtection="1">
      <alignment horizontal="center" vertical="center"/>
      <protection hidden="1"/>
    </xf>
    <xf numFmtId="0" fontId="18" fillId="13" borderId="58" xfId="0" applyFont="1" applyFill="1" applyBorder="1" applyAlignment="1" applyProtection="1">
      <alignment horizontal="center" vertical="center"/>
      <protection hidden="1"/>
    </xf>
    <xf numFmtId="0" fontId="18" fillId="13" borderId="59" xfId="0" applyFont="1" applyFill="1" applyBorder="1" applyAlignment="1" applyProtection="1">
      <alignment horizontal="center" vertical="center"/>
      <protection hidden="1"/>
    </xf>
    <xf numFmtId="0" fontId="18" fillId="13" borderId="65" xfId="0" applyFont="1" applyFill="1" applyBorder="1" applyAlignment="1" applyProtection="1">
      <alignment horizontal="center" vertical="center"/>
      <protection hidden="1"/>
    </xf>
    <xf numFmtId="0" fontId="18" fillId="13" borderId="60" xfId="0" applyFont="1" applyFill="1" applyBorder="1" applyAlignment="1" applyProtection="1">
      <alignment horizontal="center" vertical="center"/>
      <protection hidden="1"/>
    </xf>
    <xf numFmtId="0" fontId="8" fillId="0" borderId="4" xfId="10" applyFont="1">
      <alignment horizontal="left" indent="1"/>
      <protection hidden="1"/>
    </xf>
    <xf numFmtId="0" fontId="18" fillId="3" borderId="25" xfId="0" applyFont="1" applyFill="1" applyBorder="1" applyAlignment="1" applyProtection="1">
      <alignment horizontal="center" vertical="center" wrapText="1"/>
      <protection hidden="1"/>
    </xf>
    <xf numFmtId="49" fontId="8" fillId="0" borderId="4" xfId="9" applyFont="1">
      <alignment horizontal="left" indent="1"/>
      <protection hidden="1"/>
    </xf>
    <xf numFmtId="0" fontId="18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7" fillId="6" borderId="33" xfId="0" applyFont="1" applyFill="1" applyBorder="1" applyAlignment="1" applyProtection="1">
      <alignment horizontal="left" vertical="center" wrapText="1"/>
      <protection hidden="1"/>
    </xf>
    <xf numFmtId="49" fontId="7" fillId="0" borderId="4" xfId="9" applyFont="1" applyAlignment="1">
      <alignment horizontal="left"/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0" fillId="0" borderId="70" xfId="0" applyFont="1" applyBorder="1" applyAlignment="1" applyProtection="1">
      <alignment horizontal="left" vertical="center" wrapText="1"/>
      <protection hidden="1"/>
    </xf>
    <xf numFmtId="0" fontId="0" fillId="4" borderId="73" xfId="0" applyFont="1" applyFill="1" applyBorder="1" applyAlignment="1" applyProtection="1">
      <alignment horizontal="left" vertical="center" wrapText="1"/>
      <protection hidden="1"/>
    </xf>
    <xf numFmtId="0" fontId="18" fillId="3" borderId="90" xfId="0" applyFont="1" applyFill="1" applyBorder="1" applyAlignment="1" applyProtection="1">
      <alignment horizontal="center" vertical="center" wrapText="1"/>
      <protection hidden="1"/>
    </xf>
    <xf numFmtId="0" fontId="18" fillId="3" borderId="67" xfId="0" applyFont="1" applyFill="1" applyBorder="1" applyAlignment="1" applyProtection="1">
      <alignment horizontal="center" vertical="center" wrapText="1"/>
      <protection hidden="1"/>
    </xf>
    <xf numFmtId="0" fontId="18" fillId="3" borderId="90" xfId="0" applyFont="1" applyFill="1" applyBorder="1" applyAlignment="1" applyProtection="1">
      <alignment horizontal="center" vertical="center"/>
      <protection hidden="1"/>
    </xf>
    <xf numFmtId="0" fontId="18" fillId="3" borderId="91" xfId="0" applyFont="1" applyFill="1" applyBorder="1" applyAlignment="1" applyProtection="1">
      <alignment horizontal="center" vertical="center"/>
      <protection hidden="1"/>
    </xf>
    <xf numFmtId="0" fontId="7" fillId="4" borderId="70" xfId="0" applyFont="1" applyFill="1" applyBorder="1" applyAlignment="1" applyProtection="1">
      <alignment horizontal="left" vertical="center" wrapText="1"/>
      <protection hidden="1"/>
    </xf>
    <xf numFmtId="0" fontId="0" fillId="4" borderId="70" xfId="0" applyFont="1" applyFill="1" applyBorder="1" applyAlignment="1" applyProtection="1">
      <alignment horizontal="left" vertical="center" wrapText="1"/>
      <protection hidden="1"/>
    </xf>
    <xf numFmtId="0" fontId="7" fillId="0" borderId="92" xfId="0" applyFont="1" applyBorder="1" applyAlignment="1" applyProtection="1">
      <alignment horizontal="left" vertical="center" wrapText="1"/>
      <protection hidden="1"/>
    </xf>
    <xf numFmtId="0" fontId="7" fillId="0" borderId="93" xfId="0" applyFont="1" applyBorder="1" applyAlignment="1" applyProtection="1">
      <alignment horizontal="left" vertical="center" wrapText="1"/>
      <protection hidden="1"/>
    </xf>
    <xf numFmtId="0" fontId="7" fillId="0" borderId="94" xfId="0" applyFont="1" applyBorder="1" applyAlignment="1" applyProtection="1">
      <alignment horizontal="left" vertical="center" wrapText="1"/>
      <protection hidden="1"/>
    </xf>
    <xf numFmtId="0" fontId="7" fillId="0" borderId="70" xfId="0" applyFont="1" applyBorder="1" applyAlignment="1" applyProtection="1">
      <alignment horizontal="left" vertical="center" wrapText="1"/>
      <protection hidden="1"/>
    </xf>
    <xf numFmtId="0" fontId="8" fillId="0" borderId="4" xfId="10">
      <alignment horizontal="left" indent="1"/>
      <protection hidden="1"/>
    </xf>
    <xf numFmtId="0" fontId="18" fillId="3" borderId="95" xfId="0" applyFont="1" applyFill="1" applyBorder="1" applyAlignment="1" applyProtection="1">
      <alignment horizontal="center" vertical="center" wrapText="1"/>
      <protection hidden="1"/>
    </xf>
    <xf numFmtId="0" fontId="18" fillId="3" borderId="96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8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8" fillId="3" borderId="67" xfId="0" applyFont="1" applyFill="1" applyBorder="1" applyAlignment="1" applyProtection="1">
      <alignment horizontal="center" vertical="center"/>
      <protection hidden="1"/>
    </xf>
    <xf numFmtId="49" fontId="7" fillId="0" borderId="0" xfId="9" applyFont="1" applyBorder="1" applyAlignment="1">
      <alignment horizontal="left"/>
      <protection hidden="1"/>
    </xf>
    <xf numFmtId="0" fontId="18" fillId="3" borderId="75" xfId="0" applyFont="1" applyFill="1" applyBorder="1" applyAlignment="1" applyProtection="1">
      <alignment horizontal="center"/>
      <protection hidden="1"/>
    </xf>
    <xf numFmtId="0" fontId="7" fillId="0" borderId="78" xfId="0" applyFont="1" applyBorder="1" applyAlignment="1" applyProtection="1">
      <alignment horizontal="left" vertical="center" wrapText="1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7" fillId="4" borderId="78" xfId="0" applyFont="1" applyFill="1" applyBorder="1" applyAlignment="1" applyProtection="1">
      <alignment horizontal="left" vertical="center" wrapText="1"/>
      <protection hidden="1"/>
    </xf>
    <xf numFmtId="0" fontId="7" fillId="0" borderId="70" xfId="0" applyFont="1" applyFill="1" applyBorder="1" applyAlignment="1" applyProtection="1">
      <alignment horizontal="left" vertical="center" wrapText="1"/>
      <protection hidden="1"/>
    </xf>
    <xf numFmtId="0" fontId="0" fillId="0" borderId="70" xfId="0" applyFont="1" applyFill="1" applyBorder="1" applyAlignment="1" applyProtection="1">
      <alignment horizontal="left" vertical="center" wrapText="1"/>
      <protection hidden="1"/>
    </xf>
    <xf numFmtId="0" fontId="7" fillId="0" borderId="73" xfId="0" applyFont="1" applyFill="1" applyBorder="1" applyAlignment="1" applyProtection="1">
      <alignment horizontal="left" vertical="center" wrapText="1"/>
      <protection hidden="1"/>
    </xf>
    <xf numFmtId="0" fontId="7" fillId="0" borderId="73" xfId="0" applyFont="1" applyBorder="1" applyAlignment="1" applyProtection="1">
      <alignment horizontal="left" vertical="center" wrapText="1"/>
      <protection hidden="1"/>
    </xf>
    <xf numFmtId="0" fontId="6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2" xfId="0" applyFont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4" borderId="92" xfId="0" applyFont="1" applyFill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100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7" fillId="4" borderId="92" xfId="0" applyFont="1" applyFill="1" applyBorder="1" applyAlignment="1" applyProtection="1">
      <alignment horizontal="left" vertical="center" wrapText="1"/>
      <protection hidden="1"/>
    </xf>
    <xf numFmtId="0" fontId="7" fillId="4" borderId="93" xfId="0" applyFont="1" applyFill="1" applyBorder="1" applyAlignment="1" applyProtection="1">
      <alignment horizontal="left" vertical="center" wrapText="1"/>
      <protection hidden="1"/>
    </xf>
    <xf numFmtId="0" fontId="7" fillId="4" borderId="94" xfId="0" applyFont="1" applyFill="1" applyBorder="1" applyAlignment="1" applyProtection="1">
      <alignment horizontal="left" vertical="center" wrapText="1"/>
      <protection hidden="1"/>
    </xf>
    <xf numFmtId="0" fontId="0" fillId="0" borderId="78" xfId="0" applyFont="1" applyBorder="1" applyAlignment="1" applyProtection="1">
      <alignment horizontal="left" vertical="center" wrapText="1"/>
      <protection hidden="1"/>
    </xf>
    <xf numFmtId="0" fontId="8" fillId="0" borderId="4" xfId="10" applyProtection="1">
      <alignment horizontal="left" indent="1"/>
      <protection hidden="1"/>
    </xf>
    <xf numFmtId="0" fontId="18" fillId="3" borderId="1" xfId="0" applyFont="1" applyFill="1" applyBorder="1" applyAlignment="1" applyProtection="1">
      <alignment horizontal="center" vertical="center" wrapText="1"/>
      <protection hidden="1"/>
    </xf>
    <xf numFmtId="0" fontId="18" fillId="3" borderId="31" xfId="0" applyFont="1" applyFill="1" applyBorder="1" applyAlignment="1" applyProtection="1">
      <alignment horizontal="center" vertical="center" wrapText="1"/>
      <protection hidden="1"/>
    </xf>
    <xf numFmtId="0" fontId="18" fillId="3" borderId="65" xfId="0" applyFont="1" applyFill="1" applyBorder="1" applyAlignment="1" applyProtection="1">
      <alignment horizontal="center" vertical="center" wrapText="1"/>
      <protection hidden="1"/>
    </xf>
    <xf numFmtId="0" fontId="0" fillId="0" borderId="92" xfId="0" applyFont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7" fillId="0" borderId="4" xfId="9" applyFont="1" applyProtection="1">
      <alignment horizontal="left" indent="1"/>
      <protection hidden="1"/>
    </xf>
    <xf numFmtId="0" fontId="18" fillId="3" borderId="23" xfId="0" applyFont="1" applyFill="1" applyBorder="1" applyAlignment="1" applyProtection="1">
      <alignment horizontal="center" vertical="center"/>
      <protection hidden="1"/>
    </xf>
    <xf numFmtId="0" fontId="18" fillId="3" borderId="22" xfId="0" applyFont="1" applyFill="1" applyBorder="1" applyAlignment="1" applyProtection="1">
      <alignment horizontal="center" vertical="center"/>
      <protection hidden="1"/>
    </xf>
    <xf numFmtId="0" fontId="0" fillId="4" borderId="92" xfId="0" applyFont="1" applyFill="1" applyBorder="1" applyAlignment="1" applyProtection="1">
      <alignment vertical="center" wrapTex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7" fillId="0" borderId="100" xfId="0" applyFont="1" applyBorder="1" applyAlignment="1" applyProtection="1">
      <alignment vertical="center" wrapText="1"/>
      <protection hidden="1"/>
    </xf>
    <xf numFmtId="0" fontId="7" fillId="0" borderId="101" xfId="0" applyFont="1" applyBorder="1" applyAlignment="1" applyProtection="1">
      <alignment vertical="center" wrapText="1"/>
      <protection hidden="1"/>
    </xf>
    <xf numFmtId="0" fontId="7" fillId="0" borderId="102" xfId="0" applyFont="1" applyBorder="1" applyAlignment="1" applyProtection="1">
      <alignment vertical="center" wrapText="1"/>
      <protection hidden="1"/>
    </xf>
    <xf numFmtId="0" fontId="7" fillId="4" borderId="92" xfId="0" applyFont="1" applyFill="1" applyBorder="1" applyAlignment="1" applyProtection="1">
      <alignment vertical="center" wrapText="1"/>
      <protection hidden="1"/>
    </xf>
    <xf numFmtId="0" fontId="7" fillId="4" borderId="93" xfId="0" applyFont="1" applyFill="1" applyBorder="1" applyAlignment="1" applyProtection="1">
      <alignment vertical="center" wrapText="1"/>
      <protection hidden="1"/>
    </xf>
    <xf numFmtId="0" fontId="7" fillId="4" borderId="94" xfId="0" applyFont="1" applyFill="1" applyBorder="1" applyAlignment="1" applyProtection="1">
      <alignment vertical="center" wrapText="1"/>
      <protection hidden="1"/>
    </xf>
    <xf numFmtId="0" fontId="7" fillId="0" borderId="92" xfId="0" applyFont="1" applyBorder="1" applyAlignment="1" applyProtection="1">
      <alignment vertical="center" wrapText="1"/>
      <protection hidden="1"/>
    </xf>
    <xf numFmtId="0" fontId="7" fillId="0" borderId="93" xfId="0" applyFont="1" applyBorder="1" applyAlignment="1" applyProtection="1">
      <alignment vertical="center" wrapText="1"/>
      <protection hidden="1"/>
    </xf>
    <xf numFmtId="0" fontId="7" fillId="0" borderId="94" xfId="0" applyFont="1" applyBorder="1" applyAlignment="1" applyProtection="1">
      <alignment vertical="center" wrapText="1"/>
      <protection hidden="1"/>
    </xf>
    <xf numFmtId="49" fontId="8" fillId="0" borderId="4" xfId="9" applyProtection="1">
      <alignment horizontal="left" indent="1"/>
      <protection hidden="1"/>
    </xf>
    <xf numFmtId="49" fontId="8" fillId="0" borderId="33" xfId="9" applyBorder="1" applyProtection="1">
      <alignment horizontal="left" indent="1"/>
      <protection hidden="1"/>
    </xf>
    <xf numFmtId="0" fontId="18" fillId="3" borderId="30" xfId="0" applyFont="1" applyFill="1" applyBorder="1" applyAlignment="1" applyProtection="1">
      <alignment horizontal="center" wrapText="1"/>
      <protection hidden="1"/>
    </xf>
    <xf numFmtId="0" fontId="18" fillId="3" borderId="55" xfId="0" applyFont="1" applyFill="1" applyBorder="1" applyAlignment="1" applyProtection="1">
      <alignment horizontal="center" wrapText="1"/>
      <protection hidden="1"/>
    </xf>
    <xf numFmtId="0" fontId="18" fillId="3" borderId="36" xfId="0" applyFont="1" applyFill="1" applyBorder="1" applyAlignment="1" applyProtection="1">
      <alignment horizontal="center" wrapText="1"/>
      <protection hidden="1"/>
    </xf>
    <xf numFmtId="0" fontId="7" fillId="0" borderId="97" xfId="0" applyFont="1" applyBorder="1" applyAlignment="1" applyProtection="1">
      <alignment vertical="center" wrapText="1"/>
      <protection hidden="1"/>
    </xf>
    <xf numFmtId="0" fontId="7" fillId="0" borderId="98" xfId="0" applyFont="1" applyBorder="1" applyAlignment="1" applyProtection="1">
      <alignment vertical="center" wrapText="1"/>
      <protection hidden="1"/>
    </xf>
    <xf numFmtId="0" fontId="7" fillId="0" borderId="99" xfId="0" applyFont="1" applyBorder="1" applyAlignment="1" applyProtection="1">
      <alignment vertical="center" wrapText="1"/>
      <protection hidden="1"/>
    </xf>
  </cellXfs>
  <cellStyles count="16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Normal 11 2" xfId="14"/>
    <cellStyle name="Normal 16" xfId="15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114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2" val="0"/>
</file>

<file path=xl/ctrlProps/ctrlProp3.xml><?xml version="1.0" encoding="utf-8"?>
<formControlPr xmlns="http://schemas.microsoft.com/office/spreadsheetml/2009/9/main" objectType="CheckBox" checked="Checked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66" y="3810007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 bwMode="auto">
              <a:xfrm>
                <a:off x="7343766" y="3810007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70669" cy="575422"/>
          <a:chOff x="7343763" y="380978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 bwMode="auto">
              <a:xfrm>
                <a:off x="7343763" y="3809784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60" y="380979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 bwMode="auto">
              <a:xfrm>
                <a:off x="7343760" y="3809794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81" y="380981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 bwMode="auto">
              <a:xfrm>
                <a:off x="7343781" y="3809819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70669" cy="575422"/>
          <a:chOff x="7343767" y="380982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 bwMode="auto">
              <a:xfrm>
                <a:off x="7343767" y="3809823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80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 bwMode="auto">
              <a:xfrm>
                <a:off x="7343770" y="3809809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Relationship Id="rId5" Type="http://schemas.openxmlformats.org/officeDocument/2006/relationships/comments" Target="../comments5.xml"/><Relationship Id="rId4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workbookViewId="0">
      <pane ySplit="4" topLeftCell="A8" activePane="bottomLeft" state="frozen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97" t="s">
        <v>247</v>
      </c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397"/>
      <c r="Q5" s="397"/>
      <c r="R5" s="397"/>
      <c r="S5" s="397"/>
      <c r="T5" s="397"/>
      <c r="U5" s="397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0" t="s">
        <v>101</v>
      </c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2"/>
      <c r="N15" s="20"/>
      <c r="O15" s="20"/>
      <c r="P15" s="20"/>
      <c r="Q15" s="20"/>
    </row>
    <row r="16" spans="2:21" ht="15" x14ac:dyDescent="0.25">
      <c r="B16" s="363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4"/>
      <c r="N16" s="20"/>
      <c r="O16" s="20"/>
      <c r="P16" s="20"/>
      <c r="Q16" s="20"/>
    </row>
    <row r="17" spans="2:17" ht="15" x14ac:dyDescent="0.25">
      <c r="B17" s="365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4"/>
      <c r="N17" s="20"/>
      <c r="O17" s="20"/>
      <c r="P17" s="20"/>
      <c r="Q17" s="20"/>
    </row>
    <row r="18" spans="2:17" ht="15" x14ac:dyDescent="0.25">
      <c r="B18" s="366" t="s">
        <v>103</v>
      </c>
      <c r="C18" s="367"/>
      <c r="D18" s="367"/>
      <c r="E18" s="367"/>
      <c r="F18" s="367"/>
      <c r="G18" s="367"/>
      <c r="H18" s="367"/>
      <c r="I18" s="367"/>
      <c r="J18" s="367"/>
      <c r="K18" s="367"/>
      <c r="L18" s="367"/>
      <c r="M18" s="368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6" t="s">
        <v>1906</v>
      </c>
      <c r="C44" s="356" t="s">
        <v>1904</v>
      </c>
      <c r="D44" s="356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59" t="s">
        <v>1842</v>
      </c>
      <c r="C45" s="357">
        <f>--(VLOOKUP( 64, Lookup_BSa, 4, 0) = VLOOKUP( 164, Lookup_BSp, 4, 0))</f>
        <v>1</v>
      </c>
      <c r="D45" s="357">
        <f>--(VLOOKUP( 64, Lookup_BSa, 5, 0) = VLOOKUP( 164, Lookup_BSp, 5, 0))</f>
        <v>1</v>
      </c>
      <c r="E45" s="355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59" t="s">
        <v>1843</v>
      </c>
      <c r="C46" s="357">
        <f>--(VLOOKUP( 65, Lookup_BSa, 4, 0) = VLOOKUP( 165, Lookup_BSp, 4, 0))</f>
        <v>1</v>
      </c>
      <c r="D46" s="357">
        <f>--(VLOOKUP( 65, Lookup_BSa, 5, 0) = VLOOKUP( 165, Lookup_BSp, 5, 0))</f>
        <v>1</v>
      </c>
      <c r="E46" s="355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59" t="s">
        <v>1844</v>
      </c>
      <c r="C47" s="357">
        <f>--(VLOOKUP( 66, Lookup_BSa, 4, 0) = VLOOKUP( 166, Lookup_BSp, 4, 0))</f>
        <v>1</v>
      </c>
      <c r="D47" s="357">
        <f>--(VLOOKUP( 66, Lookup_BSa, 5, 0) = VLOOKUP( 166, Lookup_BSp, 5, 0))</f>
        <v>1</v>
      </c>
      <c r="E47" s="355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59" t="s">
        <v>1845</v>
      </c>
      <c r="C48" s="357">
        <f>--( IF( VLOOKUP( 63, Lookup_BSa, 4, 0) &gt; 0, VLOOKUP( 101, Lookup_BSp, 4, 0) = 0, TRUE))</f>
        <v>1</v>
      </c>
      <c r="D48" s="357">
        <f>--( IF( VLOOKUP( 63, Lookup_BSa, 5, 0) &gt; 0, VLOOKUP( 101, Lookup_BSp, 5, 0) = 0, TRUE))</f>
        <v>1</v>
      </c>
      <c r="E48" s="355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59" t="s">
        <v>1846</v>
      </c>
      <c r="C49" s="357">
        <f>--( IF( AND( VLOOKUP( 63, Lookup_BSa, 4, 0) &gt; 0,  VLOOKUP( 102, Lookup_BSp, 4, 0) &gt; 0),  VLOOKUP( 123, Lookup_BSp, 4, 0) &gt; 0, TRUE))</f>
        <v>1</v>
      </c>
      <c r="D49" s="357">
        <f>--( IF( AND( VLOOKUP( 63, Lookup_BSa, 5, 0) &gt; 0,  VLOOKUP( 102, Lookup_BSp, 5, 0) &gt; 0),  VLOOKUP( 123, Lookup_BSp, 5, 0) &gt; 0, TRUE))</f>
        <v>1</v>
      </c>
      <c r="E49" s="355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59" t="s">
        <v>1847</v>
      </c>
      <c r="C50" s="357">
        <f>--( IF( VLOOKUP( 63, Lookup_BSa, 4, 0) = 0, VLOOKUP( 299, Lookup_BUa, 2, 0) = VLOOKUP( 121, Lookup_BSp, 4, 0), TRUE))</f>
        <v>1</v>
      </c>
      <c r="D50" s="357" t="str">
        <f>IF( AND( ID_Izvjestaj = 4, VLOOKUP( 63, Lookup_BSa, 5, 0) = 0),--( VLOOKUP( 299, Lookup_BUa, 3, 0) = VLOOKUP( 121, Lookup_BSp, 5, 0)),"")</f>
        <v/>
      </c>
      <c r="E50" s="355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59" t="s">
        <v>1848</v>
      </c>
      <c r="C51" s="357">
        <f>--( IF( VLOOKUP( 63, Lookup_BSa, 4, 0) = 0, VLOOKUP( 300, Lookup_BUa, 2, 0) = VLOOKUP( 125, Lookup_BSp, 4, 0), TRUE))</f>
        <v>1</v>
      </c>
      <c r="D51" s="357" t="str">
        <f>IF( AND( ID_Izvjestaj = 4, VLOOKUP( 63, Lookup_BSa, 5, 0) = 0),--( VLOOKUP( 300, Lookup_BUa, 3, 0) = VLOOKUP( 125, Lookup_BSp, 5, 0)),"")</f>
        <v/>
      </c>
      <c r="E51" s="355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59" t="s">
        <v>1849</v>
      </c>
      <c r="C52" s="357">
        <f>--(VLOOKUP( 548, Lookup_BTG, 2, 0) = VLOOKUP( 56, Lookup_BSa, 4, 0))</f>
        <v>1</v>
      </c>
      <c r="D52" s="357" t="str">
        <f>IF( ID_Izvjestaj = 4, --( VLOOKUP( 548, Lookup_BTG, 3, 0) = VLOOKUP( 56, Lookup_BSa, 5, 0)), "")</f>
        <v/>
      </c>
      <c r="E52" s="355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59" t="s">
        <v>1850</v>
      </c>
      <c r="C53" s="358"/>
      <c r="D53" s="357">
        <f>--( IF( VLOOKUP( 101, Lookup_BSp, 5, 0) &gt; 0, VLOOKUP( 915, Lookup_BPK, 7, 0) = VLOOKUP( 101, Lookup_BSp, 5, 0), TRUE))</f>
        <v>1</v>
      </c>
      <c r="E53" s="355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59" t="s">
        <v>1851</v>
      </c>
      <c r="C54" s="357">
        <f>--( IF( VLOOKUP( 101, Lookup_BSp, 4, 0) &gt; 0, VLOOKUP( 923, Lookup_BPK, 7, 0) = VLOOKUP( 101, Lookup_BSp, 4, 0), TRUE))</f>
        <v>1</v>
      </c>
      <c r="D54" s="357"/>
      <c r="E54" s="355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59" t="s">
        <v>1852</v>
      </c>
      <c r="C55" s="358"/>
      <c r="D55" s="357">
        <f>--( IF( VLOOKUP( 101, Lookup_BSp, 5, 0) = 0, VLOOKUP( 915, Lookup_BPK, 7, 0) = -VLOOKUP( 63, Lookup_BSa, 5, 0), TRUE))</f>
        <v>1</v>
      </c>
      <c r="E55" s="355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59" t="s">
        <v>1853</v>
      </c>
      <c r="C56" s="357">
        <f>--( IF( VLOOKUP( 101, Lookup_BSp, 4, 0) = 0, VLOOKUP( 923, Lookup_BPK, 7, 0) = -VLOOKUP( 63, Lookup_BSa, 4, 0), TRUE))</f>
        <v>1</v>
      </c>
      <c r="D56" s="357"/>
      <c r="E56" s="355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4" type="noConversion"/>
  <conditionalFormatting sqref="C45:D56">
    <cfRule type="expression" dxfId="113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workbookViewId="0"/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АКТИВА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А. СТАЛНА СРЕДСТВА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НЕМАТЕРИЈАЛНА СРЕДСТВА (003 до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дио 019</v>
      </c>
      <c r="F5" t="str">
        <f>REPT( "  ", T_Aop[[#This Row],[Aop nivo]]) &amp; VLOOKUP( T_Aop[[#This Row],[Id]], T_Aop[], ID_Jezik + 6, 1)</f>
        <v xml:space="preserve">      1. Улагања у развој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дио 019</v>
      </c>
      <c r="F6" t="str">
        <f>REPT( "  ", T_Aop[[#This Row],[Aop nivo]]) &amp; VLOOKUP( T_Aop[[#This Row],[Id]], T_Aop[], ID_Jezik + 6, 1)</f>
        <v xml:space="preserve">      2. Концесије, патенти, лиценце и остала права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дио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дио 019</v>
      </c>
      <c r="F8" t="str">
        <f>REPT( "  ", T_Aop[[#This Row],[Aop nivo]]) &amp; VLOOKUP( T_Aop[[#This Row],[Id]], T_Aop[], ID_Jezik + 6, 1)</f>
        <v xml:space="preserve">      4. Остала нематеријална средства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дио 019</v>
      </c>
      <c r="F9" t="str">
        <f>REPT( "  ", T_Aop[[#This Row],[Aop nivo]]) &amp; VLOOKUP( T_Aop[[#This Row],[Id]], T_Aop[], ID_Jezik + 6, 1)</f>
        <v xml:space="preserve">      5. Аванси и нематеријална средства у припреми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НЕКРЕТНИНЕ, ПОСТРОЈЕЊА, ОПРЕМА И ИНВЕСТИЦИОНЕ НЕКРЕТНИНЕ (009 до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дио 029</v>
      </c>
      <c r="F11" t="str">
        <f>REPT( "  ", T_Aop[[#This Row],[Aop nivo]]) &amp; VLOOKUP( T_Aop[[#This Row],[Id]], T_Aop[], ID_Jezik + 6, 1)</f>
        <v xml:space="preserve">      1. Земљиште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дио 029</v>
      </c>
      <c r="F12" t="str">
        <f>REPT( "  ", T_Aop[[#This Row],[Aop nivo]]) &amp; VLOOKUP( T_Aop[[#This Row],[Id]], T_Aop[], ID_Jezik + 6, 1)</f>
        <v xml:space="preserve">      2. Грађевински објекти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дио 029</v>
      </c>
      <c r="F13" t="str">
        <f>REPT( "  ", T_Aop[[#This Row],[Aop nivo]]) &amp; VLOOKUP( T_Aop[[#This Row],[Id]], T_Aop[], ID_Jezik + 6, 1)</f>
        <v xml:space="preserve">      3. Постројења и опрема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дио 029</v>
      </c>
      <c r="F14" t="str">
        <f>REPT( "  ", T_Aop[[#This Row],[Aop nivo]]) &amp; VLOOKUP( T_Aop[[#This Row],[Id]], T_Aop[], ID_Jezik + 6, 1)</f>
        <v xml:space="preserve">      4. Инвестиционе некретнине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дио 029</v>
      </c>
      <c r="F15" t="str">
        <f>REPT( "  ", T_Aop[[#This Row],[Aop nivo]]) &amp; VLOOKUP( T_Aop[[#This Row],[Id]], T_Aop[], ID_Jezik + 6, 1)</f>
        <v xml:space="preserve">      5. Улагање на туђим некретнинама, постројењима и опреми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дио 029</v>
      </c>
      <c r="F16" t="str">
        <f>REPT( "  ", T_Aop[[#This Row],[Aop nivo]]) &amp; VLOOKUP( T_Aop[[#This Row],[Id]], T_Aop[], ID_Jezik + 6, 1)</f>
        <v xml:space="preserve">      6. Аванси и некретнине, постројења, опрема и инвестиционе некретнине у припреми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БИОЛОШКА СРЕДСТВА И СРЕДСТВА КУЛТУРЕ (016 до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дио 039</v>
      </c>
      <c r="F18" t="str">
        <f>REPT( "  ", T_Aop[[#This Row],[Aop nivo]]) &amp; VLOOKUP( T_Aop[[#This Row],[Id]], T_Aop[], ID_Jezik + 6, 1)</f>
        <v xml:space="preserve">      1. Шуме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дио 039</v>
      </c>
      <c r="F19" t="str">
        <f>REPT( "  ", T_Aop[[#This Row],[Aop nivo]]) &amp; VLOOKUP( T_Aop[[#This Row],[Id]], T_Aop[], ID_Jezik + 6, 1)</f>
        <v xml:space="preserve">      2. Вишегодишњи засади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дио 039</v>
      </c>
      <c r="F20" t="str">
        <f>REPT( "  ", T_Aop[[#This Row],[Aop nivo]]) &amp; VLOOKUP( T_Aop[[#This Row],[Id]], T_Aop[], ID_Jezik + 6, 1)</f>
        <v xml:space="preserve">      3. Основно стадо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дио 039</v>
      </c>
      <c r="F21" t="str">
        <f>REPT( "  ", T_Aop[[#This Row],[Aop nivo]]) &amp; VLOOKUP( T_Aop[[#This Row],[Id]], T_Aop[], ID_Jezik + 6, 1)</f>
        <v xml:space="preserve">      4. Средства културе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дио 039</v>
      </c>
      <c r="F22" t="str">
        <f>REPT( "  ", T_Aop[[#This Row],[Aop nivo]]) &amp; VLOOKUP( T_Aop[[#This Row],[Id]], T_Aop[], ID_Jezik + 6, 1)</f>
        <v xml:space="preserve">      5. Аванси и биолошка средства и средства културе у припреми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ДУГОРОЧНИ ФИНАНСИЈСКИ ПЛАСМАНИ (022 до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дио 049</v>
      </c>
      <c r="F24" t="str">
        <f>REPT( "  ", T_Aop[[#This Row],[Aop nivo]]) &amp; VLOOKUP( T_Aop[[#This Row],[Id]], T_Aop[], ID_Jezik + 6, 1)</f>
        <v xml:space="preserve">      1. Учешће у капиталу зависних правних лица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дио 049</v>
      </c>
      <c r="F25" t="str">
        <f>REPT( "  ", T_Aop[[#This Row],[Aop nivo]]) &amp; VLOOKUP( T_Aop[[#This Row],[Id]], T_Aop[], ID_Jezik + 6, 1)</f>
        <v xml:space="preserve">      2. Учешће у капиталу других правних лица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дио 049</v>
      </c>
      <c r="F26" t="str">
        <f>REPT( "  ", T_Aop[[#This Row],[Aop nivo]]) &amp; VLOOKUP( T_Aop[[#This Row],[Id]], T_Aop[], ID_Jezik + 6, 1)</f>
        <v xml:space="preserve">      3. Дугорочни кредити повезаним правним лицима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дио 049</v>
      </c>
      <c r="F27" t="str">
        <f>REPT( "  ", T_Aop[[#This Row],[Aop nivo]]) &amp; VLOOKUP( T_Aop[[#This Row],[Id]], T_Aop[], ID_Jezik + 6, 1)</f>
        <v xml:space="preserve">      4. Дугорочни кредити у земљи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дио 049</v>
      </c>
      <c r="F28" t="str">
        <f>REPT( "  ", T_Aop[[#This Row],[Aop nivo]]) &amp; VLOOKUP( T_Aop[[#This Row],[Id]], T_Aop[], ID_Jezik + 6, 1)</f>
        <v xml:space="preserve">      5. Дугорочни кредити у иностранству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дио 049</v>
      </c>
      <c r="F29" t="str">
        <f>REPT( "  ", T_Aop[[#This Row],[Aop nivo]]) &amp; VLOOKUP( T_Aop[[#This Row],[Id]], T_Aop[], ID_Jezik + 6, 1)</f>
        <v xml:space="preserve">      6. Финансијска средства расположива за продају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дио 049</v>
      </c>
      <c r="F30" t="str">
        <f>REPT( "  ", T_Aop[[#This Row],[Aop nivo]]) &amp; VLOOKUP( T_Aop[[#This Row],[Id]], T_Aop[], ID_Jezik + 6, 1)</f>
        <v xml:space="preserve">      7. Финансијска средства која се држе до рока доспијећа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дио 049</v>
      </c>
      <c r="F31" t="str">
        <f>REPT( "  ", T_Aop[[#This Row],[Aop nivo]]) &amp; VLOOKUP( T_Aop[[#This Row],[Id]], T_Aop[], ID_Jezik + 6, 1)</f>
        <v xml:space="preserve">      8. Остали дугорочни финансијски пласмани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ОДЛОЖЕНА ПОРЕСКА СРЕДСТВА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Б. ТЕКУЋА СРЕДСТВА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до 15</v>
      </c>
      <c r="F34" t="str">
        <f>REPT( "  ", T_Aop[[#This Row],[Aop nivo]]) &amp; VLOOKUP( T_Aop[[#This Row],[Id]], T_Aop[], ID_Jezik + 6, 1)</f>
        <v xml:space="preserve">    I - ЗАЛИХЕ, СТАЛНА СРЕДСТВА И СРЕДСТВА ОБУСТАВЉЕНОГ ПОСЛОВАЊА НАМИЈЕЊЕНА ПРОДАЈИ (033 до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до 109</v>
      </c>
      <c r="F35" t="str">
        <f>REPT( "  ", T_Aop[[#This Row],[Aop nivo]]) &amp; VLOOKUP( T_Aop[[#This Row],[Id]], T_Aop[], ID_Jezik + 6, 1)</f>
        <v xml:space="preserve">      1. Залихе материјала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до 119</v>
      </c>
      <c r="F36" t="str">
        <f>REPT( "  ", T_Aop[[#This Row],[Aop nivo]]) &amp; VLOOKUP( T_Aop[[#This Row],[Id]], T_Aop[], ID_Jezik + 6, 1)</f>
        <v xml:space="preserve">      2. Залихе недовршене производње, полупроизвода и недовршених услуга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до 129</v>
      </c>
      <c r="F37" t="str">
        <f>REPT( "  ", T_Aop[[#This Row],[Aop nivo]]) &amp; VLOOKUP( T_Aop[[#This Row],[Id]], T_Aop[], ID_Jezik + 6, 1)</f>
        <v xml:space="preserve">      3. Залихе готових производа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до 139</v>
      </c>
      <c r="F38" t="str">
        <f>REPT( "  ", T_Aop[[#This Row],[Aop nivo]]) &amp; VLOOKUP( T_Aop[[#This Row],[Id]], T_Aop[], ID_Jezik + 6, 1)</f>
        <v xml:space="preserve">      4. Залихе робе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до 149</v>
      </c>
      <c r="F39" t="str">
        <f>REPT( "  ", T_Aop[[#This Row],[Aop nivo]]) &amp; VLOOKUP( T_Aop[[#This Row],[Id]], T_Aop[], ID_Jezik + 6, 1)</f>
        <v xml:space="preserve">      5. Стална средства и средства обустављеног пословања намијењена продаји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до 159</v>
      </c>
      <c r="F40" t="str">
        <f>REPT( "  ", T_Aop[[#This Row],[Aop nivo]]) &amp; VLOOKUP( T_Aop[[#This Row],[Id]], T_Aop[], ID_Jezik + 6, 1)</f>
        <v xml:space="preserve">      6. Дати аванси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КРАТКОРОЧНА ПОТРАЖИВАЊА, КРАТКОРОЧНИ ПЛАСМАНИ И ГОТОВИНА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Краткорочна потраживања (041 до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дио 209</v>
      </c>
      <c r="F43" t="str">
        <f>REPT( "  ", T_Aop[[#This Row],[Aop nivo]]) &amp; VLOOKUP( T_Aop[[#This Row],[Id]], T_Aop[], ID_Jezik + 6, 1)</f>
        <v xml:space="preserve">        а) Купци - повезана правна лица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дио 209</v>
      </c>
      <c r="F44" t="str">
        <f>REPT( "  ", T_Aop[[#This Row],[Aop nivo]]) &amp; VLOOKUP( T_Aop[[#This Row],[Id]], T_Aop[], ID_Jezik + 6, 1)</f>
        <v xml:space="preserve">        б) Купци у земљи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дио 209</v>
      </c>
      <c r="F45" t="str">
        <f>REPT( "  ", T_Aop[[#This Row],[Aop nivo]]) &amp; VLOOKUP( T_Aop[[#This Row],[Id]], T_Aop[], ID_Jezik + 6, 1)</f>
        <v xml:space="preserve">        в) Купци из иностранства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дио 209</v>
      </c>
      <c r="F46" t="str">
        <f>REPT( "  ", T_Aop[[#This Row],[Aop nivo]]) &amp; VLOOKUP( T_Aop[[#This Row],[Id]], T_Aop[], ID_Jezik + 6, 1)</f>
        <v xml:space="preserve">        г) Сумњива и спорна потраживања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до 219</v>
      </c>
      <c r="F47" t="str">
        <f>REPT( "  ", T_Aop[[#This Row],[Aop nivo]]) &amp; VLOOKUP( T_Aop[[#This Row],[Id]], T_Aop[], ID_Jezik + 6, 1)</f>
        <v xml:space="preserve">        д) Потраживања из специфичних послова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до 229</v>
      </c>
      <c r="F48" t="str">
        <f>REPT( "  ", T_Aop[[#This Row],[Aop nivo]]) &amp; VLOOKUP( T_Aop[[#This Row],[Id]], T_Aop[], ID_Jezik + 6, 1)</f>
        <v xml:space="preserve">        ђ) Друга краткорочна потраживања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Краткорочни финансијски пласмани (048 до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дио 239</v>
      </c>
      <c r="F50" t="str">
        <f>REPT( "  ", T_Aop[[#This Row],[Aop nivo]]) &amp; VLOOKUP( T_Aop[[#This Row],[Id]], T_Aop[], ID_Jezik + 6, 1)</f>
        <v xml:space="preserve">        а) Краткорочни кредити повезаним правним лицима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дио 239</v>
      </c>
      <c r="F51" t="str">
        <f>REPT( "  ", T_Aop[[#This Row],[Aop nivo]]) &amp; VLOOKUP( T_Aop[[#This Row],[Id]], T_Aop[], ID_Jezik + 6, 1)</f>
        <v xml:space="preserve">        б) Краткорочни кредити у земљи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дио 239</v>
      </c>
      <c r="F52" t="str">
        <f>REPT( "  ", T_Aop[[#This Row],[Aop nivo]]) &amp; VLOOKUP( T_Aop[[#This Row],[Id]], T_Aop[], ID_Jezik + 6, 1)</f>
        <v xml:space="preserve">        в) Краткорочни кредити у иностранству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дио 239</v>
      </c>
      <c r="F53" t="str">
        <f>REPT( "  ", T_Aop[[#This Row],[Aop nivo]]) &amp; VLOOKUP( T_Aop[[#This Row],[Id]], T_Aop[], ID_Jezik + 6, 1)</f>
        <v xml:space="preserve">        г) Дио дугорочних финансијских пласмана који доспијева за наплату у периоду до годину дана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дио 239</v>
      </c>
      <c r="F54" t="str">
        <f>REPT( "  ", T_Aop[[#This Row],[Aop nivo]]) &amp; VLOOKUP( T_Aop[[#This Row],[Id]], T_Aop[], ID_Jezik + 6, 1)</f>
        <v xml:space="preserve">        д) Финансијска средства по фер вриједности кроз биланс успјеха намијењена трговању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дио 239</v>
      </c>
      <c r="F55" t="str">
        <f>REPT( "  ", T_Aop[[#This Row],[Aop nivo]]) &amp; VLOOKUP( T_Aop[[#This Row],[Id]], T_Aop[], ID_Jezik + 6, 1)</f>
        <v xml:space="preserve">        ђ) Финансијска средства означена по фер вриједности кроз биланс успјеха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е) Откупљене сопствене акције и откупљени сопствени удјели намијењени продаји или поништавању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дио 239</v>
      </c>
      <c r="F57" t="str">
        <f>REPT( "  ", T_Aop[[#This Row],[Aop nivo]]) &amp; VLOOKUP( T_Aop[[#This Row],[Id]], T_Aop[], ID_Jezik + 6, 1)</f>
        <v xml:space="preserve">        ж) Остали краткорочни пласмани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Готовински еквиваленти и готовина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а) Готовински еквиваленти - хартије од вриједности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до 249</v>
      </c>
      <c r="F60" t="str">
        <f>REPT( "  ", T_Aop[[#This Row],[Aop nivo]]) &amp; VLOOKUP( T_Aop[[#This Row],[Id]], T_Aop[], ID_Jezik + 6, 1)</f>
        <v xml:space="preserve">        б) Готовина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до 279</v>
      </c>
      <c r="F61" t="str">
        <f>REPT( "  ", T_Aop[[#This Row],[Aop nivo]]) &amp; VLOOKUP( T_Aop[[#This Row],[Id]], T_Aop[], ID_Jezik + 6, 1)</f>
        <v xml:space="preserve">      4. Порез на додату вриједност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до 289, осим 288</v>
      </c>
      <c r="F62" t="str">
        <f>REPT( "  ", T_Aop[[#This Row],[Aop nivo]]) &amp; VLOOKUP( T_Aop[[#This Row],[Id]], T_Aop[], ID_Jezik + 6, 1)</f>
        <v xml:space="preserve">      5. Активна временска разграничења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ОДЛОЖЕНА ПОРЕСКА СРЕДСТВА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В. ПОСЛОВНА СРЕДСТВА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Г. ГУБИТАК ИЗНАД ВИСИНЕ КАПИТАЛА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Д. ПОСЛОВНА АКТИВА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до 888</v>
      </c>
      <c r="F67" t="str">
        <f>REPT( "  ", T_Aop[[#This Row],[Aop nivo]]) &amp; VLOOKUP( T_Aop[[#This Row],[Id]], T_Aop[], ID_Jezik + 6, 1)</f>
        <v xml:space="preserve">  Ђ. ВАНБИЛАНСНА АКТИВА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69" t="str">
        <f>REPT( "  ", T_Aop[[#This Row],[Aop nivo]]) &amp; VLOOKUP( T_Aop[[#This Row],[Id]], T_Aop[], ID_Jezik + 6, 1)</f>
        <v xml:space="preserve">  Е. УКУПНА АКТИВА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ПАСИВА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А. КАПИТАЛ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ОСНОВНИ КАПИТАЛ (103 до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Акцијски капитал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Удјели друштва са ограниченом одговорношћу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Задружни удјели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Улози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Државни капитал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Остали основни капитал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УПИСАНИ НЕУПЛАЋЕНИ КАПИТАЛ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ЕМИСИОНА ПРЕМИЈА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ЕМИСИОНИ ГУБИТАК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дио 32</v>
      </c>
      <c r="F81" t="str">
        <f>REPT( "  ", T_Aop[[#This Row],[Aop nivo]]) &amp; VLOOKUP( T_Aop[[#This Row],[Id]], T_Aop[], ID_Jezik + 6, 1)</f>
        <v xml:space="preserve">    V - РЕЗЕРВЕ (113 до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Законске резерве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Статутарне резерве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Остале резерве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РЕВАЛОРИЗАЦИОНЕ РЕЗЕРВЕ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НЕРЕАЛИЗОВАНИ ДОБИЦИ ПО ОСНОВУ ФИНАНСИЈСКИХ СРЕДСТАВА РАСПОЛОЖИВИХ ЗА ПРОДАЈУ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НЕРЕАЛИЗОВАНИ ГУБИЦИ ПО ОСНОВУ ФИНАНСИЈСКИХ СРЕДСТАВА РАСПОЛОЖИВИХ ЗА ПРОДАЈУ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НЕРАСПОРЕЂЕНИ ДОБИТАК (120 до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или 342</v>
      </c>
      <c r="F89" t="str">
        <f>REPT( "  ", T_Aop[[#This Row],[Aop nivo]]) &amp; VLOOKUP( T_Aop[[#This Row],[Id]], T_Aop[], ID_Jezik + 6, 1)</f>
        <v xml:space="preserve">      1. Нераспоређени добитак ранијих година / Нераспоређени вишак прихода над расходима ранијих година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или 343</v>
      </c>
      <c r="F90" t="str">
        <f>REPT( "  ", T_Aop[[#This Row],[Aop nivo]]) &amp; VLOOKUP( T_Aop[[#This Row],[Id]], T_Aop[], ID_Jezik + 6, 1)</f>
        <v xml:space="preserve">      2. Нераспоређени добитак текуће године / Нераспоређени вишак прихода над расходима текуће године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Нето приход од самосталне дјелатности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Губитак ранијих година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Губитак текуће године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Б. РЕЗЕРВИСАЊА, ОДЛОЖЕНЕ ПОРЕСКЕ ОБАВЕЗЕ И РАЗГРАНИЧЕНИ ПРИХОДИ (127 до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Резервисања за трошкове у гарантном року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Резервисања за трошкове обнављања природних богатстава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Резервисања за задржане кауције и депозите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Резервисања за трошкове реструктурисања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Резервисања за накнаде и бенефиције запослених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Одложене пореске обавезе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Разграничени приходи и примљене донације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Остала дугорочна резервисања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В. ОБАВЕЗЕ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ДУГОРОЧНЕ ОБАВЕЗЕ (137 до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Обавезе које се могу конвертовати у капитал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Обавезе према повезаним правним лицима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Обавезе по емитованим дугорочним хартијама од вриједности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Дугорочни кредити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Дугорочне обавезе по финансијском лизингу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Дугорочне обавезе по фер вриједности кроз биланс успјеха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Остале дугорочне обавезе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до 49</v>
      </c>
      <c r="F113" t="str">
        <f>REPT( "  ", T_Aop[[#This Row],[Aop nivo]]) &amp; VLOOKUP( T_Aop[[#This Row],[Id]], T_Aop[], ID_Jezik + 6, 1)</f>
        <v xml:space="preserve">    II - КРАТКОРОЧНЕ ОБАВЕЗЕ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Краткорочне финансијске обавезе (146 до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до 423</v>
      </c>
      <c r="F115" t="str">
        <f>REPT( "  ", T_Aop[[#This Row],[Aop nivo]]) &amp; VLOOKUP( T_Aop[[#This Row],[Id]], T_Aop[], ID_Jezik + 6, 1)</f>
        <v xml:space="preserve">        а) Краткорочни кредити и обавезе по емитованим краткорочним хартијама од вриједности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б) Дио дугорочних финансијских обавеза који за плаћање доспијева у периоду до годину дана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в) Краткорочне обавезе по фер вриједности кроз биланс успјеха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г) Остале краткорочне финансијске обавезе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Обавезе из пословања (151 до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а) Примљени аванси, депозити и кауције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б) Добављачи - повезана правна лица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в) Добављачи у земљи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г) Добављачи из иностранства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д) Остале обавезе из пословања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до 449</v>
      </c>
      <c r="F125" t="str">
        <f>REPT( "  ", T_Aop[[#This Row],[Aop nivo]]) &amp; VLOOKUP( T_Aop[[#This Row],[Id]], T_Aop[], ID_Jezik + 6, 1)</f>
        <v xml:space="preserve">      3. Обавезе из специфичних послова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до 458</v>
      </c>
      <c r="F126" t="str">
        <f>REPT( "  ", T_Aop[[#This Row],[Aop nivo]]) &amp; VLOOKUP( T_Aop[[#This Row],[Id]], T_Aop[], ID_Jezik + 6, 1)</f>
        <v xml:space="preserve">      4. Обавезе за зараде и накнаде зарада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до 469</v>
      </c>
      <c r="F127" t="str">
        <f>REPT( "  ", T_Aop[[#This Row],[Aop nivo]]) &amp; VLOOKUP( T_Aop[[#This Row],[Id]], T_Aop[], ID_Jezik + 6, 1)</f>
        <v xml:space="preserve">      5. Друге обавезе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до 479</v>
      </c>
      <c r="F128" t="str">
        <f>REPT( "  ", T_Aop[[#This Row],[Aop nivo]]) &amp; VLOOKUP( T_Aop[[#This Row],[Id]], T_Aop[], ID_Jezik + 6, 1)</f>
        <v xml:space="preserve">      6. Порез на додату вриједност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осим 481</v>
      </c>
      <c r="F129" t="str">
        <f>REPT( "  ", T_Aop[[#This Row],[Aop nivo]]) &amp; VLOOKUP( T_Aop[[#This Row],[Id]], T_Aop[], ID_Jezik + 6, 1)</f>
        <v xml:space="preserve">      7. Обавезе за остале порезе, доприносе и друге дажбине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Обавезе за порез на добитак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осим 495</v>
      </c>
      <c r="F131" t="str">
        <f>REPT( "  ", T_Aop[[#This Row],[Aop nivo]]) &amp; VLOOKUP( T_Aop[[#This Row],[Id]], T_Aop[], ID_Jezik + 6, 1)</f>
        <v xml:space="preserve">      9. Пасивна временска разграничења и краткорочна резервисања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Одложене пореске обавезе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Г. ПОСЛОВНА ПАСИВА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до 898</v>
      </c>
      <c r="F134" t="str">
        <f>REPT( "  ", T_Aop[[#This Row],[Aop nivo]]) &amp; VLOOKUP( T_Aop[[#This Row],[Id]], T_Aop[], ID_Jezik + 6, 1)</f>
        <v xml:space="preserve">  Д. ВАНБИЛАНСНА ПАСИВА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Ђ. УКУПНА ПАСИВА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А. ПОСЛОВНИ ПРИХОДИ И РАСХОДИ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ПОСЛОВНИ ПРИХОДИ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Приходи од продаје робе (203 до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а) Приходи од продаје робе повезаним правним лицима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б) Приходи од продаје робе на домаћем тржишту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в) Приходи од продаје робе на иностраном тржишту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Приходи од продаје учинака (207 до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а) Приходи од продаје учинака повезаним правним лицима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б) Приходи од продаје учинака на домаћем тржишту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в) Приходи од продаје учинака на иностраном тржишту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Приходи од активирања или потрошње робе и учинака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Повећање вриједности залиха учинака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Смањење вриједности залиха учинака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Повећање вриједности инвестиционих некретнина и биолошких средстава која се не амортизују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Смањење вриједности инвестиционих некретнина и биолошких средстава која се не амортизују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до 659</v>
      </c>
      <c r="F151" t="str">
        <f>REPT( "  ", T_Aop[[#This Row],[Aop nivo]]) &amp; VLOOKUP( T_Aop[[#This Row],[Id]], T_Aop[], ID_Jezik + 6, 1)</f>
        <v xml:space="preserve">      8. Остали пословни приходи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ПОСЛОВНИ РАСХОДИ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до 502</v>
      </c>
      <c r="F153" t="str">
        <f>REPT( "  ", T_Aop[[#This Row],[Aop nivo]]) &amp; VLOOKUP( T_Aop[[#This Row],[Id]], T_Aop[], ID_Jezik + 6, 1)</f>
        <v xml:space="preserve">      1. Набавна вриједност продате робе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до 513</v>
      </c>
      <c r="F154" t="str">
        <f>REPT( "  ", T_Aop[[#This Row],[Aop nivo]]) &amp; VLOOKUP( T_Aop[[#This Row],[Id]], T_Aop[], ID_Jezik + 6, 1)</f>
        <v xml:space="preserve">      2. Трошкови материјала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Трошкови зарада, накнада зарада и осталих личних расхода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до 523</v>
      </c>
      <c r="F156" t="str">
        <f>REPT( "  ", T_Aop[[#This Row],[Aop nivo]]) &amp; VLOOKUP( T_Aop[[#This Row],[Id]], T_Aop[], ID_Jezik + 6, 1)</f>
        <v xml:space="preserve">        а) Трошкови бруто зарада и бруто накнада зарада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до 529</v>
      </c>
      <c r="F157" t="str">
        <f>REPT( "  ", T_Aop[[#This Row],[Aop nivo]]) &amp; VLOOKUP( T_Aop[[#This Row],[Id]], T_Aop[], ID_Jezik + 6, 1)</f>
        <v xml:space="preserve">        б) Остали лични расходи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до 539</v>
      </c>
      <c r="F158" t="str">
        <f>REPT( "  ", T_Aop[[#This Row],[Aop nivo]]) &amp; VLOOKUP( T_Aop[[#This Row],[Id]], T_Aop[], ID_Jezik + 6, 1)</f>
        <v xml:space="preserve">      4. Трошкови производних услуга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Трошкови амортизације и резервисања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а) Трошкови амортизације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б) Трошкови резервисања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осим 555 и 556</v>
      </c>
      <c r="F162" t="str">
        <f>REPT( "  ", T_Aop[[#This Row],[Aop nivo]]) &amp; VLOOKUP( T_Aop[[#This Row],[Id]], T_Aop[], ID_Jezik + 6, 1)</f>
        <v xml:space="preserve">      6. Нематеријални трошкови (без пореза и доприноса)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Трошкови пореза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Трошкови доприноса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Б. ПОСЛОВНИ ДОБИТАК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В. ПОСЛОВНИ ГУБИТАК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Г. ФИНАНСИЈСКИ ПРИХОДИ И РАСХОДИ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ФИНАНСИЈСКИ ПРИХОДИ (232 до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Финансијски приходи од повезаних правних лица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Приходи од камата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Позитивне курсне разлике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Приходи од ефеката валутне клаузуле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Приходи од учешћа у добитку заједничких улагања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Остали финансијски приходи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ФИНАНСИЈСКИ РАСХОДИ (239 до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Финансијски расходи по основу односа повезаних правних лица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Расходи камата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Негативне курсне разлике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Расходи по основу валутне клаузуле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Остали финансијски расходи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Д. ДОБИТАК РЕДОВНЕ АКТИВНОСТИ (229 + 231 - 238) или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Ђ. ГУБИТАК РЕДОВНЕ АКТИВНОСТИ (230 + 238 - 231) или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Е. ОСТАЛИ ПРИХОДИ И РАСХОДИ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ОСТАЛИ ПРИХОДИ (247 до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Добици по основу продаје нематеријалних средстава, некретнина, постројења и опреме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Добици по основу продаје инвестиционих некретнина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Добици по основу продаје биолошких средстава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Добици по основу продаје средстава обустављеног пословања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Добици по основу продаје учешћа у капиталу и ХОВ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Добици по основу продаје материјала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Вишкови, изузимајући вишкове залиха учинака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Наплаћена отписана потраживања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Приходи по основу уговорене заштите од ризика, који не испуњавају услове да се искажу у оквиру ревалоризационих резерви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Приходи од смањења обавеза, укидања неискоришћених дугорочних резервисања и остали непоменути приходи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ОСТАЛИ РАСХОДИ (258 до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Губици по основу продаје и расходовања нематеријалних средстава, некретнина, постројења и опреме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Губици по основу продаје и расходовања инвестиционих некретнина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Губици по основу продаје и расходовања биолошких средстава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Губици по основу продаје средстава обустављеног пословања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Губици по основу продаје учешћа у капиталу и ХОВ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Губици по основу продаје материјала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Мањкови, изузимајући мањкове залиха учинака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Расходи по основу заштите од ризика који не испуњавају услове да се искажу у оквиру ревалоризационих резерви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Расходи по основу исправке вриједности и отписа потраживања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Расходи по основу расходовања залиха материјала и робе и остали расходи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Ж. ДОБИТАК ПО ОСНОВУ ОСТАЛИХ ПРИХОДА И РАСХОДА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З. ГУБИТАК ПО ОСНОВУ ОСТАЛИХ ПРИХОДА И РАСХОДА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И. ПРИХОДИ И РАСХОДИ ОД УСКЛАЂИВАЊА ВРИЈЕДНОСТИ ИМОВИНЕ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ПРИХОДИ ОД УСКЛАЂИВАЊА ВРИЈЕДНОСТИ ИМОВИНЕ (271 до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Приходи од усклађивања вриједности нематеријалних средстава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Приходи од усклађивања вриједности некретнина, постројења и опреме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Приходи од усклађивања вриједности инвестиционих некретнина за које се обрачунава амортизација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Приходи од усклађивања вриједности биолошких средстава за које се обрачунава амортизација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Приходи од усклађивања вриједности дугорочних финансијских пласмана и финансијских средстава расположивих за продају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Приходи од усклађивања вриједности залиха материјала и робе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Приходи од усклађивања вриједности краткорочних финансијских пласмана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Приходи од усклађивања вриједности капитала (негативни Гоодwилл)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Приходи од усклађивања вриједности остале имовине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РАСХОДИ ОД УСКЛАЂИВАЊА ВРИЈЕДНОСТИ ИМОВИНЕ (281 до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Обезврјеђење нематеријалних средстава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Обезврјеђење некретнина, постројења и опреме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Обезврјеђење инвестиционих некретнина за које се обрачунава амортизација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Обезврјеђење биолошких средстава за која се обрачунава амортизација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Обезврјеђење дугорочних финансијских пласмана и финансијских средстава расположивих за продају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Обезврјеђење залиха материјала и робе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Обезврјеђење краткорочних финансијских пласмана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Обезврјеђење потраживања примјеном индиректне методе утврђивања отписа потраживања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Обезврјеђење остале имовине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Ј. ДОБИТАК ПО ОСНОВУ УСКЛАЂИВАЊА ВРИЈЕДНОСТИ ИМОВИНЕ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К. ГУБИТАК ПО ОСНОВУ УСКЛАЂИВАЊА ВРИЈЕДНОСТИ ИМОВИНЕ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Л. ПРИХОДИ ПО ОСНОВУ ПРОМЈЕНЕ РАЧУНОВОДСТВЕНИХ ПОЛИТИКА И ИСПРАВКЕ ГРЕШАКА ИЗ РАНИЈИХ ГОДИНА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Љ. РАСХОДИ ПО ОСНОВУ ПРОМЈЕНЕ РАЧУНОВОДСТВЕНИХ ПОЛИТИКА И ИСПРАВКЕ ГРЕШАКА ИЗ РАНИЈИХ ГОДИНА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М. ДОБИТАК И ГУБИТАК ПРИЈЕ ОПОРЕЗИВАЊА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Добитак прије опорезивања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Губитак прије опорезивања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Н. ТЕКУЋИ И ОДЛОЖЕНИ ПОРЕЗ НА ДОБИТ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Порески расходи периода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Одложени порески расходи периода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Одложени порески приходи периода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Њ. НЕТО ДОБИТАК И НЕТО ГУБИТАК ПЕРИОДА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Нето добитак текуће године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Нето губитак текуће године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УКУПНИ ПРИХОДИ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УКУПНИ РАСХОДИ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О. МЕЂУДИВИДЕНДЕ И ДРУГИ ВИДОВИ РАСПОДЈЕЛЕ ДОБИТКА У ТОКУ ПЕРИОДА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Дио нето добитка/губитка који припада већинским власницима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Дио нето добитка/губитка који припада мањинским власницима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Обична зарада по акцији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Разријеђена зарада по акцији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Просјечан број запослених по основу часова рада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Просјечан број запослених по основу стања на крају мјесеца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А. НЕТО ДОБИТАК ИЛИ НЕТО ГУБИТАК ПЕРИОДА (299 или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ДОБИЦИ УТВРЂЕНИ ДИРЕКТНО У КАПИТАЛУ (402 до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Добици по основу смањења ревалоризационих резерви на сталним средствима, осим ХОВ расположивих за продају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Добици по основу промјене фер вриједности ХОВ расположивих за продају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Добици по основу превођења финансијских извјештаја иностраног пословања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Актуарски добици од планова дефинисаних примања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Ефективни дио добитака по основу заштите од ризика готовинских токова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Остали добици утврђени директно у капиталу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ГУБИЦИ УТВРЂЕНИ ДИРЕКТНО У КАПИТАЛУ (409 до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Губици по основу промјене фер вриједности ХОВ расположивих за продају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Губици по основу превођења финансијских извјештаја иностраног пословања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Актуарски губици од планова дефинисаних примања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Ефективни дио губитака по основу заштите од ризика готовинских токова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Остали губици утврђени директно у капиталу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Б. ОСТАЛИ ДОБИЦИ ИЛИ ГУБИЦИ У ПЕРИОДУ (401 - 408) или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В. ПОРЕЗ НА ДОБИТАК КОЈИ СЕ ОДНОСИ НА ОСТАЛЕ ДОБИТКЕ И ГУБИТКЕ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Г. НЕТО РЕЗУЛТАТ ПО ОСНОВУ ОСТАЛИХ ДОБИТАКА И ГУБИТАКА У ПЕРИОДУ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Д. УКУПАН НЕТО РЕЗУЛТАТ У ОБРАЧУНСКОМ ПЕРИОДУ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УКУПАН НЕТО ДОБИТАК У ОБРАЧУНСКОМ ПЕРИОДУ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УКУПАН НЕТО ГУБИТАК У ОБРАЧУНСКОМ ПЕРИОДУ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А. ТОКОВИ ГОТОВИНЕ ИЗ ПОСЛОВНИХ АКТИВНОСТИ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ПРИЛИВИ ГОТОВИНЕ ИЗ ПОСЛОВНИХ АКТИВНОСТИ (502 до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Приливи од купаца и примљени аванси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Приливи од премија, субвенција, дотација и сл.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Остали приливи из пословних активности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ОДЛИВИ ГОТОВИНЕ ИЗ ПОСЛОВНИХ АКТИВНОСТИ (506 до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Одливи по основу исплата добављачима и дати аванси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Одливи по основу исплата зарада, накнада зарада и осталих личних расхода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Одливи по основу плаћених камата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Одливи по основу пореза на добит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Остали одливи из пословних активности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НЕТО ПРИЛИВ ГОТОВИНЕ ИЗ ПОСЛОВНИХ АКТИВНОСТИ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НЕТО ОДЛИВ ГОТОВИНЕ ИЗ ПОСЛОВНИХ АКТИВНОСТИ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Б. ТОКОВИ ГОТОВИНЕ ИЗ АКТИВНОСТИ ИНВЕСТИРАЊА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ПРИЛИВИ ГОТОВИНЕ ИЗ АКТИВНОСТИ ИНВЕСТИРАЊА (514 до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Приливи по основу краткорочних финансијских пласмана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Приливи по основу продаје акција и удјела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Приливи по основу продаје нематеријалних средстава, некретнина, постројења, опреме, инвестиционих некретнина и биолошких средстава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Приливи по основу камата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Приливи од дивиденди и учешћа у добитку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Приливи по основу осталих дугорочних финансијских пласмана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ОДЛИВИ ГОТОВИНЕ ИЗ АКТИВНОСТИ ИНВЕСТИРАЊА (521 до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Одливи по основу краткорочних финансијских пласмана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Одливи по основу куповине акција и удјела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Одливи по основу осталих дугорочних финансијских пласмана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НЕТО ПРИЛИВ ГОТОВИНЕ ИЗ АКТИВНОСТИ ИНВЕСТИРАЊА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НЕТО ОДЛИВ ГОТОВИНЕ ИЗ АКТИВНОСТИ ИНВЕСТИРАЊА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В. ТОКОВИ ГОТОВИНЕ ИЗ АКТИВНОСТИ ФИНАНСИРАЊА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ПРИЛИВ ГОТОВИНЕ ИЗ АКТИВНОСТИ ФИНАНСИРАЊА (528 до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Приливи по основу повећања основног капитала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Приливи по основу дугорочних кредита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Приливи по основу краткорочних кредита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Приливи по основу осталих дугорочних и краткорочних обавеза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ОДЛИВИ ГОТОВИНЕ ИЗ АКТИВНОСТИ ФИНАНСИРАЊА (533 до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Одливи по основу откупа сопствених акција и удјела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Одливи по основу дугорочних кредита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Одливи по основу краткорочних кредита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Одливи по основу финансијског лизинга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Одливи по основу исплаћених дивиденди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Одливи по основу осталих дугорочних и краткорочних обавеза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НЕТО ПРИЛИВ ГОТОВИНЕ ИЗ АКТИВНОСТ ФИНАНСИРАЊА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НЕТО ОДЛИВ ГОТОВИНЕ ИЗ АКТИВНОСТИ ФИНАНСИРАЊА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Г. УКУПНИ ПРИЛИВИ ГОТОВИНЕ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Д. УКУПНИ ОДЛИВИ ГОТОВИНЕ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Ђ. НЕТО ПРИЛИВ ГОТОВИНЕ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Е. НЕТО ОДЛИВ ГОТОВИНЕ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Ж. ГОТОВИНА НА ПОЧЕТКУ ОБРАЧУНСКОГ ПЕРИОДА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З. ПОЗИТИВНЕ КУРСНЕ РАЗЛИКЕ ПО ОСНОВУ ПРЕРАЧУНА ГОТОВИНЕ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И. НЕГАТИВНЕ КУРСНЕ РАЗЛИКЕ ПО ОСНОВУ ПРЕРАЧУНА ГОТОВИНЕ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Ј. ГОТОВИНА НА КРАЈУ ОБРАЧУНСКОГ ПЕРИОДА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Улагања у истраживање и развој (дуговни промет без почетног стања)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дио 200</v>
      </c>
      <c r="F324" t="str">
        <f>REPT( "  ", T_Aop[[#This Row],[Aop nivo]]) &amp; VLOOKUP( T_Aop[[#This Row],[Id]], T_Aop[], ID_Jezik + 6, 1)</f>
        <v>Купци из Републике Српске и купци - повезана правна лица из РС (дуговни промет без почетног стања)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дио 200</v>
      </c>
      <c r="F325" t="str">
        <f>REPT( "  ", T_Aop[[#This Row],[Aop nivo]]) &amp; VLOOKUP( T_Aop[[#This Row],[Id]], T_Aop[], ID_Jezik + 6, 1)</f>
        <v>Купци из Федерације БиХ и купци - повезана правна лица из ФБиХ (дуговни промет без почетног стања)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дио 200</v>
      </c>
      <c r="F326" t="str">
        <f>REPT( "  ", T_Aop[[#This Row],[Aop nivo]]) &amp; VLOOKUP( T_Aop[[#This Row],[Id]], T_Aop[], ID_Jezik + 6, 1)</f>
        <v>Купци из Брчко Дистрикта БиХ и купци - повезана правна лица из БД (дуговни промет без почетног стања)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дио 431</v>
      </c>
      <c r="F327" t="str">
        <f>REPT( "  ", T_Aop[[#This Row],[Aop nivo]]) &amp; VLOOKUP( T_Aop[[#This Row],[Id]], T_Aop[], ID_Jezik + 6, 1)</f>
        <v>Добављачи из Републике Српске и добављачи - повезана правна лица из РС (потражни промет без почетног стања)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дио 431</v>
      </c>
      <c r="F328" t="str">
        <f>REPT( "  ", T_Aop[[#This Row],[Aop nivo]]) &amp; VLOOKUP( T_Aop[[#This Row],[Id]], T_Aop[], ID_Jezik + 6, 1)</f>
        <v>Добављачи из Федерације БиХ и добављачи - повезана правна лица из ФБиХ (потражни промет без почетног стања)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дио 431</v>
      </c>
      <c r="F329" t="str">
        <f>REPT( "  ", T_Aop[[#This Row],[Aop nivo]]) &amp; VLOOKUP( T_Aop[[#This Row],[Id]], T_Aop[], ID_Jezik + 6, 1)</f>
        <v>Добављачи из Брчко Дистрикта БиХ и добављачи - повезана правна лица из ДБ (потражни промет без почетног стања)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дио 600</v>
      </c>
      <c r="F330" t="str">
        <f>REPT( "  ", T_Aop[[#This Row],[Aop nivo]]) &amp; VLOOKUP( T_Aop[[#This Row],[Id]], T_Aop[], ID_Jezik + 6, 1)</f>
        <v>Приходи од продаје робе у Републици Српској и приходи од продаје робе повезаним правним лицима у РС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дио 600</v>
      </c>
      <c r="F331" t="str">
        <f>REPT( "  ", T_Aop[[#This Row],[Aop nivo]]) &amp; VLOOKUP( T_Aop[[#This Row],[Id]], T_Aop[], ID_Jezik + 6, 1)</f>
        <v>Приходи од продаје робе у Федерацији БиХ и приходи од продаје робе повезаним правним лицима у ФБиХ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дио 600</v>
      </c>
      <c r="F332" t="str">
        <f>REPT( "  ", T_Aop[[#This Row],[Aop nivo]]) &amp; VLOOKUP( T_Aop[[#This Row],[Id]], T_Aop[], ID_Jezik + 6, 1)</f>
        <v>Приходи од продаје робе у Брчко Дистрикту БиХ и приходи од продаје робе повезаним правним лицима у БД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дио 61</v>
      </c>
      <c r="F333" t="str">
        <f>REPT( "  ", T_Aop[[#This Row],[Aop nivo]]) &amp; VLOOKUP( T_Aop[[#This Row],[Id]], T_Aop[], ID_Jezik + 6, 1)</f>
        <v>Приходи од продаје производа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дио 61</v>
      </c>
      <c r="F334" t="str">
        <f>REPT( "  ", T_Aop[[#This Row],[Aop nivo]]) &amp; VLOOKUP( T_Aop[[#This Row],[Id]], T_Aop[], ID_Jezik + 6, 1)</f>
        <v>Приходи од продаје услуга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дио 610</v>
      </c>
      <c r="F335" t="str">
        <f>REPT( "  ", T_Aop[[#This Row],[Aop nivo]]) &amp; VLOOKUP( T_Aop[[#This Row],[Id]], T_Aop[], ID_Jezik + 6, 1)</f>
        <v>Приходи од продаје учинака у Републици Српској и приходи од продаје учинака повезаним правним лицима у РС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дио 610</v>
      </c>
      <c r="F336" t="str">
        <f>REPT( "  ", T_Aop[[#This Row],[Aop nivo]]) &amp; VLOOKUP( T_Aop[[#This Row],[Id]], T_Aop[], ID_Jezik + 6, 1)</f>
        <v>Приходи од продаје учинака у Федерацији БиХ и приходи од продаје учинака повезаним правним лицима у ФБиХ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дио 610</v>
      </c>
      <c r="F337" t="str">
        <f>REPT( "  ", T_Aop[[#This Row],[Aop nivo]]) &amp; VLOOKUP( T_Aop[[#This Row],[Id]], T_Aop[], ID_Jezik + 6, 1)</f>
        <v>Приходи од продаје учинака у Брчко Дистрикту БиХ и приходи од продаје учинака повезаним правним лицима у БД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дио 611</v>
      </c>
      <c r="F338" t="str">
        <f>REPT( "  ", T_Aop[[#This Row],[Aop nivo]]) &amp; VLOOKUP( T_Aop[[#This Row],[Id]], T_Aop[], ID_Jezik + 6, 1)</f>
        <v>Приходи од продаје услуга у Републици Српској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дио 612</v>
      </c>
      <c r="F339" t="str">
        <f>REPT( "  ", T_Aop[[#This Row],[Aop nivo]]) &amp; VLOOKUP( T_Aop[[#This Row],[Id]], T_Aop[], ID_Jezik + 6, 1)</f>
        <v>Приходи од продаје услуга у Федерацији БиХ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дио 613</v>
      </c>
      <c r="F340" t="str">
        <f>REPT( "  ", T_Aop[[#This Row],[Aop nivo]]) &amp; VLOOKUP( T_Aop[[#This Row],[Id]], T_Aop[], ID_Jezik + 6, 1)</f>
        <v>Приходи од продаје услуга у Брчко Дистрикту БиХ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ОСТАЛИ ПОСЛОВНИ ПРИХОДИ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а) Приходи од премија, субвенција, дотација, регреса, подстицаја и слично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дио 650</v>
      </c>
      <c r="F343" t="str">
        <f>REPT( "  ", T_Aop[[#This Row],[Aop nivo]]) &amp; VLOOKUP( T_Aop[[#This Row],[Id]], T_Aop[], ID_Jezik + 6, 1)</f>
        <v xml:space="preserve">    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дио 650</v>
      </c>
      <c r="F344" t="str">
        <f>REPT( "  ", T_Aop[[#This Row],[Aop nivo]]) &amp; VLOOKUP( T_Aop[[#This Row],[Id]], T_Aop[], ID_Jezik + 6, 1)</f>
        <v xml:space="preserve">    Од тога: приходи по основу субвенција на производњу (на запошљавање, плату, каматну стопу, за смањење загађења и др.)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б) Приход од закупнина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в) Приход од донација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г) Приход од чланарина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д) Приход од тантијема и лиценцних права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ђ) Приход из намјенских извора финансирања (из буџета, фондова и др.)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е) Остали пословни приходи по другим основима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ФИНАНСИЈСКИ И ОСТАЛИ ПРИХОДИ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дио 660</v>
      </c>
      <c r="F352" s="120" t="str">
        <f>REPT( "  ", T_Aop[[#This Row],[Aop nivo]]) &amp; VLOOKUP( T_Aop[[#This Row],[Id]], T_Aop[], ID_Jezik + 6, 1)</f>
        <v xml:space="preserve">    Од тога: приходи од учешћа у добити (дивиденди)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дио 670</v>
      </c>
      <c r="F353" s="120" t="str">
        <f>REPT( "  ", T_Aop[[#This Row],[Aop nivo]]) &amp; VLOOKUP( T_Aop[[#This Row],[Id]], T_Aop[], ID_Jezik + 6, 1)</f>
        <v xml:space="preserve">  Добици по основу продаје некретнина, постројења и опреме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Приходи по основу уговорене заштите од ризика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ТРОШКОВИ МАТЕРИЈАЛА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Од тога: трошкови горива и енергије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ТРОШКОВИ ЗАРАДА, НАКНАДА ЗАРАДА И ОСТАЛИХ ЛИЧНИХ РАСХОДА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Трошкови бруто накнада члановима управног, надзорног, одбора за ревизију и др.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Трошкови запослених на службеном путу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дио 525</v>
      </c>
      <c r="F360" s="120" t="str">
        <f>REPT( "  ", T_Aop[[#This Row],[Aop nivo]]) &amp; VLOOKUP( T_Aop[[#This Row],[Id]], T_Aop[], ID_Jezik + 6, 1)</f>
        <v xml:space="preserve">    Од тога: дневнице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ТРОШКОВИ ПРОИЗВОДНИХ УСЛУГА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а) Трошкови услуга на изради учинака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б) Трошкови транспортних услуга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дио 532</v>
      </c>
      <c r="F364" s="120" t="str">
        <f>REPT( "  ", T_Aop[[#This Row],[Aop nivo]]) &amp; VLOOKUP( T_Aop[[#This Row],[Id]], T_Aop[], ID_Jezik + 6, 1)</f>
        <v xml:space="preserve">  в) Трошкови за услуге текућег одржавања основних средстава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дио 532</v>
      </c>
      <c r="F365" s="120" t="str">
        <f>REPT( "  ", T_Aop[[#This Row],[Aop nivo]]) &amp; VLOOKUP( T_Aop[[#This Row],[Id]], T_Aop[], ID_Jezik + 6, 1)</f>
        <v xml:space="preserve">  г) Трошкови за услуге инвестиционог одржавања основних средстава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д) Трошкови закупа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ђ) Трошкови сајмова, рекламе и пропаганде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е) Трошкови истраживања и развоја који се не капитализују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ж) Трошкови осталих услуга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дио 539</v>
      </c>
      <c r="F370" s="120" t="str">
        <f>REPT( "  ", T_Aop[[#This Row],[Aop nivo]]) &amp; VLOOKUP( T_Aop[[#This Row],[Id]], T_Aop[], ID_Jezik + 6, 1)</f>
        <v xml:space="preserve">    Од тога: бруто износи накнада по уговорима са физичким лицима ван радног односа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НЕМАТЕРИЈАЛНИ ТРОШКОВИ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а) Трошкови непроизводних услуга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дио 550</v>
      </c>
      <c r="F373" s="120" t="str">
        <f>REPT( "  ", T_Aop[[#This Row],[Aop nivo]]) &amp; VLOOKUP( T_Aop[[#This Row],[Id]], T_Aop[], ID_Jezik + 6, 1)</f>
        <v xml:space="preserve">    Од тога: трошкови стручног образовања и усавршавања запослених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дио 550</v>
      </c>
      <c r="F374" s="120" t="str">
        <f>REPT( "  ", T_Aop[[#This Row],[Aop nivo]]) &amp; VLOOKUP( T_Aop[[#This Row],[Id]], T_Aop[], ID_Jezik + 6, 1)</f>
        <v xml:space="preserve">    Од тога: бруто износи накнада по уговорима са физичким лицима ван радног односа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б) Трошкови репрезентације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в) Трошкови премије осигурања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г) Трошкови платног промета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д) Трошкови чланарина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дио 555</v>
      </c>
      <c r="F379" s="120" t="str">
        <f>REPT( "  ", T_Aop[[#This Row],[Aop nivo]]) &amp; VLOOKUP( T_Aop[[#This Row],[Id]], T_Aop[], ID_Jezik + 6, 1)</f>
        <v xml:space="preserve">  ђ) Трошкови пореза на производе, царине, боравишне таксе, порез на игре на срећу и сл.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дио 555</v>
      </c>
      <c r="F380" t="str">
        <f>REPT( "  ", T_Aop[[#This Row],[Aop nivo]]) &amp; VLOOKUP( T_Aop[[#This Row],[Id]], T_Aop[], ID_Jezik + 6, 1)</f>
        <v xml:space="preserve">  е) Трошкови пореза на производњу: на имовину, на земљиште, за коришћење вода и шума, за противпожарну заштиту и сл.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ж) Остали нематеријални трошкови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ОБАВЕЗЕ И ПОТРАЖИВАЊА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осим 479</v>
      </c>
      <c r="F383" s="3" t="str">
        <f>REPT( "  ", T_Aop[[#This Row],[Aop nivo]]) &amp; VLOOKUP( T_Aop[[#This Row],[Id]], T_Aop[], ID_Jezik + 6, 1)</f>
        <v xml:space="preserve">  Обрачунати (фактурисани) порез на додату вриједност (кумулативан промет конта)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осим 279</v>
      </c>
      <c r="F384" s="3" t="str">
        <f>REPT( "  ", T_Aop[[#This Row],[Aop nivo]]) &amp; VLOOKUP( T_Aop[[#This Row],[Id]], T_Aop[], ID_Jezik + 6, 1)</f>
        <v xml:space="preserve">  Улазни порез на додату вриједност (кумулативан промет конта)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Обавезе за ПДВ по основу разлике између обрачунатог и аконтационог ПДВ-а (салдо конта)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Потраживања по основу разлике између аконтационог и обрачунатог ПДВ-а (салдо конта)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ПДВ плаћен при увозу (кумулативан промет конта)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Обавезе за ПДВ плаћен при увозу (кумулативан промет конта)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Обавезе за акцизе (кумулативан промет конта)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нема конта</v>
      </c>
      <c r="F390" s="3" t="str">
        <f>REPT( "  ", T_Aop[[#This Row],[Aop nivo]]) &amp; VLOOKUP( T_Aop[[#This Row],[Id]], T_Aop[], ID_Jezik + 6, 1)</f>
        <v xml:space="preserve">  Приходи остварени на бази подуговарања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нема конта</v>
      </c>
      <c r="F391" s="3" t="str">
        <f>REPT( "  ", T_Aop[[#This Row],[Aop nivo]]) &amp; VLOOKUP( T_Aop[[#This Row],[Id]], T_Aop[], ID_Jezik + 6, 1)</f>
        <v xml:space="preserve">  Плаћања подуговарачима за рад, испоручене производе и услуге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нема конта</v>
      </c>
      <c r="F392" s="3" t="str">
        <f>REPT( "  ", T_Aop[[#This Row],[Aop nivo]]) &amp; VLOOKUP( T_Aop[[#This Row],[Id]], T_Aop[], ID_Jezik + 6, 1)</f>
        <v xml:space="preserve">  Укупан број одрађених часова рада (ефективни часови рада без боловања, годишњих одмора, државних празника и сл.)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Стaњe нa дaн 01.01.2018. гoд.</v>
      </c>
      <c r="G393" s="162" t="str">
        <f>CONCATENATE("Stanje na dan ", Podesavanja!$X$6, " god.")</f>
        <v>Stanje na dan 01.01.2018. god.</v>
      </c>
      <c r="H393" s="162" t="str">
        <f>CONCATENATE("Стaњe нa дaн ",  Podesavanja!$X$6, " гoд.")</f>
        <v>Стaњe нa дaн 01.01.2018. гoд.</v>
      </c>
      <c r="I393" s="162" t="str">
        <f>CONCATENATE("Value on day ", Podesavanja!$Y$6)</f>
        <v>Value on day 01.01.2018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Eфeкти прoмjeнa у рaчунoвoдствeним пoлитикaмa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Eфeкти испрaвкe грeшaкa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Пoнoвo искaзaнo стaњe нa дaн 01.01.2018. гoд. (901 ± 902 ± 903)</v>
      </c>
      <c r="G396" s="162" t="str">
        <f>CONCATENATE("Ponovo iskazano stanje na dan ", Podesavanja!$X$6, " god. (901 ± 902 ± 903)")</f>
        <v>Ponovo iskazano stanje na dan 01.01.2018. god. (901 ± 902 ± 903)</v>
      </c>
      <c r="H396" s="162" t="str">
        <f>CONCATENATE("Пoнoвo искaзaнo стaњe нa дaн ",  Podesavanja!$X$6, " гoд. (901 ± 902 ± 903)")</f>
        <v>Пoнoвo искaзaнo стaњe нa дaн 01.01.2018. гoд. (901 ± 902 ± 903)</v>
      </c>
      <c r="I396" s="162" t="str">
        <f>CONCATENATE("New value on day ",  Podesavanja!$Y$6, " (901 ± 902 ± 903)")</f>
        <v>New value on day 01.01.2018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Eфeкти рeвaлoризaциje мaтeриjaлних и нeмaтeриjaлних срeдстaвa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Нeрeaлизoвaни дoбици/губици пo oснoву финaнсиjских срeдстaвa рaспoлoживих зa прoдajу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Курснe рaзликe нaстaлe пo oснoву прeрaчунa финaнсиjских извjeштaja у другу функциoнaлну вaлуту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Нeтo дoбитaк/губитaк пeриoдa искaзaн у билaнсу успjeхa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Нeтo дoбици/губици пeриoдa признaти дирeктнo у кaпитaлу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Oбjaвљeнe дивидeндe и други видoви рaспoдjeлe дoбиткa и пoкрићe губиткa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Eмисиja aкциjскoг кaпитaлa и други видoви пoвeћaњa или смaњeњe oснoвнoг кaпитaлa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Стaњe нa дaн 31.12.2018. гoд. / 01.01.2019. гoд.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31.12.2018. god. / 01.01.2019.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31.12.2018. гoд. / 01.01.2019.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31.12.2018 / 01.01.2019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Eфeкти прoмjeнa у рaчунoвoдствeним пoлитикaмa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Eфeкти испрaвкe грeшaкa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Пoнoвo искaзaнo стaњe нa дaн 01.01.2019. гoд. (912 ± 913 ± 914)</v>
      </c>
      <c r="G407" s="162" t="str">
        <f>CONCATENATE("Ponovo iskazano stanje na dan ", Podesavanja!$X$4, " god. (912 ± 913 ± 914)")</f>
        <v>Ponovo iskazano stanje na dan 01.01.2019. god. (912 ± 913 ± 914)</v>
      </c>
      <c r="H407" s="162" t="str">
        <f>CONCATENATE("Пoнoвo искaзaнo стaњe нa дaн ", Podesavanja!$X$4, " гoд. (912 ± 913 ± 914)")</f>
        <v>Пoнoвo искaзaнo стaњe нa дaн 01.01.2019. гoд. (912 ± 913 ± 914)</v>
      </c>
      <c r="I407" s="162" t="str">
        <f>CONCATENATE("New value on day ",  Podesavanja!$Y$4," (912 ± 913 ± 914)")</f>
        <v>New value on day 01.01.2019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Eфeкти рeвaлoризaциje мaтeриjaлних и нeмaтeриjaлних срeдстaвa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Нeрeaлизoвaни дoбици/губици пo oснoву финaнсиjских срeдстaвa рaспoлoживих зa прoдajу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Курснe рaзликe нaстaлe пo oснoву прeрaчунa финaнсиjских извjeштaja у другу функциoнaлну вaлуту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Нeтo дoбитaк/губитaк пeриoдa искaзaн у билaнсу успjeхa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Нeтo дoбици/губици пeриoдa признaти дирeктнo у кaпитaлу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Oбjaвљeнe дивидeндe и други видoви рaспoдjeлe дoбиткa и пoкрићe губиткa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Eмисиja aкциjскoг кaпитaлa и други видoви пoвeћaњa или смaњeњe oснoвнoг кaпитaлa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Стaњe нa дaн 30.09.2019. гoд. (915 ± 916 ± 917 ± 918 ± 919 ± 920 - 921 + 922)</v>
      </c>
      <c r="G415" s="162" t="str">
        <f>CONCATENATE("Stanje na dan ",Datum_Format," god. (915 ± 916 ± 917 ± 918 ± 919 ± 920 - 921 + 922)")</f>
        <v>Stanje na dan 30.09.2019. god. (915 ± 916 ± 917 ± 918 ± 919 ± 920 - 921 + 922)</v>
      </c>
      <c r="H415" s="162" t="str">
        <f>CONCATENATE("Стaњe нa дaн ",Datum_Format," гoд. (915 ± 916 ± 917 ± 918 ± 919 ± 920 - 921 + 922)")</f>
        <v>Стaњe нa дaн 30.09.2019. гoд. (915 ± 916 ± 917 ± 918 ± 919 ± 920 - 921 + 922)</v>
      </c>
      <c r="I415" s="162" t="str">
        <f>CONCATENATE("Value on day ",  Podesavanja!$Y$3," (915 ± 916 ± 917 ± 918 ± 919 ± 920 - 921 + 922)")</f>
        <v>Value on day 30.09.2019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workbookViewId="0"/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2</v>
      </c>
      <c r="C1" t="str">
        <f>VLOOKUP(ID_Jezik, $B$3:$C$5, 2, 1)</f>
        <v>Српски - ћирилица</v>
      </c>
      <c r="E1" s="200">
        <v>1</v>
      </c>
      <c r="F1" t="str">
        <f>VLOOKUP(E1, $E$3:$F$6, 2, 1)</f>
        <v/>
      </c>
      <c r="H1" s="5">
        <f>DATE( Godina, Period_Kraj_Mjesec, Period_Kraj_Dan)</f>
        <v>43738</v>
      </c>
      <c r="I1" s="163">
        <f>VLOOKUP(Datum_Broj, $H$3:$L$6, 2, 0)</f>
        <v>3</v>
      </c>
      <c r="J1">
        <f>VLOOKUP(ID_Izvjestaj,$I$3:$L$6,3,1)</f>
        <v>9</v>
      </c>
      <c r="U1">
        <f>Period_Kraj_Godina</f>
        <v>2019</v>
      </c>
      <c r="V1">
        <f>Period_Kraj_Mjesec</f>
        <v>9</v>
      </c>
      <c r="W1">
        <f>Period_Kraj_Dan</f>
        <v>30</v>
      </c>
      <c r="X1" s="6" t="str">
        <f>TEXT( DATE( Godina, Period_Kraj_Mjesec, Period_Kraj_Dan), "dd.mm.yyyy.")</f>
        <v>30.09.2019.</v>
      </c>
      <c r="Y1" s="6" t="str">
        <f>TEXT( DATE( Godina, Period_Kraj_Mjesec, Period_Kraj_Dan), "dd.mm.yyyy")</f>
        <v>30.09.2019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3" t="s">
        <v>535</v>
      </c>
      <c r="AC2" s="373" t="s">
        <v>2042</v>
      </c>
      <c r="AD2" s="373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43555</v>
      </c>
      <c r="I3">
        <v>1</v>
      </c>
      <c r="J3" t="str">
        <f>Vrsta_izvjestaja_Prvi_kvartal</f>
        <v>Први квaртaл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9</v>
      </c>
      <c r="V3">
        <f>Period_Kraj_Dan</f>
        <v>30</v>
      </c>
      <c r="W3" s="155">
        <f>DATE( Godina + T3, U3, V3)</f>
        <v>43738</v>
      </c>
      <c r="X3" t="str">
        <f>TEXT(W3, "dd.mm.yyyy.")</f>
        <v>30.09.2019.</v>
      </c>
      <c r="Y3" t="str">
        <f>TEXT(W3, "dd.mm.yyyy")</f>
        <v>30.09.2019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43646</v>
      </c>
      <c r="I4">
        <v>2</v>
      </c>
      <c r="J4" t="str">
        <f>Vrsta_izvjestaja_Polugodisnji</f>
        <v>Пoлугoдишњи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43466</v>
      </c>
      <c r="X4" t="str">
        <f>TEXT(W4, "dd.mm.yyyy.")</f>
        <v>01.01.2019.</v>
      </c>
      <c r="Y4" t="str">
        <f>TEXT(W4, "dd.mm.yyyy")</f>
        <v>01.01.2019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43738</v>
      </c>
      <c r="I5">
        <v>3</v>
      </c>
      <c r="J5" t="str">
        <f>Vrsta_izvjestaja_Treci_kvartal</f>
        <v>Tрeћи квaртaл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43465</v>
      </c>
      <c r="X5" t="str">
        <f>TEXT(W5, "dd.mm.yyyy.")</f>
        <v>31.12.2018.</v>
      </c>
      <c r="Y5" t="str">
        <f>TEXT(W5, "dd.mm.yyyy")</f>
        <v>31.12.2018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43830</v>
      </c>
      <c r="I6">
        <v>4</v>
      </c>
      <c r="J6" t="str">
        <f>Vrsta_izvjestaja_Godisnji</f>
        <v>Гoдишњи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43101</v>
      </c>
      <c r="X6" t="str">
        <f>TEXT(W6, "dd.mm.yyyy.")</f>
        <v>01.01.2018.</v>
      </c>
      <c r="Y6" t="str">
        <f>TEXT(W6, "dd.mm.yyyy")</f>
        <v>01.01.2018</v>
      </c>
      <c r="AA6" s="119" t="str">
        <f>CONCATENATE(T_ApifKolone[[#This Row],[Bilans]],T_ApifKolone[[#This Row],[ApifKolona]])</f>
        <v>BSaKolona4</v>
      </c>
      <c r="AB6" s="369" t="s">
        <v>2040</v>
      </c>
      <c r="AC6" s="369" t="s">
        <v>2034</v>
      </c>
      <c r="AD6" s="369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69" t="s">
        <v>2039</v>
      </c>
      <c r="AC8" s="369" t="s">
        <v>2032</v>
      </c>
      <c r="AD8" s="372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69" t="s">
        <v>541</v>
      </c>
      <c r="AC10" s="369" t="s">
        <v>2032</v>
      </c>
      <c r="AD10" s="372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1</v>
      </c>
      <c r="AA12" s="119" t="str">
        <f>CONCATENATE(T_ApifKolone[[#This Row],[Bilans]],T_ApifKolone[[#This Row],[ApifKolona]])</f>
        <v>BUbKolona2</v>
      </c>
      <c r="AB12" s="369" t="s">
        <v>552</v>
      </c>
      <c r="AC12" s="369" t="s">
        <v>2032</v>
      </c>
      <c r="AD12" s="369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69" t="s">
        <v>418</v>
      </c>
      <c r="AC14" s="369" t="s">
        <v>2032</v>
      </c>
      <c r="AD14" s="369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69" t="s">
        <v>419</v>
      </c>
      <c r="AC16" s="369" t="s">
        <v>2032</v>
      </c>
      <c r="AD16" s="369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workbookViewId="0"/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3</v>
      </c>
      <c r="D2" s="146" t="str">
        <f t="shared" ref="D2:D65" si="1">Podatak_MB</f>
        <v>1772902</v>
      </c>
      <c r="E2" s="146" t="str">
        <f>Podatak_JIB</f>
        <v>4400964000002</v>
      </c>
      <c r="F2" s="146" t="b">
        <f t="shared" ref="F2:F65" si="2">Konsolidovan_izvjestaj</f>
        <v>1</v>
      </c>
      <c r="G2" s="190">
        <f t="shared" ref="G2:G65" si="3">Datum_Broj</f>
        <v>43738</v>
      </c>
      <c r="H2" s="146">
        <f>VLOOKUP( $A2, Aop!$A$2:$N$415, 4, 0)</f>
        <v>1</v>
      </c>
      <c r="I2" s="146">
        <f t="shared" ref="I2:I65" si="4">Godina</f>
        <v>2019</v>
      </c>
      <c r="J2" s="79">
        <f ca="1">IF( VLOOKUP( $H2, INDIRECT( "Lookup_" &amp; $B2), IF( LEFT( $B2, 2) = "BS", P$2, P$1), 0) = "", "", VLOOKUP( $H2, INDIRECT( "Lookup_" &amp; $B2), IF( $B2 = "BSa", P$2, P$1), 0))</f>
        <v>2377150391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1360392792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1016757599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733630030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3</v>
      </c>
      <c r="D3" s="146" t="str">
        <f t="shared" si="1"/>
        <v>1772902</v>
      </c>
      <c r="E3" s="146" t="str">
        <f t="shared" ref="E3:E65" si="8">Podatak_JIB</f>
        <v>4400964000002</v>
      </c>
      <c r="F3" s="146" t="b">
        <f t="shared" si="2"/>
        <v>1</v>
      </c>
      <c r="G3" s="190">
        <f t="shared" si="3"/>
        <v>43738</v>
      </c>
      <c r="H3" s="146">
        <f>VLOOKUP( $A3, Aop!$A$2:$N$415, 4, 0)</f>
        <v>2</v>
      </c>
      <c r="I3" s="146">
        <f t="shared" si="4"/>
        <v>2019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458820861</v>
      </c>
      <c r="K3" s="79">
        <f t="shared" ca="1" si="5"/>
        <v>231609842</v>
      </c>
      <c r="L3" s="79">
        <f t="shared" ca="1" si="6"/>
        <v>227211019</v>
      </c>
      <c r="M3" s="79">
        <f t="shared" ca="1" si="7"/>
        <v>69196427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3</v>
      </c>
      <c r="D4" s="146" t="str">
        <f t="shared" si="1"/>
        <v>1772902</v>
      </c>
      <c r="E4" s="146" t="str">
        <f t="shared" si="8"/>
        <v>4400964000002</v>
      </c>
      <c r="F4" s="146" t="b">
        <f t="shared" si="2"/>
        <v>1</v>
      </c>
      <c r="G4" s="190">
        <f t="shared" si="3"/>
        <v>43738</v>
      </c>
      <c r="H4" s="146">
        <f>VLOOKUP( $A4, Aop!$A$2:$N$415, 4, 0)</f>
        <v>3</v>
      </c>
      <c r="I4" s="146">
        <f t="shared" si="4"/>
        <v>2019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3</v>
      </c>
      <c r="D5" s="146" t="str">
        <f t="shared" si="1"/>
        <v>1772902</v>
      </c>
      <c r="E5" s="146" t="str">
        <f t="shared" si="8"/>
        <v>4400964000002</v>
      </c>
      <c r="F5" s="146" t="b">
        <f t="shared" si="2"/>
        <v>1</v>
      </c>
      <c r="G5" s="190">
        <f t="shared" si="3"/>
        <v>43738</v>
      </c>
      <c r="H5" s="146">
        <f>VLOOKUP( $A5, Aop!$A$2:$N$415, 4, 0)</f>
        <v>4</v>
      </c>
      <c r="I5" s="146">
        <f t="shared" si="4"/>
        <v>2019</v>
      </c>
      <c r="J5" s="79">
        <f t="shared" ca="1" si="9"/>
        <v>226512213</v>
      </c>
      <c r="K5" s="79">
        <f t="shared" ca="1" si="5"/>
        <v>148586058</v>
      </c>
      <c r="L5" s="79">
        <f t="shared" ca="1" si="6"/>
        <v>77926155</v>
      </c>
      <c r="M5" s="79">
        <f t="shared" ca="1" si="7"/>
        <v>17192529</v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3</v>
      </c>
      <c r="D6" s="146" t="str">
        <f t="shared" si="1"/>
        <v>1772902</v>
      </c>
      <c r="E6" s="146" t="str">
        <f t="shared" si="8"/>
        <v>4400964000002</v>
      </c>
      <c r="F6" s="146" t="b">
        <f t="shared" si="2"/>
        <v>1</v>
      </c>
      <c r="G6" s="190">
        <f t="shared" si="3"/>
        <v>43738</v>
      </c>
      <c r="H6" s="146">
        <f>VLOOKUP( $A6, Aop!$A$2:$N$415, 4, 0)</f>
        <v>5</v>
      </c>
      <c r="I6" s="146">
        <f t="shared" si="4"/>
        <v>2019</v>
      </c>
      <c r="J6" s="79">
        <f t="shared" ca="1" si="9"/>
        <v>49589351</v>
      </c>
      <c r="K6" s="79" t="str">
        <f t="shared" ca="1" si="5"/>
        <v/>
      </c>
      <c r="L6" s="79">
        <f t="shared" ca="1" si="6"/>
        <v>49589351</v>
      </c>
      <c r="M6" s="79">
        <f t="shared" ca="1" si="7"/>
        <v>10339849</v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3</v>
      </c>
      <c r="D7" s="146" t="str">
        <f t="shared" si="1"/>
        <v>1772902</v>
      </c>
      <c r="E7" s="146" t="str">
        <f t="shared" si="8"/>
        <v>4400964000002</v>
      </c>
      <c r="F7" s="146" t="b">
        <f t="shared" si="2"/>
        <v>1</v>
      </c>
      <c r="G7" s="190">
        <f t="shared" si="3"/>
        <v>43738</v>
      </c>
      <c r="H7" s="146">
        <f>VLOOKUP( $A7, Aop!$A$2:$N$415, 4, 0)</f>
        <v>6</v>
      </c>
      <c r="I7" s="146">
        <f t="shared" si="4"/>
        <v>2019</v>
      </c>
      <c r="J7" s="79">
        <f t="shared" ca="1" si="9"/>
        <v>162713450</v>
      </c>
      <c r="K7" s="79">
        <f t="shared" ca="1" si="5"/>
        <v>83023784</v>
      </c>
      <c r="L7" s="79">
        <f t="shared" ca="1" si="6"/>
        <v>79689666</v>
      </c>
      <c r="M7" s="79">
        <f t="shared" ca="1" si="7"/>
        <v>18903926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3</v>
      </c>
      <c r="D8" s="146" t="str">
        <f t="shared" si="1"/>
        <v>1772902</v>
      </c>
      <c r="E8" s="146" t="str">
        <f t="shared" si="8"/>
        <v>4400964000002</v>
      </c>
      <c r="F8" s="146" t="b">
        <f t="shared" si="2"/>
        <v>1</v>
      </c>
      <c r="G8" s="190">
        <f t="shared" si="3"/>
        <v>43738</v>
      </c>
      <c r="H8" s="146">
        <f>VLOOKUP( $A8, Aop!$A$2:$N$415, 4, 0)</f>
        <v>7</v>
      </c>
      <c r="I8" s="146">
        <f t="shared" si="4"/>
        <v>2019</v>
      </c>
      <c r="J8" s="79">
        <f t="shared" ca="1" si="9"/>
        <v>20005847</v>
      </c>
      <c r="K8" s="79" t="str">
        <f t="shared" ca="1" si="5"/>
        <v/>
      </c>
      <c r="L8" s="79">
        <f t="shared" ca="1" si="6"/>
        <v>20005847</v>
      </c>
      <c r="M8" s="79">
        <f t="shared" ca="1" si="7"/>
        <v>22760123</v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3</v>
      </c>
      <c r="D9" s="146" t="str">
        <f t="shared" si="1"/>
        <v>1772902</v>
      </c>
      <c r="E9" s="146" t="str">
        <f t="shared" si="8"/>
        <v>4400964000002</v>
      </c>
      <c r="F9" s="146" t="b">
        <f t="shared" si="2"/>
        <v>1</v>
      </c>
      <c r="G9" s="190">
        <f t="shared" si="3"/>
        <v>43738</v>
      </c>
      <c r="H9" s="146">
        <f>VLOOKUP( $A9, Aop!$A$2:$N$415, 4, 0)</f>
        <v>8</v>
      </c>
      <c r="I9" s="146">
        <f t="shared" si="4"/>
        <v>2019</v>
      </c>
      <c r="J9" s="79">
        <f t="shared" ca="1" si="9"/>
        <v>1747845382</v>
      </c>
      <c r="K9" s="79">
        <f t="shared" ca="1" si="5"/>
        <v>1128720229</v>
      </c>
      <c r="L9" s="79">
        <f t="shared" ca="1" si="6"/>
        <v>619125153</v>
      </c>
      <c r="M9" s="79">
        <f t="shared" ca="1" si="7"/>
        <v>569077038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3</v>
      </c>
      <c r="D10" s="146" t="str">
        <f t="shared" si="1"/>
        <v>1772902</v>
      </c>
      <c r="E10" s="146" t="str">
        <f t="shared" si="8"/>
        <v>4400964000002</v>
      </c>
      <c r="F10" s="146" t="b">
        <f t="shared" si="2"/>
        <v>1</v>
      </c>
      <c r="G10" s="190">
        <f t="shared" si="3"/>
        <v>43738</v>
      </c>
      <c r="H10" s="146">
        <f>VLOOKUP( $A10, Aop!$A$2:$N$415, 4, 0)</f>
        <v>9</v>
      </c>
      <c r="I10" s="146">
        <f t="shared" si="4"/>
        <v>2019</v>
      </c>
      <c r="J10" s="79">
        <f t="shared" ca="1" si="9"/>
        <v>1794020</v>
      </c>
      <c r="K10" s="79" t="str">
        <f t="shared" ca="1" si="5"/>
        <v/>
      </c>
      <c r="L10" s="79">
        <f t="shared" ca="1" si="6"/>
        <v>1794020</v>
      </c>
      <c r="M10" s="79">
        <f t="shared" ca="1" si="7"/>
        <v>1734580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3</v>
      </c>
      <c r="D11" s="146" t="str">
        <f t="shared" si="1"/>
        <v>1772902</v>
      </c>
      <c r="E11" s="146" t="str">
        <f t="shared" si="8"/>
        <v>4400964000002</v>
      </c>
      <c r="F11" s="146" t="b">
        <f t="shared" si="2"/>
        <v>1</v>
      </c>
      <c r="G11" s="190">
        <f t="shared" si="3"/>
        <v>43738</v>
      </c>
      <c r="H11" s="146">
        <f>VLOOKUP( $A11, Aop!$A$2:$N$415, 4, 0)</f>
        <v>10</v>
      </c>
      <c r="I11" s="146">
        <f t="shared" si="4"/>
        <v>2019</v>
      </c>
      <c r="J11" s="79">
        <f t="shared" ca="1" si="9"/>
        <v>888572758</v>
      </c>
      <c r="K11" s="79">
        <f t="shared" ca="1" si="5"/>
        <v>567610366</v>
      </c>
      <c r="L11" s="79">
        <f t="shared" ca="1" si="6"/>
        <v>320962392</v>
      </c>
      <c r="M11" s="79">
        <f t="shared" ca="1" si="7"/>
        <v>264251090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3</v>
      </c>
      <c r="D12" s="146" t="str">
        <f t="shared" si="1"/>
        <v>1772902</v>
      </c>
      <c r="E12" s="146" t="str">
        <f t="shared" si="8"/>
        <v>4400964000002</v>
      </c>
      <c r="F12" s="146" t="b">
        <f t="shared" si="2"/>
        <v>1</v>
      </c>
      <c r="G12" s="190">
        <f t="shared" si="3"/>
        <v>43738</v>
      </c>
      <c r="H12" s="146">
        <f>VLOOKUP( $A12, Aop!$A$2:$N$415, 4, 0)</f>
        <v>11</v>
      </c>
      <c r="I12" s="146">
        <f t="shared" si="4"/>
        <v>2019</v>
      </c>
      <c r="J12" s="79">
        <f t="shared" ca="1" si="9"/>
        <v>763816759</v>
      </c>
      <c r="K12" s="79">
        <f t="shared" ca="1" si="5"/>
        <v>558625143</v>
      </c>
      <c r="L12" s="79">
        <f t="shared" ca="1" si="6"/>
        <v>205191616</v>
      </c>
      <c r="M12" s="79">
        <f t="shared" ca="1" si="7"/>
        <v>220290860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3</v>
      </c>
      <c r="D13" s="146" t="str">
        <f t="shared" si="1"/>
        <v>1772902</v>
      </c>
      <c r="E13" s="146" t="str">
        <f t="shared" si="8"/>
        <v>4400964000002</v>
      </c>
      <c r="F13" s="146" t="b">
        <f t="shared" si="2"/>
        <v>1</v>
      </c>
      <c r="G13" s="190">
        <f t="shared" si="3"/>
        <v>43738</v>
      </c>
      <c r="H13" s="146">
        <f>VLOOKUP( $A13, Aop!$A$2:$N$415, 4, 0)</f>
        <v>12</v>
      </c>
      <c r="I13" s="146">
        <f t="shared" si="4"/>
        <v>2019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3</v>
      </c>
      <c r="D14" s="146" t="str">
        <f t="shared" si="1"/>
        <v>1772902</v>
      </c>
      <c r="E14" s="146" t="str">
        <f t="shared" si="8"/>
        <v>4400964000002</v>
      </c>
      <c r="F14" s="146" t="b">
        <f t="shared" si="2"/>
        <v>1</v>
      </c>
      <c r="G14" s="190">
        <f t="shared" si="3"/>
        <v>43738</v>
      </c>
      <c r="H14" s="146">
        <f>VLOOKUP( $A14, Aop!$A$2:$N$415, 4, 0)</f>
        <v>13</v>
      </c>
      <c r="I14" s="146">
        <f t="shared" si="4"/>
        <v>2019</v>
      </c>
      <c r="J14" s="79">
        <f t="shared" ca="1" si="9"/>
        <v>3228552</v>
      </c>
      <c r="K14" s="79">
        <f t="shared" ca="1" si="5"/>
        <v>2457852</v>
      </c>
      <c r="L14" s="79">
        <f t="shared" ca="1" si="6"/>
        <v>770700</v>
      </c>
      <c r="M14" s="79">
        <f t="shared" ca="1" si="7"/>
        <v>952203</v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3</v>
      </c>
      <c r="D15" s="146" t="str">
        <f t="shared" si="1"/>
        <v>1772902</v>
      </c>
      <c r="E15" s="146" t="str">
        <f t="shared" si="8"/>
        <v>4400964000002</v>
      </c>
      <c r="F15" s="146" t="b">
        <f t="shared" si="2"/>
        <v>1</v>
      </c>
      <c r="G15" s="190">
        <f t="shared" si="3"/>
        <v>43738</v>
      </c>
      <c r="H15" s="146">
        <f>VLOOKUP( $A15, Aop!$A$2:$N$415, 4, 0)</f>
        <v>14</v>
      </c>
      <c r="I15" s="146">
        <f t="shared" si="4"/>
        <v>2019</v>
      </c>
      <c r="J15" s="79">
        <f t="shared" ca="1" si="9"/>
        <v>90433293</v>
      </c>
      <c r="K15" s="79">
        <f t="shared" ca="1" si="5"/>
        <v>26868</v>
      </c>
      <c r="L15" s="79">
        <f t="shared" ca="1" si="6"/>
        <v>90406425</v>
      </c>
      <c r="M15" s="79">
        <f t="shared" ca="1" si="7"/>
        <v>81848305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3</v>
      </c>
      <c r="D16" s="146" t="str">
        <f t="shared" si="1"/>
        <v>1772902</v>
      </c>
      <c r="E16" s="146" t="str">
        <f t="shared" si="8"/>
        <v>4400964000002</v>
      </c>
      <c r="F16" s="146" t="b">
        <f t="shared" si="2"/>
        <v>1</v>
      </c>
      <c r="G16" s="190">
        <f t="shared" si="3"/>
        <v>43738</v>
      </c>
      <c r="H16" s="146">
        <f>VLOOKUP( $A16, Aop!$A$2:$N$415, 4, 0)</f>
        <v>15</v>
      </c>
      <c r="I16" s="146">
        <f t="shared" si="4"/>
        <v>2019</v>
      </c>
      <c r="J16" s="79">
        <f t="shared" ca="1" si="9"/>
        <v>27464</v>
      </c>
      <c r="K16" s="79">
        <f t="shared" ca="1" si="5"/>
        <v>6282</v>
      </c>
      <c r="L16" s="79">
        <f t="shared" ca="1" si="6"/>
        <v>21182</v>
      </c>
      <c r="M16" s="79">
        <f t="shared" ca="1" si="7"/>
        <v>21182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3</v>
      </c>
      <c r="D17" s="146" t="str">
        <f t="shared" si="1"/>
        <v>1772902</v>
      </c>
      <c r="E17" s="146" t="str">
        <f t="shared" si="8"/>
        <v>4400964000002</v>
      </c>
      <c r="F17" s="146" t="b">
        <f t="shared" si="2"/>
        <v>1</v>
      </c>
      <c r="G17" s="190">
        <f t="shared" si="3"/>
        <v>43738</v>
      </c>
      <c r="H17" s="146">
        <f>VLOOKUP( $A17, Aop!$A$2:$N$415, 4, 0)</f>
        <v>16</v>
      </c>
      <c r="I17" s="146">
        <f t="shared" si="4"/>
        <v>2019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3</v>
      </c>
      <c r="D18" s="146" t="str">
        <f t="shared" si="1"/>
        <v>1772902</v>
      </c>
      <c r="E18" s="146" t="str">
        <f t="shared" si="8"/>
        <v>4400964000002</v>
      </c>
      <c r="F18" s="146" t="b">
        <f t="shared" si="2"/>
        <v>1</v>
      </c>
      <c r="G18" s="190">
        <f t="shared" si="3"/>
        <v>43738</v>
      </c>
      <c r="H18" s="146">
        <f>VLOOKUP( $A18, Aop!$A$2:$N$415, 4, 0)</f>
        <v>17</v>
      </c>
      <c r="I18" s="146">
        <f t="shared" si="4"/>
        <v>2019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3</v>
      </c>
      <c r="D19" s="146" t="str">
        <f t="shared" si="1"/>
        <v>1772902</v>
      </c>
      <c r="E19" s="146" t="str">
        <f t="shared" si="8"/>
        <v>4400964000002</v>
      </c>
      <c r="F19" s="146" t="b">
        <f t="shared" si="2"/>
        <v>1</v>
      </c>
      <c r="G19" s="190">
        <f t="shared" si="3"/>
        <v>43738</v>
      </c>
      <c r="H19" s="146">
        <f>VLOOKUP( $A19, Aop!$A$2:$N$415, 4, 0)</f>
        <v>18</v>
      </c>
      <c r="I19" s="146">
        <f t="shared" si="4"/>
        <v>2019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3</v>
      </c>
      <c r="D20" s="146" t="str">
        <f t="shared" si="1"/>
        <v>1772902</v>
      </c>
      <c r="E20" s="146" t="str">
        <f t="shared" si="8"/>
        <v>4400964000002</v>
      </c>
      <c r="F20" s="146" t="b">
        <f t="shared" si="2"/>
        <v>1</v>
      </c>
      <c r="G20" s="190">
        <f t="shared" si="3"/>
        <v>43738</v>
      </c>
      <c r="H20" s="146">
        <f>VLOOKUP( $A20, Aop!$A$2:$N$415, 4, 0)</f>
        <v>19</v>
      </c>
      <c r="I20" s="146">
        <f t="shared" si="4"/>
        <v>2019</v>
      </c>
      <c r="J20" s="79">
        <f t="shared" ca="1" si="9"/>
        <v>27464</v>
      </c>
      <c r="K20" s="79">
        <f t="shared" ca="1" si="5"/>
        <v>6282</v>
      </c>
      <c r="L20" s="79">
        <f t="shared" ca="1" si="6"/>
        <v>21182</v>
      </c>
      <c r="M20" s="79">
        <f t="shared" ca="1" si="7"/>
        <v>21182</v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3</v>
      </c>
      <c r="D21" s="146" t="str">
        <f t="shared" si="1"/>
        <v>1772902</v>
      </c>
      <c r="E21" s="146" t="str">
        <f t="shared" si="8"/>
        <v>4400964000002</v>
      </c>
      <c r="F21" s="146" t="b">
        <f t="shared" si="2"/>
        <v>1</v>
      </c>
      <c r="G21" s="190">
        <f t="shared" si="3"/>
        <v>43738</v>
      </c>
      <c r="H21" s="146">
        <f>VLOOKUP( $A21, Aop!$A$2:$N$415, 4, 0)</f>
        <v>20</v>
      </c>
      <c r="I21" s="146">
        <f t="shared" si="4"/>
        <v>2019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3</v>
      </c>
      <c r="D22" s="146" t="str">
        <f t="shared" si="1"/>
        <v>1772902</v>
      </c>
      <c r="E22" s="146" t="str">
        <f t="shared" si="8"/>
        <v>4400964000002</v>
      </c>
      <c r="F22" s="146" t="b">
        <f t="shared" si="2"/>
        <v>1</v>
      </c>
      <c r="G22" s="190">
        <f t="shared" si="3"/>
        <v>43738</v>
      </c>
      <c r="H22" s="146">
        <f>VLOOKUP( $A22, Aop!$A$2:$N$415, 4, 0)</f>
        <v>21</v>
      </c>
      <c r="I22" s="146">
        <f t="shared" si="4"/>
        <v>2019</v>
      </c>
      <c r="J22" s="79">
        <f t="shared" ca="1" si="9"/>
        <v>169788715</v>
      </c>
      <c r="K22" s="79">
        <f t="shared" ca="1" si="5"/>
        <v>56439</v>
      </c>
      <c r="L22" s="79">
        <f t="shared" ca="1" si="6"/>
        <v>169732276</v>
      </c>
      <c r="M22" s="79">
        <f t="shared" ca="1" si="7"/>
        <v>95066742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3</v>
      </c>
      <c r="D23" s="146" t="str">
        <f t="shared" si="1"/>
        <v>1772902</v>
      </c>
      <c r="E23" s="146" t="str">
        <f t="shared" si="8"/>
        <v>4400964000002</v>
      </c>
      <c r="F23" s="146" t="b">
        <f t="shared" si="2"/>
        <v>1</v>
      </c>
      <c r="G23" s="190">
        <f t="shared" si="3"/>
        <v>43738</v>
      </c>
      <c r="H23" s="146">
        <f>VLOOKUP( $A23, Aop!$A$2:$N$415, 4, 0)</f>
        <v>22</v>
      </c>
      <c r="I23" s="146">
        <f t="shared" si="4"/>
        <v>2019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3</v>
      </c>
      <c r="D24" s="146" t="str">
        <f t="shared" si="1"/>
        <v>1772902</v>
      </c>
      <c r="E24" s="146" t="str">
        <f t="shared" si="8"/>
        <v>4400964000002</v>
      </c>
      <c r="F24" s="146" t="b">
        <f t="shared" si="2"/>
        <v>1</v>
      </c>
      <c r="G24" s="190">
        <f t="shared" si="3"/>
        <v>43738</v>
      </c>
      <c r="H24" s="146">
        <f>VLOOKUP( $A24, Aop!$A$2:$N$415, 4, 0)</f>
        <v>23</v>
      </c>
      <c r="I24" s="146">
        <f t="shared" si="4"/>
        <v>2019</v>
      </c>
      <c r="J24" s="79">
        <f t="shared" ca="1" si="9"/>
        <v>169520533</v>
      </c>
      <c r="K24" s="79" t="str">
        <f t="shared" ca="1" si="5"/>
        <v/>
      </c>
      <c r="L24" s="79">
        <f t="shared" ca="1" si="6"/>
        <v>169520533</v>
      </c>
      <c r="M24" s="79">
        <f t="shared" ca="1" si="7"/>
        <v>88772757</v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3</v>
      </c>
      <c r="D25" s="146" t="str">
        <f t="shared" si="1"/>
        <v>1772902</v>
      </c>
      <c r="E25" s="146" t="str">
        <f t="shared" si="8"/>
        <v>4400964000002</v>
      </c>
      <c r="F25" s="146" t="b">
        <f t="shared" si="2"/>
        <v>1</v>
      </c>
      <c r="G25" s="190">
        <f t="shared" si="3"/>
        <v>43738</v>
      </c>
      <c r="H25" s="146">
        <f>VLOOKUP( $A25, Aop!$A$2:$N$415, 4, 0)</f>
        <v>24</v>
      </c>
      <c r="I25" s="146">
        <f t="shared" si="4"/>
        <v>2019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3</v>
      </c>
      <c r="D26" s="146" t="str">
        <f t="shared" si="1"/>
        <v>1772902</v>
      </c>
      <c r="E26" s="146" t="str">
        <f t="shared" si="8"/>
        <v>4400964000002</v>
      </c>
      <c r="F26" s="146" t="b">
        <f t="shared" si="2"/>
        <v>1</v>
      </c>
      <c r="G26" s="190">
        <f t="shared" si="3"/>
        <v>43738</v>
      </c>
      <c r="H26" s="146">
        <f>VLOOKUP( $A26, Aop!$A$2:$N$415, 4, 0)</f>
        <v>25</v>
      </c>
      <c r="I26" s="146">
        <f t="shared" si="4"/>
        <v>2019</v>
      </c>
      <c r="J26" s="79">
        <f t="shared" ca="1" si="9"/>
        <v>8192</v>
      </c>
      <c r="K26" s="79">
        <f t="shared" ca="1" si="5"/>
        <v>5344</v>
      </c>
      <c r="L26" s="79">
        <f t="shared" ca="1" si="6"/>
        <v>2848</v>
      </c>
      <c r="M26" s="79">
        <f t="shared" ca="1" si="7"/>
        <v>11016</v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3</v>
      </c>
      <c r="D27" s="146" t="str">
        <f t="shared" si="1"/>
        <v>1772902</v>
      </c>
      <c r="E27" s="146" t="str">
        <f t="shared" si="8"/>
        <v>4400964000002</v>
      </c>
      <c r="F27" s="146" t="b">
        <f t="shared" si="2"/>
        <v>1</v>
      </c>
      <c r="G27" s="190">
        <f t="shared" si="3"/>
        <v>43738</v>
      </c>
      <c r="H27" s="146">
        <f>VLOOKUP( $A27, Aop!$A$2:$N$415, 4, 0)</f>
        <v>26</v>
      </c>
      <c r="I27" s="146">
        <f t="shared" si="4"/>
        <v>2019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3</v>
      </c>
      <c r="D28" s="146" t="str">
        <f t="shared" si="1"/>
        <v>1772902</v>
      </c>
      <c r="E28" s="146" t="str">
        <f t="shared" si="8"/>
        <v>4400964000002</v>
      </c>
      <c r="F28" s="146" t="b">
        <f t="shared" si="2"/>
        <v>1</v>
      </c>
      <c r="G28" s="190">
        <f t="shared" si="3"/>
        <v>43738</v>
      </c>
      <c r="H28" s="146">
        <f>VLOOKUP( $A28, Aop!$A$2:$N$415, 4, 0)</f>
        <v>27</v>
      </c>
      <c r="I28" s="146">
        <f t="shared" si="4"/>
        <v>2019</v>
      </c>
      <c r="J28" s="79">
        <f t="shared" ca="1" si="9"/>
        <v>26600</v>
      </c>
      <c r="K28" s="79">
        <f t="shared" ca="1" si="5"/>
        <v>20341</v>
      </c>
      <c r="L28" s="79">
        <f t="shared" ca="1" si="6"/>
        <v>6259</v>
      </c>
      <c r="M28" s="79">
        <f t="shared" ca="1" si="7"/>
        <v>5788</v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3</v>
      </c>
      <c r="D29" s="146" t="str">
        <f t="shared" si="1"/>
        <v>1772902</v>
      </c>
      <c r="E29" s="146" t="str">
        <f t="shared" si="8"/>
        <v>4400964000002</v>
      </c>
      <c r="F29" s="146" t="b">
        <f t="shared" si="2"/>
        <v>1</v>
      </c>
      <c r="G29" s="190">
        <f t="shared" si="3"/>
        <v>43738</v>
      </c>
      <c r="H29" s="146">
        <f>VLOOKUP( $A29, Aop!$A$2:$N$415, 4, 0)</f>
        <v>28</v>
      </c>
      <c r="I29" s="146">
        <f t="shared" si="4"/>
        <v>2019</v>
      </c>
      <c r="J29" s="79">
        <f t="shared" ca="1" si="9"/>
        <v>45371</v>
      </c>
      <c r="K29" s="79" t="str">
        <f t="shared" ca="1" si="5"/>
        <v/>
      </c>
      <c r="L29" s="79">
        <f t="shared" ca="1" si="6"/>
        <v>45371</v>
      </c>
      <c r="M29" s="79">
        <f t="shared" ca="1" si="7"/>
        <v>54557</v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3</v>
      </c>
      <c r="D30" s="146" t="str">
        <f t="shared" si="1"/>
        <v>1772902</v>
      </c>
      <c r="E30" s="146" t="str">
        <f t="shared" si="8"/>
        <v>4400964000002</v>
      </c>
      <c r="F30" s="146" t="b">
        <f t="shared" si="2"/>
        <v>1</v>
      </c>
      <c r="G30" s="190">
        <f t="shared" si="3"/>
        <v>43738</v>
      </c>
      <c r="H30" s="146">
        <f>VLOOKUP( $A30, Aop!$A$2:$N$415, 4, 0)</f>
        <v>29</v>
      </c>
      <c r="I30" s="146">
        <f t="shared" si="4"/>
        <v>2019</v>
      </c>
      <c r="J30" s="79">
        <f t="shared" ca="1" si="9"/>
        <v>188019</v>
      </c>
      <c r="K30" s="79">
        <f t="shared" ca="1" si="5"/>
        <v>30754</v>
      </c>
      <c r="L30" s="79">
        <f t="shared" ca="1" si="6"/>
        <v>157265</v>
      </c>
      <c r="M30" s="79">
        <f t="shared" ca="1" si="7"/>
        <v>6222624</v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3</v>
      </c>
      <c r="D31" s="146" t="str">
        <f t="shared" si="1"/>
        <v>1772902</v>
      </c>
      <c r="E31" s="146" t="str">
        <f t="shared" si="8"/>
        <v>4400964000002</v>
      </c>
      <c r="F31" s="146" t="b">
        <f t="shared" si="2"/>
        <v>1</v>
      </c>
      <c r="G31" s="190">
        <f t="shared" si="3"/>
        <v>43738</v>
      </c>
      <c r="H31" s="146">
        <f>VLOOKUP( $A31, Aop!$A$2:$N$415, 4, 0)</f>
        <v>30</v>
      </c>
      <c r="I31" s="146">
        <f t="shared" si="4"/>
        <v>2019</v>
      </c>
      <c r="J31" s="79">
        <f t="shared" ca="1" si="9"/>
        <v>667969</v>
      </c>
      <c r="K31" s="79" t="str">
        <f t="shared" ca="1" si="5"/>
        <v/>
      </c>
      <c r="L31" s="79">
        <f t="shared" ca="1" si="6"/>
        <v>667969</v>
      </c>
      <c r="M31" s="79">
        <f t="shared" ca="1" si="7"/>
        <v>268641</v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3</v>
      </c>
      <c r="D32" s="146" t="str">
        <f t="shared" si="1"/>
        <v>1772902</v>
      </c>
      <c r="E32" s="146" t="str">
        <f t="shared" si="8"/>
        <v>4400964000002</v>
      </c>
      <c r="F32" s="146" t="b">
        <f t="shared" si="2"/>
        <v>1</v>
      </c>
      <c r="G32" s="190">
        <f t="shared" si="3"/>
        <v>43738</v>
      </c>
      <c r="H32" s="146">
        <f>VLOOKUP( $A32, Aop!$A$2:$N$415, 4, 0)</f>
        <v>31</v>
      </c>
      <c r="I32" s="146">
        <f t="shared" si="4"/>
        <v>2019</v>
      </c>
      <c r="J32" s="79">
        <f t="shared" ca="1" si="9"/>
        <v>234429115</v>
      </c>
      <c r="K32" s="79">
        <f t="shared" ca="1" si="5"/>
        <v>66215442</v>
      </c>
      <c r="L32" s="79">
        <f t="shared" ca="1" si="6"/>
        <v>168213673</v>
      </c>
      <c r="M32" s="79">
        <f t="shared" ca="1" si="7"/>
        <v>239943955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3</v>
      </c>
      <c r="D33" s="146" t="str">
        <f t="shared" si="1"/>
        <v>1772902</v>
      </c>
      <c r="E33" s="146" t="str">
        <f t="shared" si="8"/>
        <v>4400964000002</v>
      </c>
      <c r="F33" s="146" t="b">
        <f t="shared" si="2"/>
        <v>1</v>
      </c>
      <c r="G33" s="190">
        <f t="shared" si="3"/>
        <v>43738</v>
      </c>
      <c r="H33" s="146">
        <f>VLOOKUP( $A33, Aop!$A$2:$N$415, 4, 0)</f>
        <v>32</v>
      </c>
      <c r="I33" s="146">
        <f t="shared" si="4"/>
        <v>2019</v>
      </c>
      <c r="J33" s="79">
        <f t="shared" ca="1" si="9"/>
        <v>25879086</v>
      </c>
      <c r="K33" s="79">
        <f t="shared" ca="1" si="5"/>
        <v>3162020</v>
      </c>
      <c r="L33" s="79">
        <f t="shared" ca="1" si="6"/>
        <v>22717066</v>
      </c>
      <c r="M33" s="79">
        <f t="shared" ca="1" si="7"/>
        <v>14441244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3</v>
      </c>
      <c r="D34" s="146" t="str">
        <f t="shared" si="1"/>
        <v>1772902</v>
      </c>
      <c r="E34" s="146" t="str">
        <f t="shared" si="8"/>
        <v>4400964000002</v>
      </c>
      <c r="F34" s="146" t="b">
        <f t="shared" si="2"/>
        <v>1</v>
      </c>
      <c r="G34" s="190">
        <f t="shared" si="3"/>
        <v>43738</v>
      </c>
      <c r="H34" s="146">
        <f>VLOOKUP( $A34, Aop!$A$2:$N$415, 4, 0)</f>
        <v>33</v>
      </c>
      <c r="I34" s="146">
        <f t="shared" si="4"/>
        <v>2019</v>
      </c>
      <c r="J34" s="79">
        <f t="shared" ca="1" si="9"/>
        <v>23060280</v>
      </c>
      <c r="K34" s="79">
        <f t="shared" ca="1" si="5"/>
        <v>3047777</v>
      </c>
      <c r="L34" s="79">
        <f t="shared" ca="1" si="6"/>
        <v>20012503</v>
      </c>
      <c r="M34" s="79">
        <f t="shared" ca="1" si="7"/>
        <v>13167507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3</v>
      </c>
      <c r="D35" s="146" t="str">
        <f t="shared" si="1"/>
        <v>1772902</v>
      </c>
      <c r="E35" s="146" t="str">
        <f t="shared" si="8"/>
        <v>4400964000002</v>
      </c>
      <c r="F35" s="146" t="b">
        <f t="shared" si="2"/>
        <v>1</v>
      </c>
      <c r="G35" s="190">
        <f t="shared" si="3"/>
        <v>43738</v>
      </c>
      <c r="H35" s="146">
        <f>VLOOKUP( $A35, Aop!$A$2:$N$415, 4, 0)</f>
        <v>34</v>
      </c>
      <c r="I35" s="146">
        <f t="shared" si="4"/>
        <v>2019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3</v>
      </c>
      <c r="D36" s="146" t="str">
        <f t="shared" si="1"/>
        <v>1772902</v>
      </c>
      <c r="E36" s="146" t="str">
        <f t="shared" si="8"/>
        <v>4400964000002</v>
      </c>
      <c r="F36" s="146" t="b">
        <f t="shared" si="2"/>
        <v>1</v>
      </c>
      <c r="G36" s="190">
        <f t="shared" si="3"/>
        <v>43738</v>
      </c>
      <c r="H36" s="146">
        <f>VLOOKUP( $A36, Aop!$A$2:$N$415, 4, 0)</f>
        <v>35</v>
      </c>
      <c r="I36" s="146">
        <f t="shared" si="4"/>
        <v>2019</v>
      </c>
      <c r="J36" s="79">
        <f t="shared" ca="1" si="9"/>
        <v>0</v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3</v>
      </c>
      <c r="D37" s="146" t="str">
        <f t="shared" si="1"/>
        <v>1772902</v>
      </c>
      <c r="E37" s="146" t="str">
        <f t="shared" si="8"/>
        <v>4400964000002</v>
      </c>
      <c r="F37" s="146" t="b">
        <f t="shared" si="2"/>
        <v>1</v>
      </c>
      <c r="G37" s="190">
        <f t="shared" si="3"/>
        <v>43738</v>
      </c>
      <c r="H37" s="146">
        <f>VLOOKUP( $A37, Aop!$A$2:$N$415, 4, 0)</f>
        <v>36</v>
      </c>
      <c r="I37" s="146">
        <f t="shared" si="4"/>
        <v>2019</v>
      </c>
      <c r="J37" s="79">
        <f t="shared" ca="1" si="9"/>
        <v>1211884</v>
      </c>
      <c r="K37" s="79">
        <f t="shared" ca="1" si="5"/>
        <v>114243</v>
      </c>
      <c r="L37" s="79">
        <f t="shared" ca="1" si="6"/>
        <v>1097641</v>
      </c>
      <c r="M37" s="79">
        <f t="shared" ca="1" si="7"/>
        <v>292841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3</v>
      </c>
      <c r="D38" s="146" t="str">
        <f t="shared" si="1"/>
        <v>1772902</v>
      </c>
      <c r="E38" s="146" t="str">
        <f t="shared" si="8"/>
        <v>4400964000002</v>
      </c>
      <c r="F38" s="146" t="b">
        <f t="shared" si="2"/>
        <v>1</v>
      </c>
      <c r="G38" s="190">
        <f t="shared" si="3"/>
        <v>43738</v>
      </c>
      <c r="H38" s="146">
        <f>VLOOKUP( $A38, Aop!$A$2:$N$415, 4, 0)</f>
        <v>37</v>
      </c>
      <c r="I38" s="146">
        <f t="shared" si="4"/>
        <v>2019</v>
      </c>
      <c r="J38" s="79">
        <f t="shared" ca="1" si="9"/>
        <v>27298</v>
      </c>
      <c r="K38" s="79">
        <f t="shared" ca="1" si="5"/>
        <v>0</v>
      </c>
      <c r="L38" s="79">
        <f t="shared" ca="1" si="6"/>
        <v>27298</v>
      </c>
      <c r="M38" s="79">
        <f t="shared" ca="1" si="7"/>
        <v>47786</v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3</v>
      </c>
      <c r="D39" s="146" t="str">
        <f t="shared" si="1"/>
        <v>1772902</v>
      </c>
      <c r="E39" s="146" t="str">
        <f t="shared" si="8"/>
        <v>4400964000002</v>
      </c>
      <c r="F39" s="146" t="b">
        <f t="shared" si="2"/>
        <v>1</v>
      </c>
      <c r="G39" s="190">
        <f t="shared" si="3"/>
        <v>43738</v>
      </c>
      <c r="H39" s="146">
        <f>VLOOKUP( $A39, Aop!$A$2:$N$415, 4, 0)</f>
        <v>38</v>
      </c>
      <c r="I39" s="146">
        <f t="shared" si="4"/>
        <v>2019</v>
      </c>
      <c r="J39" s="79">
        <f t="shared" ca="1" si="9"/>
        <v>1579624</v>
      </c>
      <c r="K39" s="79">
        <f t="shared" ca="1" si="5"/>
        <v>0</v>
      </c>
      <c r="L39" s="79">
        <f t="shared" ca="1" si="6"/>
        <v>1579624</v>
      </c>
      <c r="M39" s="79">
        <f t="shared" ca="1" si="7"/>
        <v>933110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3</v>
      </c>
      <c r="D40" s="146" t="str">
        <f t="shared" si="1"/>
        <v>1772902</v>
      </c>
      <c r="E40" s="146" t="str">
        <f t="shared" si="8"/>
        <v>4400964000002</v>
      </c>
      <c r="F40" s="146" t="b">
        <f t="shared" si="2"/>
        <v>1</v>
      </c>
      <c r="G40" s="190">
        <f t="shared" si="3"/>
        <v>43738</v>
      </c>
      <c r="H40" s="146">
        <f>VLOOKUP( $A40, Aop!$A$2:$N$415, 4, 0)</f>
        <v>39</v>
      </c>
      <c r="I40" s="146">
        <f t="shared" si="4"/>
        <v>2019</v>
      </c>
      <c r="J40" s="79">
        <f t="shared" ca="1" si="9"/>
        <v>208550029</v>
      </c>
      <c r="K40" s="79">
        <f t="shared" ca="1" si="5"/>
        <v>63053422</v>
      </c>
      <c r="L40" s="79">
        <f t="shared" ca="1" si="6"/>
        <v>145496607</v>
      </c>
      <c r="M40" s="79">
        <f t="shared" ca="1" si="7"/>
        <v>225502711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3</v>
      </c>
      <c r="D41" s="146" t="str">
        <f t="shared" si="1"/>
        <v>1772902</v>
      </c>
      <c r="E41" s="146" t="str">
        <f t="shared" si="8"/>
        <v>4400964000002</v>
      </c>
      <c r="F41" s="146" t="b">
        <f t="shared" si="2"/>
        <v>1</v>
      </c>
      <c r="G41" s="190">
        <f t="shared" si="3"/>
        <v>43738</v>
      </c>
      <c r="H41" s="146">
        <f>VLOOKUP( $A41, Aop!$A$2:$N$415, 4, 0)</f>
        <v>40</v>
      </c>
      <c r="I41" s="146">
        <f t="shared" si="4"/>
        <v>2019</v>
      </c>
      <c r="J41" s="79">
        <f t="shared" ca="1" si="9"/>
        <v>150911619</v>
      </c>
      <c r="K41" s="79">
        <f t="shared" ca="1" si="5"/>
        <v>63053422</v>
      </c>
      <c r="L41" s="79">
        <f t="shared" ca="1" si="6"/>
        <v>87858197</v>
      </c>
      <c r="M41" s="79">
        <f t="shared" ca="1" si="7"/>
        <v>72381758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3</v>
      </c>
      <c r="D42" s="146" t="str">
        <f t="shared" si="1"/>
        <v>1772902</v>
      </c>
      <c r="E42" s="146" t="str">
        <f t="shared" si="8"/>
        <v>4400964000002</v>
      </c>
      <c r="F42" s="146" t="b">
        <f t="shared" si="2"/>
        <v>1</v>
      </c>
      <c r="G42" s="190">
        <f t="shared" si="3"/>
        <v>43738</v>
      </c>
      <c r="H42" s="146">
        <f>VLOOKUP( $A42, Aop!$A$2:$N$415, 4, 0)</f>
        <v>41</v>
      </c>
      <c r="I42" s="146">
        <f t="shared" si="4"/>
        <v>2019</v>
      </c>
      <c r="J42" s="79">
        <f t="shared" ca="1" si="9"/>
        <v>12453728</v>
      </c>
      <c r="K42" s="79" t="str">
        <f t="shared" ca="1" si="5"/>
        <v/>
      </c>
      <c r="L42" s="79">
        <f t="shared" ca="1" si="6"/>
        <v>12453728</v>
      </c>
      <c r="M42" s="79">
        <f t="shared" ca="1" si="7"/>
        <v>9319811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3</v>
      </c>
      <c r="D43" s="146" t="str">
        <f t="shared" si="1"/>
        <v>1772902</v>
      </c>
      <c r="E43" s="146" t="str">
        <f t="shared" si="8"/>
        <v>4400964000002</v>
      </c>
      <c r="F43" s="146" t="b">
        <f t="shared" si="2"/>
        <v>1</v>
      </c>
      <c r="G43" s="190">
        <f t="shared" si="3"/>
        <v>43738</v>
      </c>
      <c r="H43" s="146">
        <f>VLOOKUP( $A43, Aop!$A$2:$N$415, 4, 0)</f>
        <v>42</v>
      </c>
      <c r="I43" s="146">
        <f t="shared" si="4"/>
        <v>2019</v>
      </c>
      <c r="J43" s="79">
        <f t="shared" ca="1" si="9"/>
        <v>74907896</v>
      </c>
      <c r="K43" s="79">
        <f t="shared" ca="1" si="5"/>
        <v>7252671</v>
      </c>
      <c r="L43" s="79">
        <f t="shared" ca="1" si="6"/>
        <v>67655225</v>
      </c>
      <c r="M43" s="79">
        <f t="shared" ca="1" si="7"/>
        <v>60998352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3</v>
      </c>
      <c r="D44" s="146" t="str">
        <f t="shared" si="1"/>
        <v>1772902</v>
      </c>
      <c r="E44" s="146" t="str">
        <f t="shared" si="8"/>
        <v>4400964000002</v>
      </c>
      <c r="F44" s="146" t="b">
        <f t="shared" si="2"/>
        <v>1</v>
      </c>
      <c r="G44" s="190">
        <f t="shared" si="3"/>
        <v>43738</v>
      </c>
      <c r="H44" s="146">
        <f>VLOOKUP( $A44, Aop!$A$2:$N$415, 4, 0)</f>
        <v>43</v>
      </c>
      <c r="I44" s="146">
        <f t="shared" si="4"/>
        <v>2019</v>
      </c>
      <c r="J44" s="79">
        <f t="shared" ca="1" si="9"/>
        <v>5085652</v>
      </c>
      <c r="K44" s="79">
        <f t="shared" ca="1" si="5"/>
        <v>491807</v>
      </c>
      <c r="L44" s="79">
        <f t="shared" ca="1" si="6"/>
        <v>4593845</v>
      </c>
      <c r="M44" s="79">
        <f t="shared" ca="1" si="7"/>
        <v>788199</v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3</v>
      </c>
      <c r="D45" s="146" t="str">
        <f t="shared" si="1"/>
        <v>1772902</v>
      </c>
      <c r="E45" s="146" t="str">
        <f t="shared" si="8"/>
        <v>4400964000002</v>
      </c>
      <c r="F45" s="146" t="b">
        <f t="shared" si="2"/>
        <v>1</v>
      </c>
      <c r="G45" s="190">
        <f t="shared" si="3"/>
        <v>43738</v>
      </c>
      <c r="H45" s="146">
        <f>VLOOKUP( $A45, Aop!$A$2:$N$415, 4, 0)</f>
        <v>44</v>
      </c>
      <c r="I45" s="146">
        <f t="shared" si="4"/>
        <v>2019</v>
      </c>
      <c r="J45" s="79">
        <f t="shared" ca="1" si="9"/>
        <v>54733396</v>
      </c>
      <c r="K45" s="79">
        <f t="shared" ca="1" si="5"/>
        <v>54600170</v>
      </c>
      <c r="L45" s="79">
        <f t="shared" ca="1" si="6"/>
        <v>133226</v>
      </c>
      <c r="M45" s="79">
        <f t="shared" ca="1" si="7"/>
        <v>193806</v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3</v>
      </c>
      <c r="D46" s="146" t="str">
        <f t="shared" si="1"/>
        <v>1772902</v>
      </c>
      <c r="E46" s="146" t="str">
        <f t="shared" si="8"/>
        <v>4400964000002</v>
      </c>
      <c r="F46" s="146" t="b">
        <f t="shared" si="2"/>
        <v>1</v>
      </c>
      <c r="G46" s="190">
        <f t="shared" si="3"/>
        <v>43738</v>
      </c>
      <c r="H46" s="146">
        <f>VLOOKUP( $A46, Aop!$A$2:$N$415, 4, 0)</f>
        <v>45</v>
      </c>
      <c r="I46" s="146">
        <f t="shared" si="4"/>
        <v>2019</v>
      </c>
      <c r="J46" s="79">
        <f t="shared" ca="1" si="9"/>
        <v>122739</v>
      </c>
      <c r="K46" s="79">
        <f t="shared" ca="1" si="5"/>
        <v>122739</v>
      </c>
      <c r="L46" s="79">
        <f t="shared" ca="1" si="6"/>
        <v>0</v>
      </c>
      <c r="M46" s="79">
        <f t="shared" ca="1" si="7"/>
        <v>4</v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3</v>
      </c>
      <c r="D47" s="146" t="str">
        <f t="shared" si="1"/>
        <v>1772902</v>
      </c>
      <c r="E47" s="146" t="str">
        <f t="shared" si="8"/>
        <v>4400964000002</v>
      </c>
      <c r="F47" s="146" t="b">
        <f t="shared" si="2"/>
        <v>1</v>
      </c>
      <c r="G47" s="190">
        <f t="shared" si="3"/>
        <v>43738</v>
      </c>
      <c r="H47" s="146">
        <f>VLOOKUP( $A47, Aop!$A$2:$N$415, 4, 0)</f>
        <v>46</v>
      </c>
      <c r="I47" s="146">
        <f t="shared" si="4"/>
        <v>2019</v>
      </c>
      <c r="J47" s="79">
        <f t="shared" ca="1" si="9"/>
        <v>3608208</v>
      </c>
      <c r="K47" s="79">
        <f t="shared" ca="1" si="5"/>
        <v>586035</v>
      </c>
      <c r="L47" s="79">
        <f t="shared" ca="1" si="6"/>
        <v>3022173</v>
      </c>
      <c r="M47" s="79">
        <f t="shared" ca="1" si="7"/>
        <v>1081586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3</v>
      </c>
      <c r="D48" s="146" t="str">
        <f t="shared" si="1"/>
        <v>1772902</v>
      </c>
      <c r="E48" s="146" t="str">
        <f t="shared" si="8"/>
        <v>4400964000002</v>
      </c>
      <c r="F48" s="146" t="b">
        <f t="shared" si="2"/>
        <v>1</v>
      </c>
      <c r="G48" s="190">
        <f t="shared" si="3"/>
        <v>43738</v>
      </c>
      <c r="H48" s="146">
        <f>VLOOKUP( $A48, Aop!$A$2:$N$415, 4, 0)</f>
        <v>47</v>
      </c>
      <c r="I48" s="146">
        <f t="shared" si="4"/>
        <v>2019</v>
      </c>
      <c r="J48" s="79">
        <f t="shared" ca="1" si="9"/>
        <v>8266018</v>
      </c>
      <c r="K48" s="79">
        <f t="shared" ca="1" si="5"/>
        <v>0</v>
      </c>
      <c r="L48" s="79">
        <f t="shared" ca="1" si="6"/>
        <v>8266018</v>
      </c>
      <c r="M48" s="79">
        <f t="shared" ca="1" si="7"/>
        <v>62108774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3</v>
      </c>
      <c r="D49" s="146" t="str">
        <f t="shared" si="1"/>
        <v>1772902</v>
      </c>
      <c r="E49" s="146" t="str">
        <f t="shared" si="8"/>
        <v>4400964000002</v>
      </c>
      <c r="F49" s="146" t="b">
        <f t="shared" si="2"/>
        <v>1</v>
      </c>
      <c r="G49" s="190">
        <f t="shared" si="3"/>
        <v>43738</v>
      </c>
      <c r="H49" s="146">
        <f>VLOOKUP( $A49, Aop!$A$2:$N$415, 4, 0)</f>
        <v>48</v>
      </c>
      <c r="I49" s="146">
        <f t="shared" si="4"/>
        <v>2019</v>
      </c>
      <c r="J49" s="79">
        <f t="shared" ca="1" si="9"/>
        <v>2933745</v>
      </c>
      <c r="K49" s="79" t="str">
        <f t="shared" ca="1" si="5"/>
        <v/>
      </c>
      <c r="L49" s="79">
        <f t="shared" ca="1" si="6"/>
        <v>2933745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3</v>
      </c>
      <c r="D50" s="146" t="str">
        <f t="shared" si="1"/>
        <v>1772902</v>
      </c>
      <c r="E50" s="146" t="str">
        <f t="shared" si="8"/>
        <v>4400964000002</v>
      </c>
      <c r="F50" s="146" t="b">
        <f t="shared" si="2"/>
        <v>1</v>
      </c>
      <c r="G50" s="190">
        <f t="shared" si="3"/>
        <v>43738</v>
      </c>
      <c r="H50" s="146">
        <f>VLOOKUP( $A50, Aop!$A$2:$N$415, 4, 0)</f>
        <v>49</v>
      </c>
      <c r="I50" s="146">
        <f t="shared" si="4"/>
        <v>2019</v>
      </c>
      <c r="J50" s="79">
        <f t="shared" ca="1" si="9"/>
        <v>10000</v>
      </c>
      <c r="K50" s="79" t="str">
        <f t="shared" ca="1" si="5"/>
        <v/>
      </c>
      <c r="L50" s="79">
        <f t="shared" ca="1" si="6"/>
        <v>10000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3</v>
      </c>
      <c r="D51" s="146" t="str">
        <f t="shared" si="1"/>
        <v>1772902</v>
      </c>
      <c r="E51" s="146" t="str">
        <f t="shared" si="8"/>
        <v>4400964000002</v>
      </c>
      <c r="F51" s="146" t="b">
        <f t="shared" si="2"/>
        <v>1</v>
      </c>
      <c r="G51" s="190">
        <f t="shared" si="3"/>
        <v>43738</v>
      </c>
      <c r="H51" s="146">
        <f>VLOOKUP( $A51, Aop!$A$2:$N$415, 4, 0)</f>
        <v>50</v>
      </c>
      <c r="I51" s="146">
        <f t="shared" si="4"/>
        <v>2019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3</v>
      </c>
      <c r="D52" s="146" t="str">
        <f t="shared" si="1"/>
        <v>1772902</v>
      </c>
      <c r="E52" s="146" t="str">
        <f t="shared" si="8"/>
        <v>4400964000002</v>
      </c>
      <c r="F52" s="146" t="b">
        <f t="shared" si="2"/>
        <v>1</v>
      </c>
      <c r="G52" s="190">
        <f t="shared" si="3"/>
        <v>43738</v>
      </c>
      <c r="H52" s="146">
        <f>VLOOKUP( $A52, Aop!$A$2:$N$415, 4, 0)</f>
        <v>51</v>
      </c>
      <c r="I52" s="146">
        <f t="shared" si="4"/>
        <v>2019</v>
      </c>
      <c r="J52" s="79">
        <f t="shared" ca="1" si="9"/>
        <v>80157</v>
      </c>
      <c r="K52" s="79" t="str">
        <f t="shared" ca="1" si="5"/>
        <v/>
      </c>
      <c r="L52" s="79">
        <f t="shared" ca="1" si="6"/>
        <v>80157</v>
      </c>
      <c r="M52" s="79">
        <f t="shared" ca="1" si="7"/>
        <v>82265</v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3</v>
      </c>
      <c r="D53" s="146" t="str">
        <f t="shared" si="1"/>
        <v>1772902</v>
      </c>
      <c r="E53" s="146" t="str">
        <f t="shared" si="8"/>
        <v>4400964000002</v>
      </c>
      <c r="F53" s="146" t="b">
        <f t="shared" si="2"/>
        <v>1</v>
      </c>
      <c r="G53" s="190">
        <f t="shared" si="3"/>
        <v>43738</v>
      </c>
      <c r="H53" s="146">
        <f>VLOOKUP( $A53, Aop!$A$2:$N$415, 4, 0)</f>
        <v>52</v>
      </c>
      <c r="I53" s="146">
        <f t="shared" si="4"/>
        <v>2019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3</v>
      </c>
      <c r="D54" s="146" t="str">
        <f t="shared" si="1"/>
        <v>1772902</v>
      </c>
      <c r="E54" s="146" t="str">
        <f t="shared" si="8"/>
        <v>4400964000002</v>
      </c>
      <c r="F54" s="146" t="b">
        <f t="shared" si="2"/>
        <v>1</v>
      </c>
      <c r="G54" s="190">
        <f t="shared" si="3"/>
        <v>43738</v>
      </c>
      <c r="H54" s="146">
        <f>VLOOKUP( $A54, Aop!$A$2:$N$415, 4, 0)</f>
        <v>53</v>
      </c>
      <c r="I54" s="146">
        <f t="shared" si="4"/>
        <v>2019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3</v>
      </c>
      <c r="D55" s="146" t="str">
        <f t="shared" si="1"/>
        <v>1772902</v>
      </c>
      <c r="E55" s="146" t="str">
        <f t="shared" si="8"/>
        <v>4400964000002</v>
      </c>
      <c r="F55" s="146" t="b">
        <f t="shared" si="2"/>
        <v>1</v>
      </c>
      <c r="G55" s="190">
        <f t="shared" si="3"/>
        <v>43738</v>
      </c>
      <c r="H55" s="146">
        <f>VLOOKUP( $A55, Aop!$A$2:$N$415, 4, 0)</f>
        <v>54</v>
      </c>
      <c r="I55" s="146">
        <f t="shared" si="4"/>
        <v>2019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3</v>
      </c>
      <c r="D56" s="146" t="str">
        <f t="shared" si="1"/>
        <v>1772902</v>
      </c>
      <c r="E56" s="146" t="str">
        <f t="shared" si="8"/>
        <v>4400964000002</v>
      </c>
      <c r="F56" s="146" t="b">
        <f t="shared" si="2"/>
        <v>1</v>
      </c>
      <c r="G56" s="190">
        <f t="shared" si="3"/>
        <v>43738</v>
      </c>
      <c r="H56" s="146">
        <f>VLOOKUP( $A56, Aop!$A$2:$N$415, 4, 0)</f>
        <v>55</v>
      </c>
      <c r="I56" s="146">
        <f t="shared" si="4"/>
        <v>2019</v>
      </c>
      <c r="J56" s="79">
        <f t="shared" ca="1" si="9"/>
        <v>5242116</v>
      </c>
      <c r="K56" s="79" t="str">
        <f t="shared" ca="1" si="5"/>
        <v/>
      </c>
      <c r="L56" s="79">
        <f t="shared" ca="1" si="6"/>
        <v>5242116</v>
      </c>
      <c r="M56" s="79">
        <f t="shared" ca="1" si="7"/>
        <v>62026509</v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3</v>
      </c>
      <c r="D57" s="146" t="str">
        <f t="shared" si="1"/>
        <v>1772902</v>
      </c>
      <c r="E57" s="146" t="str">
        <f t="shared" si="8"/>
        <v>4400964000002</v>
      </c>
      <c r="F57" s="146" t="b">
        <f t="shared" si="2"/>
        <v>1</v>
      </c>
      <c r="G57" s="190">
        <f t="shared" si="3"/>
        <v>43738</v>
      </c>
      <c r="H57" s="146">
        <f>VLOOKUP( $A57, Aop!$A$2:$N$415, 4, 0)</f>
        <v>56</v>
      </c>
      <c r="I57" s="146">
        <f t="shared" si="4"/>
        <v>2019</v>
      </c>
      <c r="J57" s="79">
        <f t="shared" ca="1" si="9"/>
        <v>28491038</v>
      </c>
      <c r="K57" s="79">
        <f t="shared" ca="1" si="5"/>
        <v>0</v>
      </c>
      <c r="L57" s="79">
        <f t="shared" ca="1" si="6"/>
        <v>28491038</v>
      </c>
      <c r="M57" s="79">
        <f t="shared" ca="1" si="7"/>
        <v>71465331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3</v>
      </c>
      <c r="D58" s="146" t="str">
        <f t="shared" si="1"/>
        <v>1772902</v>
      </c>
      <c r="E58" s="146" t="str">
        <f t="shared" si="8"/>
        <v>4400964000002</v>
      </c>
      <c r="F58" s="146" t="b">
        <f t="shared" si="2"/>
        <v>1</v>
      </c>
      <c r="G58" s="190">
        <f t="shared" si="3"/>
        <v>43738</v>
      </c>
      <c r="H58" s="146">
        <f>VLOOKUP( $A58, Aop!$A$2:$N$415, 4, 0)</f>
        <v>57</v>
      </c>
      <c r="I58" s="146">
        <f t="shared" si="4"/>
        <v>2019</v>
      </c>
      <c r="J58" s="79">
        <f t="shared" ca="1" si="9"/>
        <v>101569</v>
      </c>
      <c r="K58" s="79" t="str">
        <f t="shared" ca="1" si="5"/>
        <v/>
      </c>
      <c r="L58" s="79">
        <f t="shared" ca="1" si="6"/>
        <v>101569</v>
      </c>
      <c r="M58" s="79">
        <f t="shared" ca="1" si="7"/>
        <v>100000</v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3</v>
      </c>
      <c r="D59" s="146" t="str">
        <f t="shared" si="1"/>
        <v>1772902</v>
      </c>
      <c r="E59" s="146" t="str">
        <f t="shared" si="8"/>
        <v>4400964000002</v>
      </c>
      <c r="F59" s="146" t="b">
        <f t="shared" si="2"/>
        <v>1</v>
      </c>
      <c r="G59" s="190">
        <f t="shared" si="3"/>
        <v>43738</v>
      </c>
      <c r="H59" s="146">
        <f>VLOOKUP( $A59, Aop!$A$2:$N$415, 4, 0)</f>
        <v>58</v>
      </c>
      <c r="I59" s="146">
        <f t="shared" si="4"/>
        <v>2019</v>
      </c>
      <c r="J59" s="79">
        <f t="shared" ca="1" si="9"/>
        <v>28389469</v>
      </c>
      <c r="K59" s="79" t="str">
        <f t="shared" ca="1" si="5"/>
        <v/>
      </c>
      <c r="L59" s="79">
        <f t="shared" ca="1" si="6"/>
        <v>28389469</v>
      </c>
      <c r="M59" s="79">
        <f t="shared" ca="1" si="7"/>
        <v>71365331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3</v>
      </c>
      <c r="D60" s="146" t="str">
        <f t="shared" si="1"/>
        <v>1772902</v>
      </c>
      <c r="E60" s="146" t="str">
        <f t="shared" si="8"/>
        <v>4400964000002</v>
      </c>
      <c r="F60" s="146" t="b">
        <f t="shared" si="2"/>
        <v>1</v>
      </c>
      <c r="G60" s="190">
        <f t="shared" si="3"/>
        <v>43738</v>
      </c>
      <c r="H60" s="146">
        <f>VLOOKUP( $A60, Aop!$A$2:$N$415, 4, 0)</f>
        <v>59</v>
      </c>
      <c r="I60" s="146">
        <f t="shared" si="4"/>
        <v>2019</v>
      </c>
      <c r="J60" s="79">
        <f t="shared" ca="1" si="9"/>
        <v>0</v>
      </c>
      <c r="K60" s="79" t="str">
        <f t="shared" ca="1" si="5"/>
        <v/>
      </c>
      <c r="L60" s="79">
        <f t="shared" ca="1" si="6"/>
        <v>0</v>
      </c>
      <c r="M60" s="79" t="str">
        <f t="shared" ca="1" si="7"/>
        <v/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3</v>
      </c>
      <c r="D61" s="146" t="str">
        <f t="shared" si="1"/>
        <v>1772902</v>
      </c>
      <c r="E61" s="146" t="str">
        <f t="shared" si="8"/>
        <v>4400964000002</v>
      </c>
      <c r="F61" s="146" t="b">
        <f t="shared" si="2"/>
        <v>1</v>
      </c>
      <c r="G61" s="190">
        <f t="shared" si="3"/>
        <v>43738</v>
      </c>
      <c r="H61" s="146">
        <f>VLOOKUP( $A61, Aop!$A$2:$N$415, 4, 0)</f>
        <v>60</v>
      </c>
      <c r="I61" s="146">
        <f t="shared" si="4"/>
        <v>2019</v>
      </c>
      <c r="J61" s="79">
        <f t="shared" ca="1" si="9"/>
        <v>20881354</v>
      </c>
      <c r="K61" s="79" t="str">
        <f t="shared" ca="1" si="5"/>
        <v/>
      </c>
      <c r="L61" s="79">
        <f t="shared" ca="1" si="6"/>
        <v>20881354</v>
      </c>
      <c r="M61" s="79">
        <f t="shared" ca="1" si="7"/>
        <v>19546848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3</v>
      </c>
      <c r="D62" s="146" t="str">
        <f t="shared" si="1"/>
        <v>1772902</v>
      </c>
      <c r="E62" s="146" t="str">
        <f t="shared" si="8"/>
        <v>4400964000002</v>
      </c>
      <c r="F62" s="146" t="b">
        <f t="shared" si="2"/>
        <v>1</v>
      </c>
      <c r="G62" s="190">
        <f t="shared" si="3"/>
        <v>43738</v>
      </c>
      <c r="H62" s="146">
        <f>VLOOKUP( $A62, Aop!$A$2:$N$415, 4, 0)</f>
        <v>61</v>
      </c>
      <c r="I62" s="146">
        <f t="shared" si="4"/>
        <v>2019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3</v>
      </c>
      <c r="D63" s="146" t="str">
        <f t="shared" si="1"/>
        <v>1772902</v>
      </c>
      <c r="E63" s="146" t="str">
        <f t="shared" si="8"/>
        <v>4400964000002</v>
      </c>
      <c r="F63" s="146" t="b">
        <f t="shared" si="2"/>
        <v>1</v>
      </c>
      <c r="G63" s="190">
        <f t="shared" si="3"/>
        <v>43738</v>
      </c>
      <c r="H63" s="146">
        <f>VLOOKUP( $A63, Aop!$A$2:$N$415, 4, 0)</f>
        <v>62</v>
      </c>
      <c r="I63" s="146">
        <f t="shared" si="4"/>
        <v>2019</v>
      </c>
      <c r="J63" s="79">
        <f t="shared" ca="1" si="9"/>
        <v>2611579506</v>
      </c>
      <c r="K63" s="79">
        <f t="shared" ca="1" si="5"/>
        <v>1426608234</v>
      </c>
      <c r="L63" s="79">
        <f t="shared" ca="1" si="6"/>
        <v>1184971272</v>
      </c>
      <c r="M63" s="79">
        <f t="shared" ca="1" si="7"/>
        <v>973573985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3</v>
      </c>
      <c r="D64" s="146" t="str">
        <f t="shared" si="1"/>
        <v>1772902</v>
      </c>
      <c r="E64" s="146" t="str">
        <f t="shared" si="8"/>
        <v>4400964000002</v>
      </c>
      <c r="F64" s="146" t="b">
        <f t="shared" si="2"/>
        <v>1</v>
      </c>
      <c r="G64" s="190">
        <f t="shared" si="3"/>
        <v>43738</v>
      </c>
      <c r="H64" s="146">
        <f>VLOOKUP( $A64, Aop!$A$2:$N$415, 4, 0)</f>
        <v>63</v>
      </c>
      <c r="I64" s="146">
        <f t="shared" si="4"/>
        <v>2019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3</v>
      </c>
      <c r="D65" s="146" t="str">
        <f t="shared" si="1"/>
        <v>1772902</v>
      </c>
      <c r="E65" s="146" t="str">
        <f t="shared" si="8"/>
        <v>4400964000002</v>
      </c>
      <c r="F65" s="146" t="b">
        <f t="shared" si="2"/>
        <v>1</v>
      </c>
      <c r="G65" s="190">
        <f t="shared" si="3"/>
        <v>43738</v>
      </c>
      <c r="H65" s="146">
        <f>VLOOKUP( $A65, Aop!$A$2:$N$415, 4, 0)</f>
        <v>64</v>
      </c>
      <c r="I65" s="146">
        <f t="shared" si="4"/>
        <v>2019</v>
      </c>
      <c r="J65" s="79">
        <f t="shared" ca="1" si="9"/>
        <v>2611579506</v>
      </c>
      <c r="K65" s="79">
        <f t="shared" ca="1" si="5"/>
        <v>1426608234</v>
      </c>
      <c r="L65" s="79">
        <f t="shared" ca="1" si="6"/>
        <v>1184971272</v>
      </c>
      <c r="M65" s="79">
        <f t="shared" ca="1" si="7"/>
        <v>973573985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3</v>
      </c>
      <c r="D66" s="79" t="str">
        <f>Podatak_MB</f>
        <v>1772902</v>
      </c>
      <c r="E66" s="79" t="str">
        <f>Podatak_JIB</f>
        <v>4400964000002</v>
      </c>
      <c r="F66" s="79" t="b">
        <f>Konsolidovan_izvjestaj</f>
        <v>1</v>
      </c>
      <c r="G66" s="190">
        <f>Datum_Broj</f>
        <v>43738</v>
      </c>
      <c r="H66" s="79">
        <f>VLOOKUP( $A66, Aop!$A$2:$N$415, 4, 0)</f>
        <v>65</v>
      </c>
      <c r="I66" s="79">
        <f>Godina</f>
        <v>2019</v>
      </c>
      <c r="J66" s="79">
        <f t="shared" ca="1" si="9"/>
        <v>392106969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392106969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250396558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3</v>
      </c>
      <c r="D67" s="146" t="str">
        <f t="shared" ref="D67:D127" si="14">Podatak_MB</f>
        <v>1772902</v>
      </c>
      <c r="E67" s="146" t="str">
        <f t="shared" ref="E67:E127" si="15">Podatak_JIB</f>
        <v>4400964000002</v>
      </c>
      <c r="F67" s="146" t="b">
        <f t="shared" ref="F67:F129" si="16">Konsolidovan_izvjestaj</f>
        <v>1</v>
      </c>
      <c r="G67" s="190">
        <f t="shared" ref="G67:G129" si="17">Datum_Broj</f>
        <v>43738</v>
      </c>
      <c r="H67" s="146">
        <f>VLOOKUP( $A67, Aop!$A$2:$N$415, 4, 0)</f>
        <v>66</v>
      </c>
      <c r="I67" s="146">
        <f t="shared" ref="I67:I127" si="18">Godina</f>
        <v>2019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3003686475</v>
      </c>
      <c r="K67" s="79">
        <f t="shared" ca="1" si="10"/>
        <v>1426608234</v>
      </c>
      <c r="L67" s="79">
        <f t="shared" ca="1" si="11"/>
        <v>1577078241</v>
      </c>
      <c r="M67" s="79">
        <f t="shared" ca="1" si="12"/>
        <v>1223970543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3</v>
      </c>
      <c r="D68" s="146" t="str">
        <f t="shared" si="14"/>
        <v>1772902</v>
      </c>
      <c r="E68" s="146" t="str">
        <f t="shared" si="15"/>
        <v>4400964000002</v>
      </c>
      <c r="F68" s="146" t="b">
        <f t="shared" si="16"/>
        <v>1</v>
      </c>
      <c r="G68" s="190">
        <f t="shared" si="17"/>
        <v>43738</v>
      </c>
      <c r="H68" s="146">
        <f>VLOOKUP( $A68, Aop!$A$2:$N$415, 4, 0)</f>
        <v>101</v>
      </c>
      <c r="I68" s="146">
        <f t="shared" si="18"/>
        <v>2019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686655009</v>
      </c>
      <c r="M68" s="79">
        <f t="shared" ca="1" si="12"/>
        <v>661714620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3</v>
      </c>
      <c r="D69" s="146" t="str">
        <f t="shared" si="14"/>
        <v>1772902</v>
      </c>
      <c r="E69" s="146" t="str">
        <f t="shared" si="15"/>
        <v>4400964000002</v>
      </c>
      <c r="F69" s="146" t="b">
        <f t="shared" si="16"/>
        <v>1</v>
      </c>
      <c r="G69" s="190">
        <f t="shared" si="17"/>
        <v>43738</v>
      </c>
      <c r="H69" s="146">
        <f>VLOOKUP( $A69, Aop!$A$2:$N$415, 4, 0)</f>
        <v>102</v>
      </c>
      <c r="I69" s="146">
        <f t="shared" si="18"/>
        <v>2019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491383755</v>
      </c>
      <c r="M69" s="79">
        <f t="shared" ca="1" si="12"/>
        <v>491383755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3</v>
      </c>
      <c r="D70" s="146" t="str">
        <f t="shared" si="14"/>
        <v>1772902</v>
      </c>
      <c r="E70" s="146" t="str">
        <f t="shared" si="15"/>
        <v>4400964000002</v>
      </c>
      <c r="F70" s="146" t="b">
        <f t="shared" si="16"/>
        <v>1</v>
      </c>
      <c r="G70" s="190">
        <f t="shared" si="17"/>
        <v>43738</v>
      </c>
      <c r="H70" s="146">
        <f>VLOOKUP( $A70, Aop!$A$2:$N$415, 4, 0)</f>
        <v>103</v>
      </c>
      <c r="I70" s="146">
        <f t="shared" si="18"/>
        <v>2019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491383755</v>
      </c>
      <c r="M70" s="79">
        <f t="shared" ca="1" si="12"/>
        <v>491383755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3</v>
      </c>
      <c r="D71" s="146" t="str">
        <f t="shared" si="14"/>
        <v>1772902</v>
      </c>
      <c r="E71" s="146" t="str">
        <f t="shared" si="15"/>
        <v>4400964000002</v>
      </c>
      <c r="F71" s="146" t="b">
        <f t="shared" si="16"/>
        <v>1</v>
      </c>
      <c r="G71" s="190">
        <f t="shared" si="17"/>
        <v>43738</v>
      </c>
      <c r="H71" s="146">
        <f>VLOOKUP( $A71, Aop!$A$2:$N$415, 4, 0)</f>
        <v>104</v>
      </c>
      <c r="I71" s="146">
        <f t="shared" si="18"/>
        <v>2019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3</v>
      </c>
      <c r="D72" s="146" t="str">
        <f t="shared" si="14"/>
        <v>1772902</v>
      </c>
      <c r="E72" s="146" t="str">
        <f t="shared" si="15"/>
        <v>4400964000002</v>
      </c>
      <c r="F72" s="146" t="b">
        <f t="shared" si="16"/>
        <v>1</v>
      </c>
      <c r="G72" s="190">
        <f t="shared" si="17"/>
        <v>43738</v>
      </c>
      <c r="H72" s="146">
        <f>VLOOKUP( $A72, Aop!$A$2:$N$415, 4, 0)</f>
        <v>105</v>
      </c>
      <c r="I72" s="146">
        <f t="shared" si="18"/>
        <v>2019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3</v>
      </c>
      <c r="D73" s="146" t="str">
        <f t="shared" si="14"/>
        <v>1772902</v>
      </c>
      <c r="E73" s="146" t="str">
        <f t="shared" si="15"/>
        <v>4400964000002</v>
      </c>
      <c r="F73" s="146" t="b">
        <f t="shared" si="16"/>
        <v>1</v>
      </c>
      <c r="G73" s="190">
        <f t="shared" si="17"/>
        <v>43738</v>
      </c>
      <c r="H73" s="146">
        <f>VLOOKUP( $A73, Aop!$A$2:$N$415, 4, 0)</f>
        <v>106</v>
      </c>
      <c r="I73" s="146">
        <f t="shared" si="18"/>
        <v>2019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3</v>
      </c>
      <c r="D74" s="146" t="str">
        <f t="shared" si="14"/>
        <v>1772902</v>
      </c>
      <c r="E74" s="146" t="str">
        <f t="shared" si="15"/>
        <v>4400964000002</v>
      </c>
      <c r="F74" s="146" t="b">
        <f t="shared" si="16"/>
        <v>1</v>
      </c>
      <c r="G74" s="190">
        <f t="shared" si="17"/>
        <v>43738</v>
      </c>
      <c r="H74" s="146">
        <f>VLOOKUP( $A74, Aop!$A$2:$N$415, 4, 0)</f>
        <v>107</v>
      </c>
      <c r="I74" s="146">
        <f t="shared" si="18"/>
        <v>2019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3</v>
      </c>
      <c r="D75" s="146" t="str">
        <f t="shared" si="14"/>
        <v>1772902</v>
      </c>
      <c r="E75" s="146" t="str">
        <f t="shared" si="15"/>
        <v>4400964000002</v>
      </c>
      <c r="F75" s="146" t="b">
        <f t="shared" si="16"/>
        <v>1</v>
      </c>
      <c r="G75" s="190">
        <f t="shared" si="17"/>
        <v>43738</v>
      </c>
      <c r="H75" s="146">
        <f>VLOOKUP( $A75, Aop!$A$2:$N$415, 4, 0)</f>
        <v>108</v>
      </c>
      <c r="I75" s="146">
        <f t="shared" si="18"/>
        <v>2019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3</v>
      </c>
      <c r="D76" s="146" t="str">
        <f t="shared" si="14"/>
        <v>1772902</v>
      </c>
      <c r="E76" s="146" t="str">
        <f t="shared" si="15"/>
        <v>4400964000002</v>
      </c>
      <c r="F76" s="146" t="b">
        <f t="shared" si="16"/>
        <v>1</v>
      </c>
      <c r="G76" s="190">
        <f t="shared" si="17"/>
        <v>43738</v>
      </c>
      <c r="H76" s="146">
        <f>VLOOKUP( $A76, Aop!$A$2:$N$415, 4, 0)</f>
        <v>109</v>
      </c>
      <c r="I76" s="146">
        <f t="shared" si="18"/>
        <v>2019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3</v>
      </c>
      <c r="D77" s="146" t="str">
        <f t="shared" si="14"/>
        <v>1772902</v>
      </c>
      <c r="E77" s="146" t="str">
        <f t="shared" si="15"/>
        <v>4400964000002</v>
      </c>
      <c r="F77" s="146" t="b">
        <f t="shared" si="16"/>
        <v>1</v>
      </c>
      <c r="G77" s="190">
        <f t="shared" si="17"/>
        <v>43738</v>
      </c>
      <c r="H77" s="146">
        <f>VLOOKUP( $A77, Aop!$A$2:$N$415, 4, 0)</f>
        <v>110</v>
      </c>
      <c r="I77" s="146">
        <f t="shared" si="18"/>
        <v>2019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3</v>
      </c>
      <c r="D78" s="146" t="str">
        <f t="shared" si="14"/>
        <v>1772902</v>
      </c>
      <c r="E78" s="146" t="str">
        <f t="shared" si="15"/>
        <v>4400964000002</v>
      </c>
      <c r="F78" s="146" t="b">
        <f t="shared" si="16"/>
        <v>1</v>
      </c>
      <c r="G78" s="190">
        <f t="shared" si="17"/>
        <v>43738</v>
      </c>
      <c r="H78" s="146">
        <f>VLOOKUP( $A78, Aop!$A$2:$N$415, 4, 0)</f>
        <v>111</v>
      </c>
      <c r="I78" s="146">
        <f t="shared" si="18"/>
        <v>2019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3</v>
      </c>
      <c r="D79" s="146" t="str">
        <f t="shared" si="14"/>
        <v>1772902</v>
      </c>
      <c r="E79" s="146" t="str">
        <f t="shared" si="15"/>
        <v>4400964000002</v>
      </c>
      <c r="F79" s="146" t="b">
        <f t="shared" si="16"/>
        <v>1</v>
      </c>
      <c r="G79" s="190">
        <f t="shared" si="17"/>
        <v>43738</v>
      </c>
      <c r="H79" s="146">
        <f>VLOOKUP( $A79, Aop!$A$2:$N$415, 4, 0)</f>
        <v>112</v>
      </c>
      <c r="I79" s="146">
        <f t="shared" si="18"/>
        <v>2019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146933266</v>
      </c>
      <c r="M79" s="79">
        <f t="shared" ca="1" si="12"/>
        <v>146933266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3</v>
      </c>
      <c r="D80" s="146" t="str">
        <f t="shared" si="14"/>
        <v>1772902</v>
      </c>
      <c r="E80" s="146" t="str">
        <f t="shared" si="15"/>
        <v>4400964000002</v>
      </c>
      <c r="F80" s="146" t="b">
        <f t="shared" si="16"/>
        <v>1</v>
      </c>
      <c r="G80" s="190">
        <f t="shared" si="17"/>
        <v>43738</v>
      </c>
      <c r="H80" s="146">
        <f>VLOOKUP( $A80, Aop!$A$2:$N$415, 4, 0)</f>
        <v>113</v>
      </c>
      <c r="I80" s="146">
        <f t="shared" si="18"/>
        <v>2019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49141766</v>
      </c>
      <c r="M80" s="79">
        <f t="shared" ca="1" si="12"/>
        <v>49141766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3</v>
      </c>
      <c r="D81" s="146" t="str">
        <f t="shared" si="14"/>
        <v>1772902</v>
      </c>
      <c r="E81" s="146" t="str">
        <f t="shared" si="15"/>
        <v>4400964000002</v>
      </c>
      <c r="F81" s="146" t="b">
        <f t="shared" si="16"/>
        <v>1</v>
      </c>
      <c r="G81" s="190">
        <f t="shared" si="17"/>
        <v>43738</v>
      </c>
      <c r="H81" s="146">
        <f>VLOOKUP( $A81, Aop!$A$2:$N$415, 4, 0)</f>
        <v>114</v>
      </c>
      <c r="I81" s="146">
        <f t="shared" si="18"/>
        <v>2019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3</v>
      </c>
      <c r="D82" s="146" t="str">
        <f t="shared" si="14"/>
        <v>1772902</v>
      </c>
      <c r="E82" s="146" t="str">
        <f t="shared" si="15"/>
        <v>4400964000002</v>
      </c>
      <c r="F82" s="146" t="b">
        <f t="shared" si="16"/>
        <v>1</v>
      </c>
      <c r="G82" s="190">
        <f t="shared" si="17"/>
        <v>43738</v>
      </c>
      <c r="H82" s="146">
        <f>VLOOKUP( $A82, Aop!$A$2:$N$415, 4, 0)</f>
        <v>115</v>
      </c>
      <c r="I82" s="146">
        <f t="shared" si="18"/>
        <v>2019</v>
      </c>
      <c r="J82" s="79" t="str">
        <f t="shared" ca="1" si="19"/>
        <v/>
      </c>
      <c r="K82" s="79" t="str">
        <f t="shared" ca="1" si="10"/>
        <v/>
      </c>
      <c r="L82" s="79">
        <f t="shared" ca="1" si="11"/>
        <v>97791500</v>
      </c>
      <c r="M82" s="79">
        <f t="shared" ca="1" si="12"/>
        <v>97791500</v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3</v>
      </c>
      <c r="D83" s="146" t="str">
        <f t="shared" si="14"/>
        <v>1772902</v>
      </c>
      <c r="E83" s="146" t="str">
        <f t="shared" si="15"/>
        <v>4400964000002</v>
      </c>
      <c r="F83" s="146" t="b">
        <f t="shared" si="16"/>
        <v>1</v>
      </c>
      <c r="G83" s="190">
        <f t="shared" si="17"/>
        <v>43738</v>
      </c>
      <c r="H83" s="146">
        <f>VLOOKUP( $A83, Aop!$A$2:$N$415, 4, 0)</f>
        <v>116</v>
      </c>
      <c r="I83" s="146">
        <f t="shared" si="18"/>
        <v>2019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3</v>
      </c>
      <c r="D84" s="146" t="str">
        <f t="shared" si="14"/>
        <v>1772902</v>
      </c>
      <c r="E84" s="146" t="str">
        <f t="shared" si="15"/>
        <v>4400964000002</v>
      </c>
      <c r="F84" s="146" t="b">
        <f t="shared" si="16"/>
        <v>1</v>
      </c>
      <c r="G84" s="190">
        <f t="shared" si="17"/>
        <v>43738</v>
      </c>
      <c r="H84" s="146">
        <f>VLOOKUP( $A84, Aop!$A$2:$N$415, 4, 0)</f>
        <v>117</v>
      </c>
      <c r="I84" s="146">
        <f t="shared" si="18"/>
        <v>2019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3</v>
      </c>
      <c r="D85" s="146" t="str">
        <f t="shared" si="14"/>
        <v>1772902</v>
      </c>
      <c r="E85" s="146" t="str">
        <f t="shared" si="15"/>
        <v>4400964000002</v>
      </c>
      <c r="F85" s="146" t="b">
        <f t="shared" si="16"/>
        <v>1</v>
      </c>
      <c r="G85" s="190">
        <f t="shared" si="17"/>
        <v>43738</v>
      </c>
      <c r="H85" s="146">
        <f>VLOOKUP( $A85, Aop!$A$2:$N$415, 4, 0)</f>
        <v>118</v>
      </c>
      <c r="I85" s="146">
        <f t="shared" si="18"/>
        <v>2019</v>
      </c>
      <c r="J85" s="79" t="str">
        <f t="shared" ca="1" si="19"/>
        <v/>
      </c>
      <c r="K85" s="79" t="str">
        <f t="shared" ca="1" si="10"/>
        <v/>
      </c>
      <c r="L85" s="79">
        <f t="shared" ca="1" si="11"/>
        <v>741</v>
      </c>
      <c r="M85" s="79">
        <f t="shared" ca="1" si="12"/>
        <v>1212</v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3</v>
      </c>
      <c r="D86" s="146" t="str">
        <f t="shared" si="14"/>
        <v>1772902</v>
      </c>
      <c r="E86" s="146" t="str">
        <f t="shared" si="15"/>
        <v>4400964000002</v>
      </c>
      <c r="F86" s="146" t="b">
        <f t="shared" si="16"/>
        <v>1</v>
      </c>
      <c r="G86" s="190">
        <f t="shared" si="17"/>
        <v>43738</v>
      </c>
      <c r="H86" s="146">
        <f>VLOOKUP( $A86, Aop!$A$2:$N$415, 4, 0)</f>
        <v>119</v>
      </c>
      <c r="I86" s="146">
        <f t="shared" si="18"/>
        <v>2019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63385739</v>
      </c>
      <c r="M86" s="79">
        <f t="shared" ca="1" si="12"/>
        <v>38309189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3</v>
      </c>
      <c r="D87" s="146" t="str">
        <f t="shared" si="14"/>
        <v>1772902</v>
      </c>
      <c r="E87" s="146" t="str">
        <f t="shared" si="15"/>
        <v>4400964000002</v>
      </c>
      <c r="F87" s="146" t="b">
        <f t="shared" si="16"/>
        <v>1</v>
      </c>
      <c r="G87" s="190">
        <f t="shared" si="17"/>
        <v>43738</v>
      </c>
      <c r="H87" s="146">
        <f>VLOOKUP( $A87, Aop!$A$2:$N$415, 4, 0)</f>
        <v>120</v>
      </c>
      <c r="I87" s="146">
        <f t="shared" si="18"/>
        <v>2019</v>
      </c>
      <c r="J87" s="79" t="str">
        <f t="shared" ca="1" si="19"/>
        <v/>
      </c>
      <c r="K87" s="79" t="str">
        <f t="shared" ca="1" si="10"/>
        <v/>
      </c>
      <c r="L87" s="79" t="str">
        <f t="shared" ca="1" si="11"/>
        <v/>
      </c>
      <c r="M87" s="79" t="str">
        <f t="shared" ca="1" si="12"/>
        <v/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3</v>
      </c>
      <c r="D88" s="146" t="str">
        <f t="shared" si="14"/>
        <v>1772902</v>
      </c>
      <c r="E88" s="146" t="str">
        <f t="shared" si="15"/>
        <v>4400964000002</v>
      </c>
      <c r="F88" s="146" t="b">
        <f t="shared" si="16"/>
        <v>1</v>
      </c>
      <c r="G88" s="190">
        <f t="shared" si="17"/>
        <v>43738</v>
      </c>
      <c r="H88" s="146">
        <f>VLOOKUP( $A88, Aop!$A$2:$N$415, 4, 0)</f>
        <v>121</v>
      </c>
      <c r="I88" s="146">
        <f t="shared" si="18"/>
        <v>2019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63385739</v>
      </c>
      <c r="M88" s="79">
        <f t="shared" ca="1" si="12"/>
        <v>38309189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3</v>
      </c>
      <c r="D89" s="146" t="str">
        <f t="shared" si="14"/>
        <v>1772902</v>
      </c>
      <c r="E89" s="146" t="str">
        <f t="shared" si="15"/>
        <v>4400964000002</v>
      </c>
      <c r="F89" s="146" t="b">
        <f t="shared" si="16"/>
        <v>1</v>
      </c>
      <c r="G89" s="190">
        <f t="shared" si="17"/>
        <v>43738</v>
      </c>
      <c r="H89" s="146">
        <f>VLOOKUP( $A89, Aop!$A$2:$N$415, 4, 0)</f>
        <v>122</v>
      </c>
      <c r="I89" s="146">
        <f t="shared" si="18"/>
        <v>2019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3</v>
      </c>
      <c r="D90" s="146" t="str">
        <f t="shared" si="14"/>
        <v>1772902</v>
      </c>
      <c r="E90" s="146" t="str">
        <f t="shared" si="15"/>
        <v>4400964000002</v>
      </c>
      <c r="F90" s="146" t="b">
        <f t="shared" si="16"/>
        <v>1</v>
      </c>
      <c r="G90" s="190">
        <f t="shared" si="17"/>
        <v>43738</v>
      </c>
      <c r="H90" s="146">
        <f>VLOOKUP( $A90, Aop!$A$2:$N$415, 4, 0)</f>
        <v>123</v>
      </c>
      <c r="I90" s="146">
        <f t="shared" si="18"/>
        <v>2019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15047010</v>
      </c>
      <c r="M90" s="79">
        <f t="shared" ca="1" si="12"/>
        <v>14910378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3</v>
      </c>
      <c r="D91" s="146" t="str">
        <f t="shared" si="14"/>
        <v>1772902</v>
      </c>
      <c r="E91" s="146" t="str">
        <f t="shared" si="15"/>
        <v>4400964000002</v>
      </c>
      <c r="F91" s="146" t="b">
        <f t="shared" si="16"/>
        <v>1</v>
      </c>
      <c r="G91" s="190">
        <f t="shared" si="17"/>
        <v>43738</v>
      </c>
      <c r="H91" s="146">
        <f>VLOOKUP( $A91, Aop!$A$2:$N$415, 4, 0)</f>
        <v>124</v>
      </c>
      <c r="I91" s="146">
        <f t="shared" si="18"/>
        <v>2019</v>
      </c>
      <c r="J91" s="79" t="str">
        <f t="shared" ca="1" si="19"/>
        <v/>
      </c>
      <c r="K91" s="79" t="str">
        <f t="shared" ca="1" si="10"/>
        <v/>
      </c>
      <c r="L91" s="79">
        <f t="shared" ca="1" si="11"/>
        <v>15047010</v>
      </c>
      <c r="M91" s="79">
        <f t="shared" ca="1" si="12"/>
        <v>14910378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3</v>
      </c>
      <c r="D92" s="146" t="str">
        <f t="shared" si="14"/>
        <v>1772902</v>
      </c>
      <c r="E92" s="146" t="str">
        <f t="shared" si="15"/>
        <v>4400964000002</v>
      </c>
      <c r="F92" s="146" t="b">
        <f t="shared" si="16"/>
        <v>1</v>
      </c>
      <c r="G92" s="190">
        <f t="shared" si="17"/>
        <v>43738</v>
      </c>
      <c r="H92" s="146">
        <f>VLOOKUP( $A92, Aop!$A$2:$N$415, 4, 0)</f>
        <v>125</v>
      </c>
      <c r="I92" s="146">
        <f t="shared" si="18"/>
        <v>2019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3</v>
      </c>
      <c r="D93" s="146" t="str">
        <f t="shared" si="14"/>
        <v>1772902</v>
      </c>
      <c r="E93" s="146" t="str">
        <f t="shared" si="15"/>
        <v>4400964000002</v>
      </c>
      <c r="F93" s="146" t="b">
        <f t="shared" si="16"/>
        <v>1</v>
      </c>
      <c r="G93" s="190">
        <f t="shared" si="17"/>
        <v>43738</v>
      </c>
      <c r="H93" s="146">
        <f>VLOOKUP( $A93, Aop!$A$2:$N$415, 4, 0)</f>
        <v>126</v>
      </c>
      <c r="I93" s="146">
        <f t="shared" si="18"/>
        <v>2019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11617316</v>
      </c>
      <c r="M93" s="79">
        <f t="shared" ca="1" si="12"/>
        <v>7479219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3</v>
      </c>
      <c r="D94" s="146" t="str">
        <f t="shared" si="14"/>
        <v>1772902</v>
      </c>
      <c r="E94" s="146" t="str">
        <f t="shared" si="15"/>
        <v>4400964000002</v>
      </c>
      <c r="F94" s="146" t="b">
        <f t="shared" si="16"/>
        <v>1</v>
      </c>
      <c r="G94" s="190">
        <f t="shared" si="17"/>
        <v>43738</v>
      </c>
      <c r="H94" s="146">
        <f>VLOOKUP( $A94, Aop!$A$2:$N$415, 4, 0)</f>
        <v>127</v>
      </c>
      <c r="I94" s="146">
        <f t="shared" si="18"/>
        <v>2019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3</v>
      </c>
      <c r="D95" s="146" t="str">
        <f t="shared" si="14"/>
        <v>1772902</v>
      </c>
      <c r="E95" s="146" t="str">
        <f t="shared" si="15"/>
        <v>4400964000002</v>
      </c>
      <c r="F95" s="146" t="b">
        <f t="shared" si="16"/>
        <v>1</v>
      </c>
      <c r="G95" s="190">
        <f t="shared" si="17"/>
        <v>43738</v>
      </c>
      <c r="H95" s="146">
        <f>VLOOKUP( $A95, Aop!$A$2:$N$415, 4, 0)</f>
        <v>128</v>
      </c>
      <c r="I95" s="146">
        <f t="shared" si="18"/>
        <v>2019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3</v>
      </c>
      <c r="D96" s="146" t="str">
        <f t="shared" si="14"/>
        <v>1772902</v>
      </c>
      <c r="E96" s="146" t="str">
        <f t="shared" si="15"/>
        <v>4400964000002</v>
      </c>
      <c r="F96" s="146" t="b">
        <f t="shared" si="16"/>
        <v>1</v>
      </c>
      <c r="G96" s="190">
        <f t="shared" si="17"/>
        <v>43738</v>
      </c>
      <c r="H96" s="146">
        <f>VLOOKUP( $A96, Aop!$A$2:$N$415, 4, 0)</f>
        <v>129</v>
      </c>
      <c r="I96" s="146">
        <f t="shared" si="18"/>
        <v>2019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3</v>
      </c>
      <c r="D97" s="146" t="str">
        <f t="shared" si="14"/>
        <v>1772902</v>
      </c>
      <c r="E97" s="146" t="str">
        <f t="shared" si="15"/>
        <v>4400964000002</v>
      </c>
      <c r="F97" s="146" t="b">
        <f t="shared" si="16"/>
        <v>1</v>
      </c>
      <c r="G97" s="190">
        <f t="shared" si="17"/>
        <v>43738</v>
      </c>
      <c r="H97" s="146">
        <f>VLOOKUP( $A97, Aop!$A$2:$N$415, 4, 0)</f>
        <v>130</v>
      </c>
      <c r="I97" s="146">
        <f t="shared" si="18"/>
        <v>2019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3</v>
      </c>
      <c r="D98" s="146" t="str">
        <f t="shared" si="14"/>
        <v>1772902</v>
      </c>
      <c r="E98" s="146" t="str">
        <f t="shared" si="15"/>
        <v>4400964000002</v>
      </c>
      <c r="F98" s="146" t="b">
        <f t="shared" si="16"/>
        <v>1</v>
      </c>
      <c r="G98" s="190">
        <f t="shared" si="17"/>
        <v>43738</v>
      </c>
      <c r="H98" s="146">
        <f>VLOOKUP( $A98, Aop!$A$2:$N$415, 4, 0)</f>
        <v>131</v>
      </c>
      <c r="I98" s="146">
        <f t="shared" si="18"/>
        <v>2019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5664614</v>
      </c>
      <c r="M98" s="79">
        <f t="shared" ca="1" si="12"/>
        <v>6178375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3</v>
      </c>
      <c r="D99" s="146" t="str">
        <f t="shared" si="14"/>
        <v>1772902</v>
      </c>
      <c r="E99" s="146" t="str">
        <f t="shared" si="15"/>
        <v>4400964000002</v>
      </c>
      <c r="F99" s="146" t="b">
        <f t="shared" si="16"/>
        <v>1</v>
      </c>
      <c r="G99" s="190">
        <f t="shared" si="17"/>
        <v>43738</v>
      </c>
      <c r="H99" s="146">
        <f>VLOOKUP( $A99, Aop!$A$2:$N$415, 4, 0)</f>
        <v>132</v>
      </c>
      <c r="I99" s="146">
        <f t="shared" si="18"/>
        <v>2019</v>
      </c>
      <c r="J99" s="79" t="str">
        <f t="shared" ca="1" si="19"/>
        <v/>
      </c>
      <c r="K99" s="79" t="str">
        <f t="shared" ca="1" si="10"/>
        <v/>
      </c>
      <c r="L99" s="79">
        <f t="shared" ca="1" si="11"/>
        <v>5838918</v>
      </c>
      <c r="M99" s="79">
        <f t="shared" ca="1" si="12"/>
        <v>1091147</v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3</v>
      </c>
      <c r="D100" s="146" t="str">
        <f t="shared" si="14"/>
        <v>1772902</v>
      </c>
      <c r="E100" s="146" t="str">
        <f t="shared" si="15"/>
        <v>4400964000002</v>
      </c>
      <c r="F100" s="146" t="b">
        <f t="shared" si="16"/>
        <v>1</v>
      </c>
      <c r="G100" s="190">
        <f t="shared" si="17"/>
        <v>43738</v>
      </c>
      <c r="H100" s="146">
        <f>VLOOKUP( $A100, Aop!$A$2:$N$415, 4, 0)</f>
        <v>133</v>
      </c>
      <c r="I100" s="146">
        <f t="shared" si="18"/>
        <v>2019</v>
      </c>
      <c r="J100" s="79" t="str">
        <f t="shared" ca="1" si="19"/>
        <v/>
      </c>
      <c r="K100" s="79" t="str">
        <f t="shared" ca="1" si="10"/>
        <v/>
      </c>
      <c r="L100" s="79">
        <f t="shared" ca="1" si="11"/>
        <v>52560</v>
      </c>
      <c r="M100" s="79">
        <f t="shared" ca="1" si="12"/>
        <v>61835</v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3</v>
      </c>
      <c r="D101" s="146" t="str">
        <f t="shared" si="14"/>
        <v>1772902</v>
      </c>
      <c r="E101" s="146" t="str">
        <f t="shared" si="15"/>
        <v>4400964000002</v>
      </c>
      <c r="F101" s="146" t="b">
        <f t="shared" si="16"/>
        <v>1</v>
      </c>
      <c r="G101" s="190">
        <f t="shared" si="17"/>
        <v>43738</v>
      </c>
      <c r="H101" s="146">
        <f>VLOOKUP( $A101, Aop!$A$2:$N$415, 4, 0)</f>
        <v>134</v>
      </c>
      <c r="I101" s="146">
        <f t="shared" si="18"/>
        <v>2019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61224</v>
      </c>
      <c r="M101" s="79">
        <f t="shared" ca="1" si="12"/>
        <v>147862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3</v>
      </c>
      <c r="D102" s="146" t="str">
        <f t="shared" si="14"/>
        <v>1772902</v>
      </c>
      <c r="E102" s="146" t="str">
        <f t="shared" si="15"/>
        <v>4400964000002</v>
      </c>
      <c r="F102" s="146" t="b">
        <f t="shared" si="16"/>
        <v>1</v>
      </c>
      <c r="G102" s="190">
        <f t="shared" si="17"/>
        <v>43738</v>
      </c>
      <c r="H102" s="146">
        <f>VLOOKUP( $A102, Aop!$A$2:$N$415, 4, 0)</f>
        <v>135</v>
      </c>
      <c r="I102" s="146">
        <f t="shared" si="18"/>
        <v>2019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486698947</v>
      </c>
      <c r="M102" s="79">
        <f t="shared" ca="1" si="12"/>
        <v>304380146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3</v>
      </c>
      <c r="D103" s="146" t="str">
        <f t="shared" si="14"/>
        <v>1772902</v>
      </c>
      <c r="E103" s="146" t="str">
        <f t="shared" si="15"/>
        <v>4400964000002</v>
      </c>
      <c r="F103" s="146" t="b">
        <f t="shared" si="16"/>
        <v>1</v>
      </c>
      <c r="G103" s="190">
        <f t="shared" si="17"/>
        <v>43738</v>
      </c>
      <c r="H103" s="146">
        <f>VLOOKUP( $A103, Aop!$A$2:$N$415, 4, 0)</f>
        <v>136</v>
      </c>
      <c r="I103" s="146">
        <f t="shared" si="18"/>
        <v>2019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293132915</v>
      </c>
      <c r="M103" s="79">
        <f t="shared" ca="1" si="12"/>
        <v>165845532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3</v>
      </c>
      <c r="D104" s="146" t="str">
        <f t="shared" si="14"/>
        <v>1772902</v>
      </c>
      <c r="E104" s="146" t="str">
        <f t="shared" si="15"/>
        <v>4400964000002</v>
      </c>
      <c r="F104" s="146" t="b">
        <f t="shared" si="16"/>
        <v>1</v>
      </c>
      <c r="G104" s="190">
        <f t="shared" si="17"/>
        <v>43738</v>
      </c>
      <c r="H104" s="146">
        <f>VLOOKUP( $A104, Aop!$A$2:$N$415, 4, 0)</f>
        <v>137</v>
      </c>
      <c r="I104" s="146">
        <f t="shared" si="18"/>
        <v>2019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3</v>
      </c>
      <c r="D105" s="146" t="str">
        <f t="shared" si="14"/>
        <v>1772902</v>
      </c>
      <c r="E105" s="146" t="str">
        <f t="shared" si="15"/>
        <v>4400964000002</v>
      </c>
      <c r="F105" s="146" t="b">
        <f t="shared" si="16"/>
        <v>1</v>
      </c>
      <c r="G105" s="190">
        <f t="shared" si="17"/>
        <v>43738</v>
      </c>
      <c r="H105" s="146">
        <f>VLOOKUP( $A105, Aop!$A$2:$N$415, 4, 0)</f>
        <v>138</v>
      </c>
      <c r="I105" s="146">
        <f t="shared" si="18"/>
        <v>2019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3</v>
      </c>
      <c r="D106" s="146" t="str">
        <f t="shared" si="14"/>
        <v>1772902</v>
      </c>
      <c r="E106" s="146" t="str">
        <f t="shared" si="15"/>
        <v>4400964000002</v>
      </c>
      <c r="F106" s="146" t="b">
        <f t="shared" si="16"/>
        <v>1</v>
      </c>
      <c r="G106" s="190">
        <f t="shared" si="17"/>
        <v>43738</v>
      </c>
      <c r="H106" s="146">
        <f>VLOOKUP( $A106, Aop!$A$2:$N$415, 4, 0)</f>
        <v>139</v>
      </c>
      <c r="I106" s="146">
        <f t="shared" si="18"/>
        <v>2019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3</v>
      </c>
      <c r="D107" s="146" t="str">
        <f t="shared" si="14"/>
        <v>1772902</v>
      </c>
      <c r="E107" s="146" t="str">
        <f t="shared" si="15"/>
        <v>4400964000002</v>
      </c>
      <c r="F107" s="146" t="b">
        <f t="shared" si="16"/>
        <v>1</v>
      </c>
      <c r="G107" s="190">
        <f t="shared" si="17"/>
        <v>43738</v>
      </c>
      <c r="H107" s="146">
        <f>VLOOKUP( $A107, Aop!$A$2:$N$415, 4, 0)</f>
        <v>140</v>
      </c>
      <c r="I107" s="146">
        <f t="shared" si="18"/>
        <v>2019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232575955</v>
      </c>
      <c r="M107" s="79">
        <f t="shared" ca="1" si="12"/>
        <v>165845532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3</v>
      </c>
      <c r="D108" s="146" t="str">
        <f t="shared" si="14"/>
        <v>1772902</v>
      </c>
      <c r="E108" s="146" t="str">
        <f t="shared" si="15"/>
        <v>4400964000002</v>
      </c>
      <c r="F108" s="146" t="b">
        <f t="shared" si="16"/>
        <v>1</v>
      </c>
      <c r="G108" s="190">
        <f t="shared" si="17"/>
        <v>43738</v>
      </c>
      <c r="H108" s="146">
        <f>VLOOKUP( $A108, Aop!$A$2:$N$415, 4, 0)</f>
        <v>141</v>
      </c>
      <c r="I108" s="146">
        <f t="shared" si="18"/>
        <v>2019</v>
      </c>
      <c r="J108" s="79" t="str">
        <f t="shared" ca="1" si="19"/>
        <v/>
      </c>
      <c r="K108" s="79" t="str">
        <f t="shared" ca="1" si="10"/>
        <v/>
      </c>
      <c r="L108" s="79">
        <f t="shared" ca="1" si="11"/>
        <v>50502562</v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3</v>
      </c>
      <c r="D109" s="146" t="str">
        <f t="shared" si="14"/>
        <v>1772902</v>
      </c>
      <c r="E109" s="146" t="str">
        <f t="shared" si="15"/>
        <v>4400964000002</v>
      </c>
      <c r="F109" s="146" t="b">
        <f t="shared" si="16"/>
        <v>1</v>
      </c>
      <c r="G109" s="190">
        <f t="shared" si="17"/>
        <v>43738</v>
      </c>
      <c r="H109" s="146">
        <f>VLOOKUP( $A109, Aop!$A$2:$N$415, 4, 0)</f>
        <v>142</v>
      </c>
      <c r="I109" s="146">
        <f t="shared" si="18"/>
        <v>2019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3</v>
      </c>
      <c r="D110" s="146" t="str">
        <f t="shared" si="14"/>
        <v>1772902</v>
      </c>
      <c r="E110" s="146" t="str">
        <f t="shared" si="15"/>
        <v>4400964000002</v>
      </c>
      <c r="F110" s="146" t="b">
        <f t="shared" si="16"/>
        <v>1</v>
      </c>
      <c r="G110" s="190">
        <f t="shared" si="17"/>
        <v>43738</v>
      </c>
      <c r="H110" s="146">
        <f>VLOOKUP( $A110, Aop!$A$2:$N$415, 4, 0)</f>
        <v>143</v>
      </c>
      <c r="I110" s="146">
        <f t="shared" si="18"/>
        <v>2019</v>
      </c>
      <c r="J110" s="79" t="str">
        <f t="shared" ca="1" si="19"/>
        <v/>
      </c>
      <c r="K110" s="79" t="str">
        <f t="shared" ca="1" si="10"/>
        <v/>
      </c>
      <c r="L110" s="79">
        <f t="shared" ca="1" si="11"/>
        <v>10054398</v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3</v>
      </c>
      <c r="D111" s="146" t="str">
        <f t="shared" si="14"/>
        <v>1772902</v>
      </c>
      <c r="E111" s="146" t="str">
        <f t="shared" si="15"/>
        <v>4400964000002</v>
      </c>
      <c r="F111" s="146" t="b">
        <f t="shared" si="16"/>
        <v>1</v>
      </c>
      <c r="G111" s="190">
        <f t="shared" si="17"/>
        <v>43738</v>
      </c>
      <c r="H111" s="146">
        <f>VLOOKUP( $A111, Aop!$A$2:$N$415, 4, 0)</f>
        <v>144</v>
      </c>
      <c r="I111" s="146">
        <f t="shared" si="18"/>
        <v>2019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193566032</v>
      </c>
      <c r="M111" s="79">
        <f t="shared" ca="1" si="12"/>
        <v>138534614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3</v>
      </c>
      <c r="D112" s="146" t="str">
        <f t="shared" si="14"/>
        <v>1772902</v>
      </c>
      <c r="E112" s="146" t="str">
        <f t="shared" si="15"/>
        <v>4400964000002</v>
      </c>
      <c r="F112" s="146" t="b">
        <f t="shared" si="16"/>
        <v>1</v>
      </c>
      <c r="G112" s="190">
        <f t="shared" si="17"/>
        <v>43738</v>
      </c>
      <c r="H112" s="146">
        <f>VLOOKUP( $A112, Aop!$A$2:$N$415, 4, 0)</f>
        <v>145</v>
      </c>
      <c r="I112" s="146">
        <f t="shared" si="18"/>
        <v>2019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85943608</v>
      </c>
      <c r="M112" s="79">
        <f t="shared" ca="1" si="12"/>
        <v>32113243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3</v>
      </c>
      <c r="D113" s="146" t="str">
        <f t="shared" si="14"/>
        <v>1772902</v>
      </c>
      <c r="E113" s="146" t="str">
        <f t="shared" si="15"/>
        <v>4400964000002</v>
      </c>
      <c r="F113" s="146" t="b">
        <f t="shared" si="16"/>
        <v>1</v>
      </c>
      <c r="G113" s="190">
        <f t="shared" si="17"/>
        <v>43738</v>
      </c>
      <c r="H113" s="146">
        <f>VLOOKUP( $A113, Aop!$A$2:$N$415, 4, 0)</f>
        <v>146</v>
      </c>
      <c r="I113" s="146">
        <f t="shared" si="18"/>
        <v>2019</v>
      </c>
      <c r="J113" s="79" t="str">
        <f t="shared" ca="1" si="19"/>
        <v/>
      </c>
      <c r="K113" s="79" t="str">
        <f t="shared" ca="1" si="10"/>
        <v/>
      </c>
      <c r="L113" s="79">
        <f t="shared" ca="1" si="11"/>
        <v>11758656</v>
      </c>
      <c r="M113" s="79">
        <f t="shared" ca="1" si="12"/>
        <v>804353</v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3</v>
      </c>
      <c r="D114" s="146" t="str">
        <f t="shared" si="14"/>
        <v>1772902</v>
      </c>
      <c r="E114" s="146" t="str">
        <f t="shared" si="15"/>
        <v>4400964000002</v>
      </c>
      <c r="F114" s="146" t="b">
        <f t="shared" si="16"/>
        <v>1</v>
      </c>
      <c r="G114" s="190">
        <f t="shared" si="17"/>
        <v>43738</v>
      </c>
      <c r="H114" s="146">
        <f>VLOOKUP( $A114, Aop!$A$2:$N$415, 4, 0)</f>
        <v>147</v>
      </c>
      <c r="I114" s="146">
        <f t="shared" si="18"/>
        <v>2019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65833652</v>
      </c>
      <c r="M114" s="79">
        <f t="shared" ca="1" si="12"/>
        <v>31308890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3</v>
      </c>
      <c r="D115" s="146" t="str">
        <f t="shared" si="14"/>
        <v>1772902</v>
      </c>
      <c r="E115" s="146" t="str">
        <f t="shared" si="15"/>
        <v>4400964000002</v>
      </c>
      <c r="F115" s="146" t="b">
        <f t="shared" si="16"/>
        <v>1</v>
      </c>
      <c r="G115" s="190">
        <f t="shared" si="17"/>
        <v>43738</v>
      </c>
      <c r="H115" s="146">
        <f>VLOOKUP( $A115, Aop!$A$2:$N$415, 4, 0)</f>
        <v>148</v>
      </c>
      <c r="I115" s="146">
        <f t="shared" si="18"/>
        <v>2019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3</v>
      </c>
      <c r="D116" s="146" t="str">
        <f t="shared" si="14"/>
        <v>1772902</v>
      </c>
      <c r="E116" s="146" t="str">
        <f t="shared" si="15"/>
        <v>4400964000002</v>
      </c>
      <c r="F116" s="146" t="b">
        <f t="shared" si="16"/>
        <v>1</v>
      </c>
      <c r="G116" s="190">
        <f t="shared" si="17"/>
        <v>43738</v>
      </c>
      <c r="H116" s="146">
        <f>VLOOKUP( $A116, Aop!$A$2:$N$415, 4, 0)</f>
        <v>149</v>
      </c>
      <c r="I116" s="146">
        <f t="shared" si="18"/>
        <v>2019</v>
      </c>
      <c r="J116" s="79" t="str">
        <f t="shared" ca="1" si="19"/>
        <v/>
      </c>
      <c r="K116" s="79" t="str">
        <f t="shared" ca="1" si="10"/>
        <v/>
      </c>
      <c r="L116" s="79">
        <f t="shared" ca="1" si="11"/>
        <v>8351300</v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3</v>
      </c>
      <c r="D117" s="146" t="str">
        <f t="shared" si="14"/>
        <v>1772902</v>
      </c>
      <c r="E117" s="146" t="str">
        <f t="shared" si="15"/>
        <v>4400964000002</v>
      </c>
      <c r="F117" s="146" t="b">
        <f t="shared" si="16"/>
        <v>1</v>
      </c>
      <c r="G117" s="190">
        <f t="shared" si="17"/>
        <v>43738</v>
      </c>
      <c r="H117" s="146">
        <f>VLOOKUP( $A117, Aop!$A$2:$N$415, 4, 0)</f>
        <v>150</v>
      </c>
      <c r="I117" s="146">
        <f t="shared" si="18"/>
        <v>2019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64633103</v>
      </c>
      <c r="M117" s="79">
        <f t="shared" ca="1" si="12"/>
        <v>69826305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3</v>
      </c>
      <c r="D118" s="146" t="str">
        <f t="shared" si="14"/>
        <v>1772902</v>
      </c>
      <c r="E118" s="146" t="str">
        <f t="shared" si="15"/>
        <v>4400964000002</v>
      </c>
      <c r="F118" s="146" t="b">
        <f t="shared" si="16"/>
        <v>1</v>
      </c>
      <c r="G118" s="190">
        <f t="shared" si="17"/>
        <v>43738</v>
      </c>
      <c r="H118" s="146">
        <f>VLOOKUP( $A118, Aop!$A$2:$N$415, 4, 0)</f>
        <v>151</v>
      </c>
      <c r="I118" s="146">
        <f t="shared" si="18"/>
        <v>2019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2075054</v>
      </c>
      <c r="M118" s="79">
        <f t="shared" ca="1" si="12"/>
        <v>2217775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3</v>
      </c>
      <c r="D119" s="146" t="str">
        <f t="shared" si="14"/>
        <v>1772902</v>
      </c>
      <c r="E119" s="146" t="str">
        <f t="shared" si="15"/>
        <v>4400964000002</v>
      </c>
      <c r="F119" s="146" t="b">
        <f t="shared" si="16"/>
        <v>1</v>
      </c>
      <c r="G119" s="190">
        <f t="shared" si="17"/>
        <v>43738</v>
      </c>
      <c r="H119" s="146">
        <f>VLOOKUP( $A119, Aop!$A$2:$N$415, 4, 0)</f>
        <v>152</v>
      </c>
      <c r="I119" s="146">
        <f t="shared" si="18"/>
        <v>2019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6012909</v>
      </c>
      <c r="M119" s="79">
        <f t="shared" ca="1" si="12"/>
        <v>4280855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3</v>
      </c>
      <c r="D120" s="146" t="str">
        <f t="shared" si="14"/>
        <v>1772902</v>
      </c>
      <c r="E120" s="146" t="str">
        <f t="shared" si="15"/>
        <v>4400964000002</v>
      </c>
      <c r="F120" s="146" t="b">
        <f t="shared" si="16"/>
        <v>1</v>
      </c>
      <c r="G120" s="190">
        <f t="shared" si="17"/>
        <v>43738</v>
      </c>
      <c r="H120" s="146">
        <f>VLOOKUP( $A120, Aop!$A$2:$N$415, 4, 0)</f>
        <v>153</v>
      </c>
      <c r="I120" s="146">
        <f t="shared" si="18"/>
        <v>2019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43856026</v>
      </c>
      <c r="M120" s="79">
        <f t="shared" ca="1" si="12"/>
        <v>54502228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3</v>
      </c>
      <c r="D121" s="146" t="str">
        <f t="shared" si="14"/>
        <v>1772902</v>
      </c>
      <c r="E121" s="146" t="str">
        <f t="shared" si="15"/>
        <v>4400964000002</v>
      </c>
      <c r="F121" s="146" t="b">
        <f t="shared" si="16"/>
        <v>1</v>
      </c>
      <c r="G121" s="190">
        <f t="shared" si="17"/>
        <v>43738</v>
      </c>
      <c r="H121" s="146">
        <f>VLOOKUP( $A121, Aop!$A$2:$N$415, 4, 0)</f>
        <v>154</v>
      </c>
      <c r="I121" s="146">
        <f t="shared" si="18"/>
        <v>2019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12220165</v>
      </c>
      <c r="M121" s="79">
        <f t="shared" ca="1" si="12"/>
        <v>8647295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3</v>
      </c>
      <c r="D122" s="146" t="str">
        <f t="shared" si="14"/>
        <v>1772902</v>
      </c>
      <c r="E122" s="146" t="str">
        <f t="shared" si="15"/>
        <v>4400964000002</v>
      </c>
      <c r="F122" s="146" t="b">
        <f t="shared" si="16"/>
        <v>1</v>
      </c>
      <c r="G122" s="190">
        <f t="shared" si="17"/>
        <v>43738</v>
      </c>
      <c r="H122" s="146">
        <f>VLOOKUP( $A122, Aop!$A$2:$N$415, 4, 0)</f>
        <v>155</v>
      </c>
      <c r="I122" s="146">
        <f t="shared" si="18"/>
        <v>2019</v>
      </c>
      <c r="J122" s="79" t="str">
        <f t="shared" ca="1" si="19"/>
        <v/>
      </c>
      <c r="K122" s="79" t="str">
        <f t="shared" ca="1" si="10"/>
        <v/>
      </c>
      <c r="L122" s="79">
        <f t="shared" ca="1" si="11"/>
        <v>468949</v>
      </c>
      <c r="M122" s="79">
        <f t="shared" ca="1" si="12"/>
        <v>178152</v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3</v>
      </c>
      <c r="D123" s="146" t="str">
        <f t="shared" si="14"/>
        <v>1772902</v>
      </c>
      <c r="E123" s="146" t="str">
        <f t="shared" si="15"/>
        <v>4400964000002</v>
      </c>
      <c r="F123" s="146" t="b">
        <f t="shared" si="16"/>
        <v>1</v>
      </c>
      <c r="G123" s="190">
        <f t="shared" si="17"/>
        <v>43738</v>
      </c>
      <c r="H123" s="146">
        <f>VLOOKUP( $A123, Aop!$A$2:$N$415, 4, 0)</f>
        <v>156</v>
      </c>
      <c r="I123" s="146">
        <f t="shared" si="18"/>
        <v>2019</v>
      </c>
      <c r="J123" s="79" t="str">
        <f t="shared" ca="1" si="19"/>
        <v/>
      </c>
      <c r="K123" s="79" t="str">
        <f t="shared" ca="1" si="10"/>
        <v/>
      </c>
      <c r="L123" s="79">
        <f t="shared" ca="1" si="11"/>
        <v>7902</v>
      </c>
      <c r="M123" s="79">
        <f t="shared" ca="1" si="12"/>
        <v>169307</v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3</v>
      </c>
      <c r="D124" s="146" t="str">
        <f t="shared" si="14"/>
        <v>1772902</v>
      </c>
      <c r="E124" s="146" t="str">
        <f t="shared" si="15"/>
        <v>4400964000002</v>
      </c>
      <c r="F124" s="146" t="b">
        <f t="shared" si="16"/>
        <v>1</v>
      </c>
      <c r="G124" s="190">
        <f t="shared" si="17"/>
        <v>43738</v>
      </c>
      <c r="H124" s="146">
        <f>VLOOKUP( $A124, Aop!$A$2:$N$415, 4, 0)</f>
        <v>157</v>
      </c>
      <c r="I124" s="146">
        <f t="shared" si="18"/>
        <v>2019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6383437</v>
      </c>
      <c r="M124" s="79">
        <f t="shared" ca="1" si="12"/>
        <v>478032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3</v>
      </c>
      <c r="D125" s="146" t="str">
        <f t="shared" si="14"/>
        <v>1772902</v>
      </c>
      <c r="E125" s="146" t="str">
        <f t="shared" si="15"/>
        <v>4400964000002</v>
      </c>
      <c r="F125" s="146" t="b">
        <f t="shared" si="16"/>
        <v>1</v>
      </c>
      <c r="G125" s="190">
        <f t="shared" si="17"/>
        <v>43738</v>
      </c>
      <c r="H125" s="146">
        <f>VLOOKUP( $A125, Aop!$A$2:$N$415, 4, 0)</f>
        <v>158</v>
      </c>
      <c r="I125" s="146">
        <f t="shared" si="18"/>
        <v>2019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6342766</v>
      </c>
      <c r="M125" s="79">
        <f t="shared" ca="1" si="12"/>
        <v>10176053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3</v>
      </c>
      <c r="D126" s="146" t="str">
        <f t="shared" si="14"/>
        <v>1772902</v>
      </c>
      <c r="E126" s="146" t="str">
        <f t="shared" si="15"/>
        <v>4400964000002</v>
      </c>
      <c r="F126" s="146" t="b">
        <f t="shared" si="16"/>
        <v>1</v>
      </c>
      <c r="G126" s="190">
        <f t="shared" si="17"/>
        <v>43738</v>
      </c>
      <c r="H126" s="146">
        <f>VLOOKUP( $A126, Aop!$A$2:$N$415, 4, 0)</f>
        <v>159</v>
      </c>
      <c r="I126" s="146">
        <f t="shared" si="18"/>
        <v>2019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3493222</v>
      </c>
      <c r="M126" s="79">
        <f t="shared" ca="1" si="12"/>
        <v>3433799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3</v>
      </c>
      <c r="D127" s="146" t="str">
        <f t="shared" si="14"/>
        <v>1772902</v>
      </c>
      <c r="E127" s="146" t="str">
        <f t="shared" si="15"/>
        <v>4400964000002</v>
      </c>
      <c r="F127" s="146" t="b">
        <f t="shared" si="16"/>
        <v>1</v>
      </c>
      <c r="G127" s="190">
        <f t="shared" si="17"/>
        <v>43738</v>
      </c>
      <c r="H127" s="146">
        <f>VLOOKUP( $A127, Aop!$A$2:$N$415, 4, 0)</f>
        <v>160</v>
      </c>
      <c r="I127" s="146">
        <f t="shared" si="18"/>
        <v>2019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169275</v>
      </c>
      <c r="M127" s="79">
        <f t="shared" ca="1" si="12"/>
        <v>257798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3</v>
      </c>
      <c r="D128" s="79" t="str">
        <f>Podatak_MB</f>
        <v>1772902</v>
      </c>
      <c r="E128" s="79" t="str">
        <f>Podatak_JIB</f>
        <v>4400964000002</v>
      </c>
      <c r="F128" s="79" t="b">
        <f>Konsolidovan_izvjestaj</f>
        <v>1</v>
      </c>
      <c r="G128" s="190">
        <f>Datum_Broj</f>
        <v>43738</v>
      </c>
      <c r="H128" s="79">
        <f>VLOOKUP( $A128, Aop!$A$2:$N$415, 4, 0)</f>
        <v>161</v>
      </c>
      <c r="I128" s="79">
        <f>Godina</f>
        <v>2019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21698</v>
      </c>
      <c r="M128" s="79">
        <f t="shared" ca="1" si="12"/>
        <v>366094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3</v>
      </c>
      <c r="D129" s="79" t="str">
        <f t="shared" ref="D129:D188" si="20">Podatak_MB</f>
        <v>1772902</v>
      </c>
      <c r="E129" s="79" t="str">
        <f t="shared" ref="E129:E188" si="21">Podatak_JIB</f>
        <v>4400964000002</v>
      </c>
      <c r="F129" s="79" t="b">
        <f t="shared" si="16"/>
        <v>1</v>
      </c>
      <c r="G129" s="190">
        <f t="shared" si="17"/>
        <v>43738</v>
      </c>
      <c r="H129" s="146">
        <f>VLOOKUP( $A129, Aop!$A$2:$N$415, 4, 0)</f>
        <v>162</v>
      </c>
      <c r="I129" s="79">
        <f t="shared" ref="I129:I188" si="22">Godina</f>
        <v>2019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26571021</v>
      </c>
      <c r="M129" s="79">
        <f t="shared" ca="1" si="12"/>
        <v>21713983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3</v>
      </c>
      <c r="D130" s="79" t="str">
        <f t="shared" si="20"/>
        <v>1772902</v>
      </c>
      <c r="E130" s="79" t="str">
        <f t="shared" si="21"/>
        <v>4400964000002</v>
      </c>
      <c r="F130" s="79" t="b">
        <f t="shared" ref="F130:F189" si="24">Konsolidovan_izvjestaj</f>
        <v>1</v>
      </c>
      <c r="G130" s="190">
        <f t="shared" ref="G130:G189" si="25">Datum_Broj</f>
        <v>43738</v>
      </c>
      <c r="H130" s="146">
        <f>VLOOKUP( $A130, Aop!$A$2:$N$415, 4, 0)</f>
        <v>163</v>
      </c>
      <c r="I130" s="79">
        <f t="shared" si="22"/>
        <v>2019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>
        <f t="shared" ref="L130:L193" ca="1" si="27">IF( VLOOKUP( $H130, INDIRECT( "Lookup_" &amp; $B130), IF( LEFT( $B130, 2) = "BS", R$2, R$1), 0) = "", "", VLOOKUP( $H130, INDIRECT( "Lookup_" &amp; $B130), IF( LEFT( $B130, 2) = "BS", R$2, R$1), 0))</f>
        <v>0</v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3</v>
      </c>
      <c r="D131" s="79" t="str">
        <f t="shared" si="20"/>
        <v>1772902</v>
      </c>
      <c r="E131" s="79" t="str">
        <f t="shared" si="21"/>
        <v>4400964000002</v>
      </c>
      <c r="F131" s="79" t="b">
        <f t="shared" si="24"/>
        <v>1</v>
      </c>
      <c r="G131" s="190">
        <f t="shared" si="25"/>
        <v>43738</v>
      </c>
      <c r="H131" s="146">
        <f>VLOOKUP( $A131, Aop!$A$2:$N$415, 4, 0)</f>
        <v>164</v>
      </c>
      <c r="I131" s="79">
        <f t="shared" si="22"/>
        <v>2019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1184971272</v>
      </c>
      <c r="M131" s="79">
        <f t="shared" ca="1" si="28"/>
        <v>973573985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3</v>
      </c>
      <c r="D132" s="79" t="str">
        <f t="shared" si="20"/>
        <v>1772902</v>
      </c>
      <c r="E132" s="79" t="str">
        <f t="shared" si="21"/>
        <v>4400964000002</v>
      </c>
      <c r="F132" s="79" t="b">
        <f t="shared" si="24"/>
        <v>1</v>
      </c>
      <c r="G132" s="190">
        <f t="shared" si="25"/>
        <v>43738</v>
      </c>
      <c r="H132" s="146">
        <f>VLOOKUP( $A132, Aop!$A$2:$N$415, 4, 0)</f>
        <v>165</v>
      </c>
      <c r="I132" s="79">
        <f t="shared" si="22"/>
        <v>2019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392106969</v>
      </c>
      <c r="M132" s="79">
        <f t="shared" ca="1" si="28"/>
        <v>250396558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3</v>
      </c>
      <c r="D133" s="79" t="str">
        <f t="shared" si="20"/>
        <v>1772902</v>
      </c>
      <c r="E133" s="79" t="str">
        <f t="shared" si="21"/>
        <v>4400964000002</v>
      </c>
      <c r="F133" s="79" t="b">
        <f t="shared" si="24"/>
        <v>1</v>
      </c>
      <c r="G133" s="190">
        <f t="shared" si="25"/>
        <v>43738</v>
      </c>
      <c r="H133" s="146">
        <f>VLOOKUP( $A133, Aop!$A$2:$N$415, 4, 0)</f>
        <v>166</v>
      </c>
      <c r="I133" s="79">
        <f t="shared" si="22"/>
        <v>2019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1577078241</v>
      </c>
      <c r="M133" s="79">
        <f t="shared" ca="1" si="28"/>
        <v>1223970543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3</v>
      </c>
      <c r="D134" s="79" t="str">
        <f t="shared" si="20"/>
        <v>1772902</v>
      </c>
      <c r="E134" s="79" t="str">
        <f t="shared" si="21"/>
        <v>4400964000002</v>
      </c>
      <c r="F134" s="79" t="b">
        <f t="shared" si="24"/>
        <v>1</v>
      </c>
      <c r="G134" s="190">
        <f t="shared" si="25"/>
        <v>43738</v>
      </c>
      <c r="H134" s="146">
        <f>VLOOKUP( $A134, Aop!$A$2:$N$415, 4, 0)</f>
        <v>201</v>
      </c>
      <c r="I134" s="79">
        <f t="shared" si="22"/>
        <v>2019</v>
      </c>
      <c r="J134" s="79"/>
      <c r="K134" s="79"/>
      <c r="L134" s="79">
        <f t="shared" ca="1" si="27"/>
        <v>350403321</v>
      </c>
      <c r="M134" s="79">
        <f t="shared" ca="1" si="28"/>
        <v>327768045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3</v>
      </c>
      <c r="D135" s="79" t="str">
        <f t="shared" si="20"/>
        <v>1772902</v>
      </c>
      <c r="E135" s="79" t="str">
        <f t="shared" si="21"/>
        <v>4400964000002</v>
      </c>
      <c r="F135" s="79" t="b">
        <f t="shared" si="24"/>
        <v>1</v>
      </c>
      <c r="G135" s="190">
        <f t="shared" si="25"/>
        <v>43738</v>
      </c>
      <c r="H135" s="146">
        <f>VLOOKUP( $A135, Aop!$A$2:$N$415, 4, 0)</f>
        <v>202</v>
      </c>
      <c r="I135" s="79">
        <f t="shared" si="22"/>
        <v>2019</v>
      </c>
      <c r="J135" s="79"/>
      <c r="K135" s="79"/>
      <c r="L135" s="79">
        <f t="shared" ca="1" si="27"/>
        <v>1999279</v>
      </c>
      <c r="M135" s="79">
        <f t="shared" ca="1" si="28"/>
        <v>1627337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3</v>
      </c>
      <c r="D136" s="79" t="str">
        <f t="shared" si="20"/>
        <v>1772902</v>
      </c>
      <c r="E136" s="79" t="str">
        <f t="shared" si="21"/>
        <v>4400964000002</v>
      </c>
      <c r="F136" s="79" t="b">
        <f t="shared" si="24"/>
        <v>1</v>
      </c>
      <c r="G136" s="190">
        <f t="shared" si="25"/>
        <v>43738</v>
      </c>
      <c r="H136" s="146">
        <f>VLOOKUP( $A136, Aop!$A$2:$N$415, 4, 0)</f>
        <v>203</v>
      </c>
      <c r="I136" s="79">
        <f t="shared" si="22"/>
        <v>2019</v>
      </c>
      <c r="J136" s="79"/>
      <c r="K136" s="79"/>
      <c r="L136" s="79">
        <f t="shared" ca="1" si="27"/>
        <v>1198812</v>
      </c>
      <c r="M136" s="79">
        <f t="shared" ca="1" si="28"/>
        <v>917887</v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3</v>
      </c>
      <c r="D137" s="79" t="str">
        <f t="shared" si="20"/>
        <v>1772902</v>
      </c>
      <c r="E137" s="79" t="str">
        <f t="shared" si="21"/>
        <v>4400964000002</v>
      </c>
      <c r="F137" s="79" t="b">
        <f t="shared" si="24"/>
        <v>1</v>
      </c>
      <c r="G137" s="190">
        <f t="shared" si="25"/>
        <v>43738</v>
      </c>
      <c r="H137" s="146">
        <f>VLOOKUP( $A137, Aop!$A$2:$N$415, 4, 0)</f>
        <v>204</v>
      </c>
      <c r="I137" s="79">
        <f t="shared" si="22"/>
        <v>2019</v>
      </c>
      <c r="J137" s="79"/>
      <c r="K137" s="79"/>
      <c r="L137" s="79">
        <f t="shared" ca="1" si="27"/>
        <v>800467</v>
      </c>
      <c r="M137" s="79">
        <f t="shared" ca="1" si="28"/>
        <v>709450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3</v>
      </c>
      <c r="D138" s="79" t="str">
        <f t="shared" si="20"/>
        <v>1772902</v>
      </c>
      <c r="E138" s="79" t="str">
        <f t="shared" si="21"/>
        <v>4400964000002</v>
      </c>
      <c r="F138" s="79" t="b">
        <f t="shared" si="24"/>
        <v>1</v>
      </c>
      <c r="G138" s="190">
        <f t="shared" si="25"/>
        <v>43738</v>
      </c>
      <c r="H138" s="146">
        <f>VLOOKUP( $A138, Aop!$A$2:$N$415, 4, 0)</f>
        <v>205</v>
      </c>
      <c r="I138" s="79">
        <f t="shared" si="22"/>
        <v>2019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3</v>
      </c>
      <c r="D139" s="79" t="str">
        <f t="shared" si="20"/>
        <v>1772902</v>
      </c>
      <c r="E139" s="79" t="str">
        <f t="shared" si="21"/>
        <v>4400964000002</v>
      </c>
      <c r="F139" s="79" t="b">
        <f t="shared" si="24"/>
        <v>1</v>
      </c>
      <c r="G139" s="190">
        <f t="shared" si="25"/>
        <v>43738</v>
      </c>
      <c r="H139" s="146">
        <f>VLOOKUP( $A139, Aop!$A$2:$N$415, 4, 0)</f>
        <v>206</v>
      </c>
      <c r="I139" s="79">
        <f t="shared" si="22"/>
        <v>2019</v>
      </c>
      <c r="J139" s="79"/>
      <c r="K139" s="79"/>
      <c r="L139" s="79">
        <f t="shared" ca="1" si="27"/>
        <v>344927658</v>
      </c>
      <c r="M139" s="79">
        <f t="shared" ca="1" si="28"/>
        <v>323377842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3</v>
      </c>
      <c r="D140" s="79" t="str">
        <f t="shared" si="20"/>
        <v>1772902</v>
      </c>
      <c r="E140" s="79" t="str">
        <f t="shared" si="21"/>
        <v>4400964000002</v>
      </c>
      <c r="F140" s="79" t="b">
        <f t="shared" si="24"/>
        <v>1</v>
      </c>
      <c r="G140" s="190">
        <f t="shared" si="25"/>
        <v>43738</v>
      </c>
      <c r="H140" s="146">
        <f>VLOOKUP( $A140, Aop!$A$2:$N$415, 4, 0)</f>
        <v>207</v>
      </c>
      <c r="I140" s="79">
        <f t="shared" si="22"/>
        <v>2019</v>
      </c>
      <c r="J140" s="79"/>
      <c r="K140" s="79"/>
      <c r="L140" s="79">
        <f t="shared" ca="1" si="27"/>
        <v>23802656</v>
      </c>
      <c r="M140" s="79">
        <f t="shared" ca="1" si="28"/>
        <v>19526617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3</v>
      </c>
      <c r="D141" s="79" t="str">
        <f t="shared" si="20"/>
        <v>1772902</v>
      </c>
      <c r="E141" s="79" t="str">
        <f t="shared" si="21"/>
        <v>4400964000002</v>
      </c>
      <c r="F141" s="79" t="b">
        <f t="shared" si="24"/>
        <v>1</v>
      </c>
      <c r="G141" s="190">
        <f t="shared" si="25"/>
        <v>43738</v>
      </c>
      <c r="H141" s="146">
        <f>VLOOKUP( $A141, Aop!$A$2:$N$415, 4, 0)</f>
        <v>208</v>
      </c>
      <c r="I141" s="79">
        <f t="shared" si="22"/>
        <v>2019</v>
      </c>
      <c r="J141" s="79"/>
      <c r="K141" s="79"/>
      <c r="L141" s="79">
        <f t="shared" ca="1" si="27"/>
        <v>309616561</v>
      </c>
      <c r="M141" s="79">
        <f t="shared" ca="1" si="28"/>
        <v>295946205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3</v>
      </c>
      <c r="D142" s="79" t="str">
        <f t="shared" si="20"/>
        <v>1772902</v>
      </c>
      <c r="E142" s="79" t="str">
        <f t="shared" si="21"/>
        <v>4400964000002</v>
      </c>
      <c r="F142" s="79" t="b">
        <f t="shared" si="24"/>
        <v>1</v>
      </c>
      <c r="G142" s="190">
        <f t="shared" si="25"/>
        <v>43738</v>
      </c>
      <c r="H142" s="146">
        <f>VLOOKUP( $A142, Aop!$A$2:$N$415, 4, 0)</f>
        <v>209</v>
      </c>
      <c r="I142" s="79">
        <f t="shared" si="22"/>
        <v>2019</v>
      </c>
      <c r="J142" s="79"/>
      <c r="K142" s="79"/>
      <c r="L142" s="79">
        <f t="shared" ca="1" si="27"/>
        <v>11508441</v>
      </c>
      <c r="M142" s="79">
        <f t="shared" ca="1" si="28"/>
        <v>7905020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3</v>
      </c>
      <c r="D143" s="79" t="str">
        <f t="shared" si="20"/>
        <v>1772902</v>
      </c>
      <c r="E143" s="79" t="str">
        <f t="shared" si="21"/>
        <v>4400964000002</v>
      </c>
      <c r="F143" s="79" t="b">
        <f t="shared" si="24"/>
        <v>1</v>
      </c>
      <c r="G143" s="190">
        <f t="shared" si="25"/>
        <v>43738</v>
      </c>
      <c r="H143" s="146">
        <f>VLOOKUP( $A143, Aop!$A$2:$N$415, 4, 0)</f>
        <v>210</v>
      </c>
      <c r="I143" s="79">
        <f t="shared" si="22"/>
        <v>2019</v>
      </c>
      <c r="J143" s="79"/>
      <c r="K143" s="79"/>
      <c r="L143" s="79">
        <f t="shared" ca="1" si="27"/>
        <v>226493</v>
      </c>
      <c r="M143" s="79">
        <f t="shared" ca="1" si="28"/>
        <v>2515</v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3</v>
      </c>
      <c r="D144" s="79" t="str">
        <f t="shared" si="20"/>
        <v>1772902</v>
      </c>
      <c r="E144" s="79" t="str">
        <f t="shared" si="21"/>
        <v>4400964000002</v>
      </c>
      <c r="F144" s="79" t="b">
        <f t="shared" si="24"/>
        <v>1</v>
      </c>
      <c r="G144" s="190">
        <f t="shared" si="25"/>
        <v>43738</v>
      </c>
      <c r="H144" s="146">
        <f>VLOOKUP( $A144, Aop!$A$2:$N$415, 4, 0)</f>
        <v>211</v>
      </c>
      <c r="I144" s="79">
        <f t="shared" si="22"/>
        <v>2019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3</v>
      </c>
      <c r="D145" s="79" t="str">
        <f t="shared" si="20"/>
        <v>1772902</v>
      </c>
      <c r="E145" s="79" t="str">
        <f t="shared" si="21"/>
        <v>4400964000002</v>
      </c>
      <c r="F145" s="79" t="b">
        <f t="shared" si="24"/>
        <v>1</v>
      </c>
      <c r="G145" s="190">
        <f t="shared" si="25"/>
        <v>43738</v>
      </c>
      <c r="H145" s="146">
        <f>VLOOKUP( $A145, Aop!$A$2:$N$415, 4, 0)</f>
        <v>212</v>
      </c>
      <c r="I145" s="79">
        <f t="shared" si="22"/>
        <v>2019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3</v>
      </c>
      <c r="D146" s="79" t="str">
        <f t="shared" si="20"/>
        <v>1772902</v>
      </c>
      <c r="E146" s="79" t="str">
        <f t="shared" si="21"/>
        <v>4400964000002</v>
      </c>
      <c r="F146" s="79" t="b">
        <f t="shared" si="24"/>
        <v>1</v>
      </c>
      <c r="G146" s="190">
        <f t="shared" si="25"/>
        <v>43738</v>
      </c>
      <c r="H146" s="146">
        <f>VLOOKUP( $A146, Aop!$A$2:$N$415, 4, 0)</f>
        <v>213</v>
      </c>
      <c r="I146" s="79">
        <f t="shared" si="22"/>
        <v>2019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3</v>
      </c>
      <c r="D147" s="79" t="str">
        <f t="shared" si="20"/>
        <v>1772902</v>
      </c>
      <c r="E147" s="79" t="str">
        <f t="shared" si="21"/>
        <v>4400964000002</v>
      </c>
      <c r="F147" s="79" t="b">
        <f t="shared" si="24"/>
        <v>1</v>
      </c>
      <c r="G147" s="190">
        <f t="shared" si="25"/>
        <v>43738</v>
      </c>
      <c r="H147" s="146">
        <f>VLOOKUP( $A147, Aop!$A$2:$N$415, 4, 0)</f>
        <v>214</v>
      </c>
      <c r="I147" s="79">
        <f t="shared" si="22"/>
        <v>2019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3</v>
      </c>
      <c r="D148" s="79" t="str">
        <f t="shared" si="20"/>
        <v>1772902</v>
      </c>
      <c r="E148" s="79" t="str">
        <f t="shared" si="21"/>
        <v>4400964000002</v>
      </c>
      <c r="F148" s="79" t="b">
        <f t="shared" si="24"/>
        <v>1</v>
      </c>
      <c r="G148" s="190">
        <f t="shared" si="25"/>
        <v>43738</v>
      </c>
      <c r="H148" s="146">
        <f>VLOOKUP( $A148, Aop!$A$2:$N$415, 4, 0)</f>
        <v>215</v>
      </c>
      <c r="I148" s="79">
        <f t="shared" si="22"/>
        <v>2019</v>
      </c>
      <c r="J148" s="79"/>
      <c r="K148" s="79"/>
      <c r="L148" s="79">
        <f t="shared" ca="1" si="27"/>
        <v>3249891</v>
      </c>
      <c r="M148" s="79">
        <f t="shared" ca="1" si="28"/>
        <v>2760351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3</v>
      </c>
      <c r="D149" s="79" t="str">
        <f t="shared" si="20"/>
        <v>1772902</v>
      </c>
      <c r="E149" s="79" t="str">
        <f t="shared" si="21"/>
        <v>4400964000002</v>
      </c>
      <c r="F149" s="79" t="b">
        <f t="shared" si="24"/>
        <v>1</v>
      </c>
      <c r="G149" s="190">
        <f t="shared" si="25"/>
        <v>43738</v>
      </c>
      <c r="H149" s="146">
        <f>VLOOKUP( $A149, Aop!$A$2:$N$415, 4, 0)</f>
        <v>216</v>
      </c>
      <c r="I149" s="79">
        <f t="shared" si="22"/>
        <v>2019</v>
      </c>
      <c r="J149" s="79"/>
      <c r="K149" s="79"/>
      <c r="L149" s="79">
        <f t="shared" ca="1" si="27"/>
        <v>310888664</v>
      </c>
      <c r="M149" s="79">
        <f t="shared" ca="1" si="28"/>
        <v>286303096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3</v>
      </c>
      <c r="D150" s="79" t="str">
        <f t="shared" si="20"/>
        <v>1772902</v>
      </c>
      <c r="E150" s="79" t="str">
        <f t="shared" si="21"/>
        <v>4400964000002</v>
      </c>
      <c r="F150" s="79" t="b">
        <f t="shared" si="24"/>
        <v>1</v>
      </c>
      <c r="G150" s="190">
        <f t="shared" si="25"/>
        <v>43738</v>
      </c>
      <c r="H150" s="146">
        <f>VLOOKUP( $A150, Aop!$A$2:$N$415, 4, 0)</f>
        <v>217</v>
      </c>
      <c r="I150" s="79">
        <f t="shared" si="22"/>
        <v>2019</v>
      </c>
      <c r="J150" s="79"/>
      <c r="K150" s="79"/>
      <c r="L150" s="79">
        <f t="shared" ca="1" si="27"/>
        <v>3766307</v>
      </c>
      <c r="M150" s="79">
        <f t="shared" ca="1" si="28"/>
        <v>2613400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3</v>
      </c>
      <c r="D151" s="79" t="str">
        <f t="shared" si="20"/>
        <v>1772902</v>
      </c>
      <c r="E151" s="79" t="str">
        <f t="shared" si="21"/>
        <v>4400964000002</v>
      </c>
      <c r="F151" s="79" t="b">
        <f t="shared" si="24"/>
        <v>1</v>
      </c>
      <c r="G151" s="190">
        <f t="shared" si="25"/>
        <v>43738</v>
      </c>
      <c r="H151" s="146">
        <f>VLOOKUP( $A151, Aop!$A$2:$N$415, 4, 0)</f>
        <v>218</v>
      </c>
      <c r="I151" s="79">
        <f t="shared" si="22"/>
        <v>2019</v>
      </c>
      <c r="J151" s="79"/>
      <c r="K151" s="79"/>
      <c r="L151" s="79">
        <f t="shared" ca="1" si="27"/>
        <v>45057758</v>
      </c>
      <c r="M151" s="79">
        <f t="shared" ca="1" si="28"/>
        <v>45555355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3</v>
      </c>
      <c r="D152" s="79" t="str">
        <f t="shared" si="20"/>
        <v>1772902</v>
      </c>
      <c r="E152" s="79" t="str">
        <f t="shared" si="21"/>
        <v>4400964000002</v>
      </c>
      <c r="F152" s="79" t="b">
        <f t="shared" si="24"/>
        <v>1</v>
      </c>
      <c r="G152" s="190">
        <f t="shared" si="25"/>
        <v>43738</v>
      </c>
      <c r="H152" s="146">
        <f>VLOOKUP( $A152, Aop!$A$2:$N$415, 4, 0)</f>
        <v>219</v>
      </c>
      <c r="I152" s="79">
        <f t="shared" si="22"/>
        <v>2019</v>
      </c>
      <c r="J152" s="79"/>
      <c r="K152" s="79"/>
      <c r="L152" s="79">
        <f t="shared" ca="1" si="27"/>
        <v>62968315</v>
      </c>
      <c r="M152" s="79">
        <f t="shared" ca="1" si="28"/>
        <v>59636196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3</v>
      </c>
      <c r="D153" s="79" t="str">
        <f t="shared" si="20"/>
        <v>1772902</v>
      </c>
      <c r="E153" s="79" t="str">
        <f t="shared" si="21"/>
        <v>4400964000002</v>
      </c>
      <c r="F153" s="79" t="b">
        <f t="shared" si="24"/>
        <v>1</v>
      </c>
      <c r="G153" s="190">
        <f t="shared" si="25"/>
        <v>43738</v>
      </c>
      <c r="H153" s="146">
        <f>VLOOKUP( $A153, Aop!$A$2:$N$415, 4, 0)</f>
        <v>220</v>
      </c>
      <c r="I153" s="79">
        <f t="shared" si="22"/>
        <v>2019</v>
      </c>
      <c r="J153" s="79"/>
      <c r="K153" s="79"/>
      <c r="L153" s="79">
        <f t="shared" ca="1" si="27"/>
        <v>55794184</v>
      </c>
      <c r="M153" s="79">
        <f t="shared" ca="1" si="28"/>
        <v>52960519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3</v>
      </c>
      <c r="D154" s="79" t="str">
        <f t="shared" si="20"/>
        <v>1772902</v>
      </c>
      <c r="E154" s="79" t="str">
        <f t="shared" si="21"/>
        <v>4400964000002</v>
      </c>
      <c r="F154" s="79" t="b">
        <f t="shared" si="24"/>
        <v>1</v>
      </c>
      <c r="G154" s="190">
        <f t="shared" si="25"/>
        <v>43738</v>
      </c>
      <c r="H154" s="146">
        <f>VLOOKUP( $A154, Aop!$A$2:$N$415, 4, 0)</f>
        <v>221</v>
      </c>
      <c r="I154" s="79">
        <f t="shared" si="22"/>
        <v>2019</v>
      </c>
      <c r="J154" s="79"/>
      <c r="K154" s="79"/>
      <c r="L154" s="79">
        <f t="shared" ca="1" si="27"/>
        <v>7174131</v>
      </c>
      <c r="M154" s="79">
        <f t="shared" ca="1" si="28"/>
        <v>6675677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3</v>
      </c>
      <c r="D155" s="79" t="str">
        <f t="shared" si="20"/>
        <v>1772902</v>
      </c>
      <c r="E155" s="79" t="str">
        <f t="shared" si="21"/>
        <v>4400964000002</v>
      </c>
      <c r="F155" s="79" t="b">
        <f t="shared" si="24"/>
        <v>1</v>
      </c>
      <c r="G155" s="190">
        <f t="shared" si="25"/>
        <v>43738</v>
      </c>
      <c r="H155" s="146">
        <f>VLOOKUP( $A155, Aop!$A$2:$N$415, 4, 0)</f>
        <v>222</v>
      </c>
      <c r="I155" s="79">
        <f t="shared" si="22"/>
        <v>2019</v>
      </c>
      <c r="J155" s="79"/>
      <c r="K155" s="79"/>
      <c r="L155" s="79">
        <f t="shared" ca="1" si="27"/>
        <v>87053056</v>
      </c>
      <c r="M155" s="79">
        <f t="shared" ca="1" si="28"/>
        <v>86117514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3</v>
      </c>
      <c r="D156" s="79" t="str">
        <f t="shared" si="20"/>
        <v>1772902</v>
      </c>
      <c r="E156" s="79" t="str">
        <f t="shared" si="21"/>
        <v>4400964000002</v>
      </c>
      <c r="F156" s="79" t="b">
        <f t="shared" si="24"/>
        <v>1</v>
      </c>
      <c r="G156" s="190">
        <f t="shared" si="25"/>
        <v>43738</v>
      </c>
      <c r="H156" s="146">
        <f>VLOOKUP( $A156, Aop!$A$2:$N$415, 4, 0)</f>
        <v>223</v>
      </c>
      <c r="I156" s="79">
        <f t="shared" si="22"/>
        <v>2019</v>
      </c>
      <c r="J156" s="79"/>
      <c r="K156" s="79"/>
      <c r="L156" s="79">
        <f t="shared" ca="1" si="27"/>
        <v>93772666</v>
      </c>
      <c r="M156" s="79">
        <f t="shared" ca="1" si="28"/>
        <v>76649427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3</v>
      </c>
      <c r="D157" s="79" t="str">
        <f>Podatak_MB</f>
        <v>1772902</v>
      </c>
      <c r="E157" s="79" t="str">
        <f>Podatak_JIB</f>
        <v>4400964000002</v>
      </c>
      <c r="F157" s="79" t="b">
        <f>Konsolidovan_izvjestaj</f>
        <v>1</v>
      </c>
      <c r="G157" s="190">
        <f>Datum_Broj</f>
        <v>43738</v>
      </c>
      <c r="H157" s="79">
        <f>VLOOKUP( $A157, Aop!$A$2:$N$415, 4, 0)</f>
        <v>224</v>
      </c>
      <c r="I157" s="79">
        <f>Godina</f>
        <v>2019</v>
      </c>
      <c r="J157" s="79"/>
      <c r="K157" s="79"/>
      <c r="L157" s="79">
        <f t="shared" ca="1" si="27"/>
        <v>93772666</v>
      </c>
      <c r="M157" s="79">
        <f t="shared" ca="1" si="28"/>
        <v>76559463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3</v>
      </c>
      <c r="D158" s="79" t="str">
        <f t="shared" si="20"/>
        <v>1772902</v>
      </c>
      <c r="E158" s="79" t="str">
        <f t="shared" si="21"/>
        <v>4400964000002</v>
      </c>
      <c r="F158" s="79" t="b">
        <f t="shared" si="24"/>
        <v>1</v>
      </c>
      <c r="G158" s="190">
        <f t="shared" si="25"/>
        <v>43738</v>
      </c>
      <c r="H158" s="146">
        <f>VLOOKUP( $A158, Aop!$A$2:$N$415, 4, 0)</f>
        <v>225</v>
      </c>
      <c r="I158" s="79">
        <f t="shared" si="22"/>
        <v>2019</v>
      </c>
      <c r="J158" s="79"/>
      <c r="K158" s="79"/>
      <c r="L158" s="79" t="str">
        <f t="shared" ca="1" si="27"/>
        <v/>
      </c>
      <c r="M158" s="79">
        <f t="shared" ca="1" si="28"/>
        <v>89964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3</v>
      </c>
      <c r="D159" s="79" t="str">
        <f t="shared" si="20"/>
        <v>1772902</v>
      </c>
      <c r="E159" s="79" t="str">
        <f t="shared" si="21"/>
        <v>4400964000002</v>
      </c>
      <c r="F159" s="79" t="b">
        <f t="shared" si="24"/>
        <v>1</v>
      </c>
      <c r="G159" s="190">
        <f t="shared" si="25"/>
        <v>43738</v>
      </c>
      <c r="H159" s="146">
        <f>VLOOKUP( $A159, Aop!$A$2:$N$415, 4, 0)</f>
        <v>226</v>
      </c>
      <c r="I159" s="79">
        <f t="shared" si="22"/>
        <v>2019</v>
      </c>
      <c r="J159" s="79"/>
      <c r="K159" s="79"/>
      <c r="L159" s="79">
        <f t="shared" ca="1" si="27"/>
        <v>15228076</v>
      </c>
      <c r="M159" s="79">
        <f t="shared" ca="1" si="28"/>
        <v>12737601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3</v>
      </c>
      <c r="D160" s="79" t="str">
        <f t="shared" si="20"/>
        <v>1772902</v>
      </c>
      <c r="E160" s="79" t="str">
        <f t="shared" si="21"/>
        <v>4400964000002</v>
      </c>
      <c r="F160" s="79" t="b">
        <f t="shared" si="24"/>
        <v>1</v>
      </c>
      <c r="G160" s="190">
        <f t="shared" si="25"/>
        <v>43738</v>
      </c>
      <c r="H160" s="146">
        <f>VLOOKUP( $A160, Aop!$A$2:$N$415, 4, 0)</f>
        <v>227</v>
      </c>
      <c r="I160" s="79">
        <f t="shared" si="22"/>
        <v>2019</v>
      </c>
      <c r="J160" s="79"/>
      <c r="K160" s="79"/>
      <c r="L160" s="79">
        <f t="shared" ca="1" si="27"/>
        <v>2981897</v>
      </c>
      <c r="M160" s="79">
        <f t="shared" ca="1" si="28"/>
        <v>2931437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3</v>
      </c>
      <c r="D161" s="79" t="str">
        <f t="shared" si="20"/>
        <v>1772902</v>
      </c>
      <c r="E161" s="79" t="str">
        <f t="shared" si="21"/>
        <v>4400964000002</v>
      </c>
      <c r="F161" s="79" t="b">
        <f t="shared" si="24"/>
        <v>1</v>
      </c>
      <c r="G161" s="190">
        <f t="shared" si="25"/>
        <v>43738</v>
      </c>
      <c r="H161" s="146">
        <f>VLOOKUP( $A161, Aop!$A$2:$N$415, 4, 0)</f>
        <v>228</v>
      </c>
      <c r="I161" s="79">
        <f t="shared" si="22"/>
        <v>2019</v>
      </c>
      <c r="J161" s="79"/>
      <c r="K161" s="79"/>
      <c r="L161" s="79">
        <f t="shared" ca="1" si="27"/>
        <v>60589</v>
      </c>
      <c r="M161" s="79">
        <f t="shared" ca="1" si="28"/>
        <v>62166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3</v>
      </c>
      <c r="D162" s="79" t="str">
        <f t="shared" si="20"/>
        <v>1772902</v>
      </c>
      <c r="E162" s="79" t="str">
        <f t="shared" si="21"/>
        <v>4400964000002</v>
      </c>
      <c r="F162" s="79" t="b">
        <f t="shared" si="24"/>
        <v>1</v>
      </c>
      <c r="G162" s="190">
        <f t="shared" si="25"/>
        <v>43738</v>
      </c>
      <c r="H162" s="146">
        <f>VLOOKUP( $A162, Aop!$A$2:$N$415, 4, 0)</f>
        <v>229</v>
      </c>
      <c r="I162" s="79">
        <f t="shared" si="22"/>
        <v>2019</v>
      </c>
      <c r="J162" s="79"/>
      <c r="K162" s="79"/>
      <c r="L162" s="79">
        <f t="shared" ca="1" si="27"/>
        <v>39514657</v>
      </c>
      <c r="M162" s="79">
        <f t="shared" ca="1" si="28"/>
        <v>41464949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3</v>
      </c>
      <c r="D163" s="79" t="str">
        <f t="shared" si="20"/>
        <v>1772902</v>
      </c>
      <c r="E163" s="79" t="str">
        <f t="shared" si="21"/>
        <v>4400964000002</v>
      </c>
      <c r="F163" s="79" t="b">
        <f t="shared" si="24"/>
        <v>1</v>
      </c>
      <c r="G163" s="190">
        <f t="shared" si="25"/>
        <v>43738</v>
      </c>
      <c r="H163" s="146">
        <f>VLOOKUP( $A163, Aop!$A$2:$N$415, 4, 0)</f>
        <v>230</v>
      </c>
      <c r="I163" s="79">
        <f t="shared" si="22"/>
        <v>2019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3</v>
      </c>
      <c r="D164" s="79" t="str">
        <f t="shared" si="20"/>
        <v>1772902</v>
      </c>
      <c r="E164" s="79" t="str">
        <f t="shared" si="21"/>
        <v>4400964000002</v>
      </c>
      <c r="F164" s="79" t="b">
        <f t="shared" si="24"/>
        <v>1</v>
      </c>
      <c r="G164" s="190">
        <f t="shared" si="25"/>
        <v>43738</v>
      </c>
      <c r="H164" s="146">
        <f>VLOOKUP( $A164, Aop!$A$2:$N$415, 4, 0)</f>
        <v>231</v>
      </c>
      <c r="I164" s="79">
        <f t="shared" si="22"/>
        <v>2019</v>
      </c>
      <c r="J164" s="79"/>
      <c r="K164" s="79"/>
      <c r="L164" s="79">
        <f t="shared" ca="1" si="27"/>
        <v>849507</v>
      </c>
      <c r="M164" s="79">
        <f t="shared" ca="1" si="28"/>
        <v>1609600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3</v>
      </c>
      <c r="D165" s="79" t="str">
        <f t="shared" si="20"/>
        <v>1772902</v>
      </c>
      <c r="E165" s="79" t="str">
        <f t="shared" si="21"/>
        <v>4400964000002</v>
      </c>
      <c r="F165" s="79" t="b">
        <f t="shared" si="24"/>
        <v>1</v>
      </c>
      <c r="G165" s="190">
        <f t="shared" si="25"/>
        <v>43738</v>
      </c>
      <c r="H165" s="146">
        <f>VLOOKUP( $A165, Aop!$A$2:$N$415, 4, 0)</f>
        <v>232</v>
      </c>
      <c r="I165" s="79">
        <f t="shared" si="22"/>
        <v>2019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3</v>
      </c>
      <c r="D166" s="79" t="str">
        <f t="shared" si="20"/>
        <v>1772902</v>
      </c>
      <c r="E166" s="79" t="str">
        <f t="shared" si="21"/>
        <v>4400964000002</v>
      </c>
      <c r="F166" s="79" t="b">
        <f t="shared" si="24"/>
        <v>1</v>
      </c>
      <c r="G166" s="190">
        <f t="shared" si="25"/>
        <v>43738</v>
      </c>
      <c r="H166" s="146">
        <f>VLOOKUP( $A166, Aop!$A$2:$N$415, 4, 0)</f>
        <v>233</v>
      </c>
      <c r="I166" s="79">
        <f t="shared" si="22"/>
        <v>2019</v>
      </c>
      <c r="J166" s="79"/>
      <c r="K166" s="79"/>
      <c r="L166" s="79">
        <f t="shared" ca="1" si="27"/>
        <v>730478</v>
      </c>
      <c r="M166" s="79">
        <f t="shared" ca="1" si="28"/>
        <v>1212204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3</v>
      </c>
      <c r="D167" s="79" t="str">
        <f t="shared" si="20"/>
        <v>1772902</v>
      </c>
      <c r="E167" s="79" t="str">
        <f t="shared" si="21"/>
        <v>4400964000002</v>
      </c>
      <c r="F167" s="79" t="b">
        <f t="shared" si="24"/>
        <v>1</v>
      </c>
      <c r="G167" s="190">
        <f t="shared" si="25"/>
        <v>43738</v>
      </c>
      <c r="H167" s="146">
        <f>VLOOKUP( $A167, Aop!$A$2:$N$415, 4, 0)</f>
        <v>234</v>
      </c>
      <c r="I167" s="79">
        <f t="shared" si="22"/>
        <v>2019</v>
      </c>
      <c r="J167" s="79"/>
      <c r="K167" s="79"/>
      <c r="L167" s="79">
        <f t="shared" ca="1" si="27"/>
        <v>117577</v>
      </c>
      <c r="M167" s="79">
        <f t="shared" ca="1" si="28"/>
        <v>227416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3</v>
      </c>
      <c r="D168" s="79" t="str">
        <f t="shared" si="20"/>
        <v>1772902</v>
      </c>
      <c r="E168" s="79" t="str">
        <f t="shared" si="21"/>
        <v>4400964000002</v>
      </c>
      <c r="F168" s="79" t="b">
        <f t="shared" si="24"/>
        <v>1</v>
      </c>
      <c r="G168" s="190">
        <f t="shared" si="25"/>
        <v>43738</v>
      </c>
      <c r="H168" s="146">
        <f>VLOOKUP( $A168, Aop!$A$2:$N$415, 4, 0)</f>
        <v>235</v>
      </c>
      <c r="I168" s="79">
        <f t="shared" si="22"/>
        <v>2019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3</v>
      </c>
      <c r="D169" s="79" t="str">
        <f t="shared" si="20"/>
        <v>1772902</v>
      </c>
      <c r="E169" s="79" t="str">
        <f t="shared" si="21"/>
        <v>4400964000002</v>
      </c>
      <c r="F169" s="79" t="b">
        <f t="shared" si="24"/>
        <v>1</v>
      </c>
      <c r="G169" s="190">
        <f t="shared" si="25"/>
        <v>43738</v>
      </c>
      <c r="H169" s="146">
        <f>VLOOKUP( $A169, Aop!$A$2:$N$415, 4, 0)</f>
        <v>236</v>
      </c>
      <c r="I169" s="79">
        <f t="shared" si="22"/>
        <v>2019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3</v>
      </c>
      <c r="D170" s="79" t="str">
        <f t="shared" si="20"/>
        <v>1772902</v>
      </c>
      <c r="E170" s="79" t="str">
        <f t="shared" si="21"/>
        <v>4400964000002</v>
      </c>
      <c r="F170" s="79" t="b">
        <f t="shared" si="24"/>
        <v>1</v>
      </c>
      <c r="G170" s="190">
        <f t="shared" si="25"/>
        <v>43738</v>
      </c>
      <c r="H170" s="146">
        <f>VLOOKUP( $A170, Aop!$A$2:$N$415, 4, 0)</f>
        <v>237</v>
      </c>
      <c r="I170" s="79">
        <f t="shared" si="22"/>
        <v>2019</v>
      </c>
      <c r="J170" s="79"/>
      <c r="K170" s="79"/>
      <c r="L170" s="79">
        <f t="shared" ca="1" si="27"/>
        <v>1452</v>
      </c>
      <c r="M170" s="79">
        <f t="shared" ca="1" si="28"/>
        <v>169980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3</v>
      </c>
      <c r="D171" s="79" t="str">
        <f>Podatak_MB</f>
        <v>1772902</v>
      </c>
      <c r="E171" s="79" t="str">
        <f>Podatak_JIB</f>
        <v>4400964000002</v>
      </c>
      <c r="F171" s="79" t="b">
        <f>Konsolidovan_izvjestaj</f>
        <v>1</v>
      </c>
      <c r="G171" s="190">
        <f>Datum_Broj</f>
        <v>43738</v>
      </c>
      <c r="H171" s="79">
        <f>VLOOKUP( $A171, Aop!$A$2:$N$415, 4, 0)</f>
        <v>238</v>
      </c>
      <c r="I171" s="79">
        <f>Godina</f>
        <v>2019</v>
      </c>
      <c r="J171" s="79"/>
      <c r="K171" s="79"/>
      <c r="L171" s="79">
        <f t="shared" ca="1" si="27"/>
        <v>5179711</v>
      </c>
      <c r="M171" s="79">
        <f t="shared" ca="1" si="28"/>
        <v>1020859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3</v>
      </c>
      <c r="D172" s="79" t="str">
        <f t="shared" si="20"/>
        <v>1772902</v>
      </c>
      <c r="E172" s="79" t="str">
        <f t="shared" si="21"/>
        <v>4400964000002</v>
      </c>
      <c r="F172" s="79" t="b">
        <f t="shared" si="24"/>
        <v>1</v>
      </c>
      <c r="G172" s="190">
        <f t="shared" si="25"/>
        <v>43738</v>
      </c>
      <c r="H172" s="146">
        <f>VLOOKUP( $A172, Aop!$A$2:$N$415, 4, 0)</f>
        <v>239</v>
      </c>
      <c r="I172" s="79">
        <f t="shared" si="22"/>
        <v>2019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3</v>
      </c>
      <c r="D173" s="79" t="str">
        <f t="shared" si="20"/>
        <v>1772902</v>
      </c>
      <c r="E173" s="79" t="str">
        <f t="shared" si="21"/>
        <v>4400964000002</v>
      </c>
      <c r="F173" s="79" t="b">
        <f t="shared" si="24"/>
        <v>1</v>
      </c>
      <c r="G173" s="190">
        <f t="shared" si="25"/>
        <v>43738</v>
      </c>
      <c r="H173" s="146">
        <f>VLOOKUP( $A173, Aop!$A$2:$N$415, 4, 0)</f>
        <v>240</v>
      </c>
      <c r="I173" s="79">
        <f t="shared" si="22"/>
        <v>2019</v>
      </c>
      <c r="J173" s="79"/>
      <c r="K173" s="79"/>
      <c r="L173" s="79">
        <f t="shared" ca="1" si="27"/>
        <v>4852442</v>
      </c>
      <c r="M173" s="79">
        <f t="shared" ca="1" si="28"/>
        <v>644616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3</v>
      </c>
      <c r="D174" s="79" t="str">
        <f t="shared" si="20"/>
        <v>1772902</v>
      </c>
      <c r="E174" s="79" t="str">
        <f t="shared" si="21"/>
        <v>4400964000002</v>
      </c>
      <c r="F174" s="79" t="b">
        <f t="shared" si="24"/>
        <v>1</v>
      </c>
      <c r="G174" s="190">
        <f t="shared" si="25"/>
        <v>43738</v>
      </c>
      <c r="H174" s="146">
        <f>VLOOKUP( $A174, Aop!$A$2:$N$415, 4, 0)</f>
        <v>241</v>
      </c>
      <c r="I174" s="79">
        <f t="shared" si="22"/>
        <v>2019</v>
      </c>
      <c r="J174" s="79"/>
      <c r="K174" s="79"/>
      <c r="L174" s="79">
        <f t="shared" ca="1" si="27"/>
        <v>327269</v>
      </c>
      <c r="M174" s="79">
        <f t="shared" ca="1" si="28"/>
        <v>376243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3</v>
      </c>
      <c r="D175" s="79" t="str">
        <f t="shared" si="20"/>
        <v>1772902</v>
      </c>
      <c r="E175" s="79" t="str">
        <f t="shared" si="21"/>
        <v>4400964000002</v>
      </c>
      <c r="F175" s="79" t="b">
        <f t="shared" si="24"/>
        <v>1</v>
      </c>
      <c r="G175" s="190">
        <f t="shared" si="25"/>
        <v>43738</v>
      </c>
      <c r="H175" s="146">
        <f>VLOOKUP( $A175, Aop!$A$2:$N$415, 4, 0)</f>
        <v>242</v>
      </c>
      <c r="I175" s="79">
        <f t="shared" si="22"/>
        <v>2019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3</v>
      </c>
      <c r="D176" s="79" t="str">
        <f t="shared" si="20"/>
        <v>1772902</v>
      </c>
      <c r="E176" s="79" t="str">
        <f t="shared" si="21"/>
        <v>4400964000002</v>
      </c>
      <c r="F176" s="79" t="b">
        <f t="shared" si="24"/>
        <v>1</v>
      </c>
      <c r="G176" s="190">
        <f t="shared" si="25"/>
        <v>43738</v>
      </c>
      <c r="H176" s="146">
        <f>VLOOKUP( $A176, Aop!$A$2:$N$415, 4, 0)</f>
        <v>243</v>
      </c>
      <c r="I176" s="79">
        <f t="shared" si="22"/>
        <v>2019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3</v>
      </c>
      <c r="D177" s="79" t="str">
        <f t="shared" si="20"/>
        <v>1772902</v>
      </c>
      <c r="E177" s="79" t="str">
        <f t="shared" si="21"/>
        <v>4400964000002</v>
      </c>
      <c r="F177" s="79" t="b">
        <f t="shared" si="24"/>
        <v>1</v>
      </c>
      <c r="G177" s="190">
        <f t="shared" si="25"/>
        <v>43738</v>
      </c>
      <c r="H177" s="146">
        <f>VLOOKUP( $A177, Aop!$A$2:$N$415, 4, 0)</f>
        <v>244</v>
      </c>
      <c r="I177" s="79">
        <f t="shared" si="22"/>
        <v>2019</v>
      </c>
      <c r="J177" s="79"/>
      <c r="K177" s="79"/>
      <c r="L177" s="79">
        <f t="shared" ca="1" si="27"/>
        <v>35184453</v>
      </c>
      <c r="M177" s="79">
        <f t="shared" ca="1" si="28"/>
        <v>42053690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3</v>
      </c>
      <c r="D178" s="79" t="str">
        <f t="shared" si="20"/>
        <v>1772902</v>
      </c>
      <c r="E178" s="79" t="str">
        <f t="shared" si="21"/>
        <v>4400964000002</v>
      </c>
      <c r="F178" s="79" t="b">
        <f t="shared" si="24"/>
        <v>1</v>
      </c>
      <c r="G178" s="190">
        <f t="shared" si="25"/>
        <v>43738</v>
      </c>
      <c r="H178" s="146">
        <f>VLOOKUP( $A178, Aop!$A$2:$N$415, 4, 0)</f>
        <v>245</v>
      </c>
      <c r="I178" s="79">
        <f t="shared" si="22"/>
        <v>2019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3</v>
      </c>
      <c r="D179" s="79" t="str">
        <f t="shared" si="20"/>
        <v>1772902</v>
      </c>
      <c r="E179" s="79" t="str">
        <f t="shared" si="21"/>
        <v>4400964000002</v>
      </c>
      <c r="F179" s="79" t="b">
        <f t="shared" si="24"/>
        <v>1</v>
      </c>
      <c r="G179" s="190">
        <f t="shared" si="25"/>
        <v>43738</v>
      </c>
      <c r="H179" s="146">
        <f>VLOOKUP( $A179, Aop!$A$2:$N$415, 4, 0)</f>
        <v>246</v>
      </c>
      <c r="I179" s="79">
        <f t="shared" si="22"/>
        <v>2019</v>
      </c>
      <c r="J179" s="79"/>
      <c r="K179" s="79"/>
      <c r="L179" s="79">
        <f t="shared" ca="1" si="27"/>
        <v>36142836</v>
      </c>
      <c r="M179" s="79">
        <f t="shared" ca="1" si="28"/>
        <v>10496593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3</v>
      </c>
      <c r="D180" s="79" t="str">
        <f t="shared" si="20"/>
        <v>1772902</v>
      </c>
      <c r="E180" s="79" t="str">
        <f t="shared" si="21"/>
        <v>4400964000002</v>
      </c>
      <c r="F180" s="79" t="b">
        <f t="shared" si="24"/>
        <v>1</v>
      </c>
      <c r="G180" s="190">
        <f t="shared" si="25"/>
        <v>43738</v>
      </c>
      <c r="H180" s="146">
        <f>VLOOKUP( $A180, Aop!$A$2:$N$415, 4, 0)</f>
        <v>247</v>
      </c>
      <c r="I180" s="79">
        <f t="shared" si="22"/>
        <v>2019</v>
      </c>
      <c r="J180" s="79"/>
      <c r="K180" s="79"/>
      <c r="L180" s="79">
        <f t="shared" ca="1" si="27"/>
        <v>260205</v>
      </c>
      <c r="M180" s="79">
        <f t="shared" ca="1" si="28"/>
        <v>251552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3</v>
      </c>
      <c r="D181" s="79" t="str">
        <f t="shared" si="20"/>
        <v>1772902</v>
      </c>
      <c r="E181" s="79" t="str">
        <f t="shared" si="21"/>
        <v>4400964000002</v>
      </c>
      <c r="F181" s="79" t="b">
        <f t="shared" si="24"/>
        <v>1</v>
      </c>
      <c r="G181" s="190">
        <f t="shared" si="25"/>
        <v>43738</v>
      </c>
      <c r="H181" s="146">
        <f>VLOOKUP( $A181, Aop!$A$2:$N$415, 4, 0)</f>
        <v>248</v>
      </c>
      <c r="I181" s="79">
        <f t="shared" si="22"/>
        <v>2019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3</v>
      </c>
      <c r="D182" s="79" t="str">
        <f t="shared" si="20"/>
        <v>1772902</v>
      </c>
      <c r="E182" s="79" t="str">
        <f t="shared" si="21"/>
        <v>4400964000002</v>
      </c>
      <c r="F182" s="79" t="b">
        <f t="shared" si="24"/>
        <v>1</v>
      </c>
      <c r="G182" s="190">
        <f t="shared" si="25"/>
        <v>43738</v>
      </c>
      <c r="H182" s="146">
        <f>VLOOKUP( $A182, Aop!$A$2:$N$415, 4, 0)</f>
        <v>249</v>
      </c>
      <c r="I182" s="79">
        <f t="shared" si="22"/>
        <v>2019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3</v>
      </c>
      <c r="D183" s="79" t="str">
        <f t="shared" si="20"/>
        <v>1772902</v>
      </c>
      <c r="E183" s="79" t="str">
        <f t="shared" si="21"/>
        <v>4400964000002</v>
      </c>
      <c r="F183" s="79" t="b">
        <f t="shared" si="24"/>
        <v>1</v>
      </c>
      <c r="G183" s="190">
        <f t="shared" si="25"/>
        <v>43738</v>
      </c>
      <c r="H183" s="146">
        <f>VLOOKUP( $A183, Aop!$A$2:$N$415, 4, 0)</f>
        <v>250</v>
      </c>
      <c r="I183" s="79">
        <f t="shared" si="22"/>
        <v>2019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3</v>
      </c>
      <c r="D184" s="79" t="str">
        <f t="shared" si="20"/>
        <v>1772902</v>
      </c>
      <c r="E184" s="79" t="str">
        <f t="shared" si="21"/>
        <v>4400964000002</v>
      </c>
      <c r="F184" s="79" t="b">
        <f t="shared" si="24"/>
        <v>1</v>
      </c>
      <c r="G184" s="190">
        <f t="shared" si="25"/>
        <v>43738</v>
      </c>
      <c r="H184" s="146">
        <f>VLOOKUP( $A184, Aop!$A$2:$N$415, 4, 0)</f>
        <v>251</v>
      </c>
      <c r="I184" s="79">
        <f t="shared" si="22"/>
        <v>2019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3</v>
      </c>
      <c r="D185" s="79" t="str">
        <f t="shared" si="20"/>
        <v>1772902</v>
      </c>
      <c r="E185" s="79" t="str">
        <f t="shared" si="21"/>
        <v>4400964000002</v>
      </c>
      <c r="F185" s="79" t="b">
        <f t="shared" si="24"/>
        <v>1</v>
      </c>
      <c r="G185" s="190">
        <f t="shared" si="25"/>
        <v>43738</v>
      </c>
      <c r="H185" s="146">
        <f>VLOOKUP( $A185, Aop!$A$2:$N$415, 4, 0)</f>
        <v>252</v>
      </c>
      <c r="I185" s="79">
        <f t="shared" si="22"/>
        <v>2019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3</v>
      </c>
      <c r="D186" s="79" t="str">
        <f t="shared" si="20"/>
        <v>1772902</v>
      </c>
      <c r="E186" s="79" t="str">
        <f t="shared" si="21"/>
        <v>4400964000002</v>
      </c>
      <c r="F186" s="79" t="b">
        <f t="shared" si="24"/>
        <v>1</v>
      </c>
      <c r="G186" s="190">
        <f t="shared" si="25"/>
        <v>43738</v>
      </c>
      <c r="H186" s="146">
        <f>VLOOKUP( $A186, Aop!$A$2:$N$415, 4, 0)</f>
        <v>253</v>
      </c>
      <c r="I186" s="79">
        <f t="shared" si="22"/>
        <v>2019</v>
      </c>
      <c r="J186" s="79"/>
      <c r="K186" s="79"/>
      <c r="L186" s="79">
        <f t="shared" ca="1" si="27"/>
        <v>9809</v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3</v>
      </c>
      <c r="D187" s="79" t="str">
        <f t="shared" si="20"/>
        <v>1772902</v>
      </c>
      <c r="E187" s="79" t="str">
        <f t="shared" si="21"/>
        <v>4400964000002</v>
      </c>
      <c r="F187" s="79" t="b">
        <f t="shared" si="24"/>
        <v>1</v>
      </c>
      <c r="G187" s="190">
        <f t="shared" si="25"/>
        <v>43738</v>
      </c>
      <c r="H187" s="146">
        <f>VLOOKUP( $A187, Aop!$A$2:$N$415, 4, 0)</f>
        <v>254</v>
      </c>
      <c r="I187" s="79">
        <f t="shared" si="22"/>
        <v>2019</v>
      </c>
      <c r="J187" s="79"/>
      <c r="K187" s="79"/>
      <c r="L187" s="79">
        <f t="shared" ca="1" si="27"/>
        <v>14014</v>
      </c>
      <c r="M187" s="79">
        <f t="shared" ca="1" si="28"/>
        <v>8295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3</v>
      </c>
      <c r="D188" s="79" t="str">
        <f t="shared" si="20"/>
        <v>1772902</v>
      </c>
      <c r="E188" s="79" t="str">
        <f t="shared" si="21"/>
        <v>4400964000002</v>
      </c>
      <c r="F188" s="79" t="b">
        <f t="shared" si="24"/>
        <v>1</v>
      </c>
      <c r="G188" s="190">
        <f t="shared" si="25"/>
        <v>43738</v>
      </c>
      <c r="H188" s="146">
        <f>VLOOKUP( $A188, Aop!$A$2:$N$415, 4, 0)</f>
        <v>255</v>
      </c>
      <c r="I188" s="79">
        <f t="shared" si="22"/>
        <v>2019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3</v>
      </c>
      <c r="D189" s="79" t="str">
        <f t="shared" ref="D189:D250" si="30">Podatak_MB</f>
        <v>1772902</v>
      </c>
      <c r="E189" s="79" t="str">
        <f t="shared" ref="E189:E250" si="31">Podatak_JIB</f>
        <v>4400964000002</v>
      </c>
      <c r="F189" s="79" t="b">
        <f t="shared" si="24"/>
        <v>1</v>
      </c>
      <c r="G189" s="190">
        <f t="shared" si="25"/>
        <v>43738</v>
      </c>
      <c r="H189" s="146">
        <f>VLOOKUP( $A189, Aop!$A$2:$N$415, 4, 0)</f>
        <v>256</v>
      </c>
      <c r="I189" s="79">
        <f t="shared" ref="I189:I250" si="32">Godina</f>
        <v>2019</v>
      </c>
      <c r="J189" s="79"/>
      <c r="K189" s="79"/>
      <c r="L189" s="79">
        <f t="shared" ca="1" si="27"/>
        <v>35858808</v>
      </c>
      <c r="M189" s="79">
        <f t="shared" ca="1" si="28"/>
        <v>10236746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3</v>
      </c>
      <c r="D190" s="79" t="str">
        <f t="shared" si="30"/>
        <v>1772902</v>
      </c>
      <c r="E190" s="79" t="str">
        <f t="shared" si="31"/>
        <v>4400964000002</v>
      </c>
      <c r="F190" s="79" t="b">
        <f t="shared" ref="F190:F251" si="34">Konsolidovan_izvjestaj</f>
        <v>1</v>
      </c>
      <c r="G190" s="190">
        <f t="shared" ref="G190:G251" si="35">Datum_Broj</f>
        <v>43738</v>
      </c>
      <c r="H190" s="146">
        <f>VLOOKUP( $A190, Aop!$A$2:$N$415, 4, 0)</f>
        <v>257</v>
      </c>
      <c r="I190" s="79">
        <f t="shared" si="32"/>
        <v>2019</v>
      </c>
      <c r="J190" s="79"/>
      <c r="K190" s="79"/>
      <c r="L190" s="79">
        <f t="shared" ca="1" si="27"/>
        <v>4298967</v>
      </c>
      <c r="M190" s="79">
        <f t="shared" ca="1" si="28"/>
        <v>3687723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3</v>
      </c>
      <c r="D191" s="79" t="str">
        <f t="shared" si="30"/>
        <v>1772902</v>
      </c>
      <c r="E191" s="79" t="str">
        <f t="shared" si="31"/>
        <v>4400964000002</v>
      </c>
      <c r="F191" s="79" t="b">
        <f t="shared" si="34"/>
        <v>1</v>
      </c>
      <c r="G191" s="190">
        <f t="shared" si="35"/>
        <v>43738</v>
      </c>
      <c r="H191" s="146">
        <f>VLOOKUP( $A191, Aop!$A$2:$N$415, 4, 0)</f>
        <v>258</v>
      </c>
      <c r="I191" s="79">
        <f t="shared" si="32"/>
        <v>2019</v>
      </c>
      <c r="J191" s="79"/>
      <c r="K191" s="79"/>
      <c r="L191" s="79">
        <f t="shared" ca="1" si="27"/>
        <v>140763</v>
      </c>
      <c r="M191" s="79">
        <f t="shared" ca="1" si="28"/>
        <v>17992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3</v>
      </c>
      <c r="D192" s="79" t="str">
        <f t="shared" si="30"/>
        <v>1772902</v>
      </c>
      <c r="E192" s="79" t="str">
        <f t="shared" si="31"/>
        <v>4400964000002</v>
      </c>
      <c r="F192" s="79" t="b">
        <f t="shared" si="34"/>
        <v>1</v>
      </c>
      <c r="G192" s="190">
        <f t="shared" si="35"/>
        <v>43738</v>
      </c>
      <c r="H192" s="146">
        <f>VLOOKUP( $A192, Aop!$A$2:$N$415, 4, 0)</f>
        <v>259</v>
      </c>
      <c r="I192" s="79">
        <f t="shared" si="32"/>
        <v>2019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3</v>
      </c>
      <c r="D193" s="79" t="str">
        <f t="shared" si="30"/>
        <v>1772902</v>
      </c>
      <c r="E193" s="79" t="str">
        <f t="shared" si="31"/>
        <v>4400964000002</v>
      </c>
      <c r="F193" s="79" t="b">
        <f t="shared" si="34"/>
        <v>1</v>
      </c>
      <c r="G193" s="190">
        <f t="shared" si="35"/>
        <v>43738</v>
      </c>
      <c r="H193" s="146">
        <f>VLOOKUP( $A193, Aop!$A$2:$N$415, 4, 0)</f>
        <v>260</v>
      </c>
      <c r="I193" s="79">
        <f t="shared" si="32"/>
        <v>2019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3</v>
      </c>
      <c r="D194" s="79" t="str">
        <f>Podatak_MB</f>
        <v>1772902</v>
      </c>
      <c r="E194" s="79" t="str">
        <f>Podatak_JIB</f>
        <v>4400964000002</v>
      </c>
      <c r="F194" s="79" t="b">
        <f>Konsolidovan_izvjestaj</f>
        <v>1</v>
      </c>
      <c r="G194" s="190">
        <f>Datum_Broj</f>
        <v>43738</v>
      </c>
      <c r="H194" s="79">
        <f>VLOOKUP( $A194, Aop!$A$2:$N$415, 4, 0)</f>
        <v>261</v>
      </c>
      <c r="I194" s="79">
        <f>Godina</f>
        <v>2019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3</v>
      </c>
      <c r="D195" s="79" t="str">
        <f t="shared" si="30"/>
        <v>1772902</v>
      </c>
      <c r="E195" s="79" t="str">
        <f t="shared" si="31"/>
        <v>4400964000002</v>
      </c>
      <c r="F195" s="79" t="b">
        <f t="shared" si="34"/>
        <v>1</v>
      </c>
      <c r="G195" s="190">
        <f t="shared" si="35"/>
        <v>43738</v>
      </c>
      <c r="H195" s="146">
        <f>VLOOKUP( $A195, Aop!$A$2:$N$415, 4, 0)</f>
        <v>262</v>
      </c>
      <c r="I195" s="79">
        <f t="shared" si="32"/>
        <v>2019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3</v>
      </c>
      <c r="D196" s="79" t="str">
        <f t="shared" si="30"/>
        <v>1772902</v>
      </c>
      <c r="E196" s="79" t="str">
        <f t="shared" si="31"/>
        <v>4400964000002</v>
      </c>
      <c r="F196" s="79" t="b">
        <f t="shared" si="34"/>
        <v>1</v>
      </c>
      <c r="G196" s="190">
        <f t="shared" si="35"/>
        <v>43738</v>
      </c>
      <c r="H196" s="146">
        <f>VLOOKUP( $A196, Aop!$A$2:$N$415, 4, 0)</f>
        <v>263</v>
      </c>
      <c r="I196" s="79">
        <f t="shared" si="32"/>
        <v>2019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3</v>
      </c>
      <c r="D197" s="79" t="str">
        <f t="shared" si="30"/>
        <v>1772902</v>
      </c>
      <c r="E197" s="79" t="str">
        <f t="shared" si="31"/>
        <v>4400964000002</v>
      </c>
      <c r="F197" s="79" t="b">
        <f t="shared" si="34"/>
        <v>1</v>
      </c>
      <c r="G197" s="190">
        <f t="shared" si="35"/>
        <v>43738</v>
      </c>
      <c r="H197" s="146">
        <f>VLOOKUP( $A197, Aop!$A$2:$N$415, 4, 0)</f>
        <v>264</v>
      </c>
      <c r="I197" s="79">
        <f t="shared" si="32"/>
        <v>2019</v>
      </c>
      <c r="J197" s="79"/>
      <c r="K197" s="79"/>
      <c r="L197" s="79">
        <f t="shared" ca="1" si="36"/>
        <v>428487</v>
      </c>
      <c r="M197" s="79">
        <f t="shared" ca="1" si="37"/>
        <v>957</v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3</v>
      </c>
      <c r="D198" s="79" t="str">
        <f t="shared" si="30"/>
        <v>1772902</v>
      </c>
      <c r="E198" s="79" t="str">
        <f t="shared" si="31"/>
        <v>4400964000002</v>
      </c>
      <c r="F198" s="79" t="b">
        <f t="shared" si="34"/>
        <v>1</v>
      </c>
      <c r="G198" s="190">
        <f t="shared" si="35"/>
        <v>43738</v>
      </c>
      <c r="H198" s="146">
        <f>VLOOKUP( $A198, Aop!$A$2:$N$415, 4, 0)</f>
        <v>265</v>
      </c>
      <c r="I198" s="79">
        <f t="shared" si="32"/>
        <v>2019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3</v>
      </c>
      <c r="D199" s="79" t="str">
        <f t="shared" si="30"/>
        <v>1772902</v>
      </c>
      <c r="E199" s="79" t="str">
        <f t="shared" si="31"/>
        <v>4400964000002</v>
      </c>
      <c r="F199" s="79" t="b">
        <f t="shared" si="34"/>
        <v>1</v>
      </c>
      <c r="G199" s="190">
        <f t="shared" si="35"/>
        <v>43738</v>
      </c>
      <c r="H199" s="146">
        <f>VLOOKUP( $A199, Aop!$A$2:$N$415, 4, 0)</f>
        <v>266</v>
      </c>
      <c r="I199" s="79">
        <f t="shared" si="32"/>
        <v>2019</v>
      </c>
      <c r="J199" s="79"/>
      <c r="K199" s="79"/>
      <c r="L199" s="79">
        <f t="shared" ca="1" si="36"/>
        <v>2086248</v>
      </c>
      <c r="M199" s="79">
        <f t="shared" ca="1" si="37"/>
        <v>3144252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3</v>
      </c>
      <c r="D200" s="79" t="str">
        <f t="shared" si="30"/>
        <v>1772902</v>
      </c>
      <c r="E200" s="79" t="str">
        <f t="shared" si="31"/>
        <v>4400964000002</v>
      </c>
      <c r="F200" s="79" t="b">
        <f t="shared" si="34"/>
        <v>1</v>
      </c>
      <c r="G200" s="190">
        <f t="shared" si="35"/>
        <v>43738</v>
      </c>
      <c r="H200" s="146">
        <f>VLOOKUP( $A200, Aop!$A$2:$N$415, 4, 0)</f>
        <v>267</v>
      </c>
      <c r="I200" s="79">
        <f t="shared" si="32"/>
        <v>2019</v>
      </c>
      <c r="J200" s="79"/>
      <c r="K200" s="79"/>
      <c r="L200" s="79">
        <f t="shared" ca="1" si="36"/>
        <v>1643469</v>
      </c>
      <c r="M200" s="79">
        <f t="shared" ca="1" si="37"/>
        <v>524522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3</v>
      </c>
      <c r="D201" s="79" t="str">
        <f t="shared" si="30"/>
        <v>1772902</v>
      </c>
      <c r="E201" s="79" t="str">
        <f t="shared" si="31"/>
        <v>4400964000002</v>
      </c>
      <c r="F201" s="79" t="b">
        <f t="shared" si="34"/>
        <v>1</v>
      </c>
      <c r="G201" s="190">
        <f t="shared" si="35"/>
        <v>43738</v>
      </c>
      <c r="H201" s="146">
        <f>VLOOKUP( $A201, Aop!$A$2:$N$415, 4, 0)</f>
        <v>268</v>
      </c>
      <c r="I201" s="79">
        <f t="shared" si="32"/>
        <v>2019</v>
      </c>
      <c r="J201" s="79"/>
      <c r="K201" s="79"/>
      <c r="L201" s="79">
        <f t="shared" ca="1" si="36"/>
        <v>31843869</v>
      </c>
      <c r="M201" s="79">
        <f t="shared" ca="1" si="37"/>
        <v>6808870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3</v>
      </c>
      <c r="D202" s="79" t="str">
        <f t="shared" si="30"/>
        <v>1772902</v>
      </c>
      <c r="E202" s="79" t="str">
        <f t="shared" si="31"/>
        <v>4400964000002</v>
      </c>
      <c r="F202" s="79" t="b">
        <f t="shared" si="34"/>
        <v>1</v>
      </c>
      <c r="G202" s="190">
        <f t="shared" si="35"/>
        <v>43738</v>
      </c>
      <c r="H202" s="146">
        <f>VLOOKUP( $A202, Aop!$A$2:$N$415, 4, 0)</f>
        <v>269</v>
      </c>
      <c r="I202" s="79">
        <f t="shared" si="32"/>
        <v>2019</v>
      </c>
      <c r="J202" s="79"/>
      <c r="K202" s="79"/>
      <c r="L202" s="79">
        <f t="shared" ca="1" si="36"/>
        <v>0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3</v>
      </c>
      <c r="D203" s="79" t="str">
        <f t="shared" si="30"/>
        <v>1772902</v>
      </c>
      <c r="E203" s="79" t="str">
        <f t="shared" si="31"/>
        <v>4400964000002</v>
      </c>
      <c r="F203" s="79" t="b">
        <f t="shared" si="34"/>
        <v>1</v>
      </c>
      <c r="G203" s="190">
        <f t="shared" si="35"/>
        <v>43738</v>
      </c>
      <c r="H203" s="146">
        <f>VLOOKUP( $A203, Aop!$A$2:$N$415, 4, 0)</f>
        <v>270</v>
      </c>
      <c r="I203" s="79">
        <f t="shared" si="32"/>
        <v>2019</v>
      </c>
      <c r="J203" s="79"/>
      <c r="K203" s="79"/>
      <c r="L203" s="79">
        <f t="shared" ca="1" si="36"/>
        <v>1453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3</v>
      </c>
      <c r="D204" s="79" t="str">
        <f t="shared" si="30"/>
        <v>1772902</v>
      </c>
      <c r="E204" s="79" t="str">
        <f t="shared" si="31"/>
        <v>4400964000002</v>
      </c>
      <c r="F204" s="79" t="b">
        <f t="shared" si="34"/>
        <v>1</v>
      </c>
      <c r="G204" s="190">
        <f t="shared" si="35"/>
        <v>43738</v>
      </c>
      <c r="H204" s="146">
        <f>VLOOKUP( $A204, Aop!$A$2:$N$415, 4, 0)</f>
        <v>271</v>
      </c>
      <c r="I204" s="79">
        <f t="shared" si="32"/>
        <v>2019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3</v>
      </c>
      <c r="D205" s="79" t="str">
        <f t="shared" si="30"/>
        <v>1772902</v>
      </c>
      <c r="E205" s="79" t="str">
        <f t="shared" si="31"/>
        <v>4400964000002</v>
      </c>
      <c r="F205" s="79" t="b">
        <f t="shared" si="34"/>
        <v>1</v>
      </c>
      <c r="G205" s="190">
        <f t="shared" si="35"/>
        <v>43738</v>
      </c>
      <c r="H205" s="146">
        <f>VLOOKUP( $A205, Aop!$A$2:$N$415, 4, 0)</f>
        <v>272</v>
      </c>
      <c r="I205" s="79">
        <f t="shared" si="32"/>
        <v>2019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3</v>
      </c>
      <c r="D206" s="79" t="str">
        <f t="shared" si="30"/>
        <v>1772902</v>
      </c>
      <c r="E206" s="79" t="str">
        <f t="shared" si="31"/>
        <v>4400964000002</v>
      </c>
      <c r="F206" s="79" t="b">
        <f t="shared" si="34"/>
        <v>1</v>
      </c>
      <c r="G206" s="190">
        <f t="shared" si="35"/>
        <v>43738</v>
      </c>
      <c r="H206" s="146">
        <f>VLOOKUP( $A206, Aop!$A$2:$N$415, 4, 0)</f>
        <v>273</v>
      </c>
      <c r="I206" s="79">
        <f t="shared" si="32"/>
        <v>2019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3</v>
      </c>
      <c r="D207" s="79" t="str">
        <f t="shared" si="30"/>
        <v>1772902</v>
      </c>
      <c r="E207" s="79" t="str">
        <f t="shared" si="31"/>
        <v>4400964000002</v>
      </c>
      <c r="F207" s="79" t="b">
        <f t="shared" si="34"/>
        <v>1</v>
      </c>
      <c r="G207" s="190">
        <f t="shared" si="35"/>
        <v>43738</v>
      </c>
      <c r="H207" s="146">
        <f>VLOOKUP( $A207, Aop!$A$2:$N$415, 4, 0)</f>
        <v>274</v>
      </c>
      <c r="I207" s="79">
        <f t="shared" si="32"/>
        <v>2019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3</v>
      </c>
      <c r="D208" s="79" t="str">
        <f t="shared" si="30"/>
        <v>1772902</v>
      </c>
      <c r="E208" s="79" t="str">
        <f t="shared" si="31"/>
        <v>4400964000002</v>
      </c>
      <c r="F208" s="79" t="b">
        <f t="shared" si="34"/>
        <v>1</v>
      </c>
      <c r="G208" s="190">
        <f t="shared" si="35"/>
        <v>43738</v>
      </c>
      <c r="H208" s="146">
        <f>VLOOKUP( $A208, Aop!$A$2:$N$415, 4, 0)</f>
        <v>275</v>
      </c>
      <c r="I208" s="79">
        <f t="shared" si="32"/>
        <v>2019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3</v>
      </c>
      <c r="D209" s="79" t="str">
        <f t="shared" si="30"/>
        <v>1772902</v>
      </c>
      <c r="E209" s="79" t="str">
        <f t="shared" si="31"/>
        <v>4400964000002</v>
      </c>
      <c r="F209" s="79" t="b">
        <f t="shared" si="34"/>
        <v>1</v>
      </c>
      <c r="G209" s="190">
        <f t="shared" si="35"/>
        <v>43738</v>
      </c>
      <c r="H209" s="146">
        <f>VLOOKUP( $A209, Aop!$A$2:$N$415, 4, 0)</f>
        <v>276</v>
      </c>
      <c r="I209" s="79">
        <f t="shared" si="32"/>
        <v>2019</v>
      </c>
      <c r="J209" s="79"/>
      <c r="K209" s="79"/>
      <c r="L209" s="79">
        <f t="shared" ca="1" si="36"/>
        <v>1453</v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3</v>
      </c>
      <c r="D210" s="79" t="str">
        <f t="shared" si="30"/>
        <v>1772902</v>
      </c>
      <c r="E210" s="79" t="str">
        <f t="shared" si="31"/>
        <v>4400964000002</v>
      </c>
      <c r="F210" s="79" t="b">
        <f t="shared" si="34"/>
        <v>1</v>
      </c>
      <c r="G210" s="190">
        <f t="shared" si="35"/>
        <v>43738</v>
      </c>
      <c r="H210" s="146">
        <f>VLOOKUP( $A210, Aop!$A$2:$N$415, 4, 0)</f>
        <v>277</v>
      </c>
      <c r="I210" s="79">
        <f t="shared" si="32"/>
        <v>2019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3</v>
      </c>
      <c r="D211" s="79" t="str">
        <f t="shared" si="30"/>
        <v>1772902</v>
      </c>
      <c r="E211" s="79" t="str">
        <f t="shared" si="31"/>
        <v>4400964000002</v>
      </c>
      <c r="F211" s="79" t="b">
        <f t="shared" si="34"/>
        <v>1</v>
      </c>
      <c r="G211" s="190">
        <f t="shared" si="35"/>
        <v>43738</v>
      </c>
      <c r="H211" s="146">
        <f>VLOOKUP( $A211, Aop!$A$2:$N$415, 4, 0)</f>
        <v>278</v>
      </c>
      <c r="I211" s="79">
        <f t="shared" si="32"/>
        <v>2019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3</v>
      </c>
      <c r="D212" s="79" t="str">
        <f t="shared" si="30"/>
        <v>1772902</v>
      </c>
      <c r="E212" s="79" t="str">
        <f t="shared" si="31"/>
        <v>4400964000002</v>
      </c>
      <c r="F212" s="79" t="b">
        <f t="shared" si="34"/>
        <v>1</v>
      </c>
      <c r="G212" s="190">
        <f t="shared" si="35"/>
        <v>43738</v>
      </c>
      <c r="H212" s="146">
        <f>VLOOKUP( $A212, Aop!$A$2:$N$415, 4, 0)</f>
        <v>279</v>
      </c>
      <c r="I212" s="79">
        <f t="shared" si="32"/>
        <v>2019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3</v>
      </c>
      <c r="D213" s="79" t="str">
        <f t="shared" si="30"/>
        <v>1772902</v>
      </c>
      <c r="E213" s="79" t="str">
        <f t="shared" si="31"/>
        <v>4400964000002</v>
      </c>
      <c r="F213" s="79" t="b">
        <f t="shared" si="34"/>
        <v>1</v>
      </c>
      <c r="G213" s="190">
        <f t="shared" si="35"/>
        <v>43738</v>
      </c>
      <c r="H213" s="146">
        <f>VLOOKUP( $A213, Aop!$A$2:$N$415, 4, 0)</f>
        <v>280</v>
      </c>
      <c r="I213" s="79">
        <f t="shared" si="32"/>
        <v>2019</v>
      </c>
      <c r="J213" s="79"/>
      <c r="K213" s="79"/>
      <c r="L213" s="79">
        <f t="shared" ca="1" si="36"/>
        <v>635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3</v>
      </c>
      <c r="D214" s="79" t="str">
        <f t="shared" si="30"/>
        <v>1772902</v>
      </c>
      <c r="E214" s="79" t="str">
        <f t="shared" si="31"/>
        <v>4400964000002</v>
      </c>
      <c r="F214" s="79" t="b">
        <f t="shared" si="34"/>
        <v>1</v>
      </c>
      <c r="G214" s="190">
        <f t="shared" si="35"/>
        <v>43738</v>
      </c>
      <c r="H214" s="146">
        <f>VLOOKUP( $A214, Aop!$A$2:$N$415, 4, 0)</f>
        <v>281</v>
      </c>
      <c r="I214" s="79">
        <f t="shared" si="32"/>
        <v>2019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3</v>
      </c>
      <c r="D215" s="79" t="str">
        <f t="shared" si="30"/>
        <v>1772902</v>
      </c>
      <c r="E215" s="79" t="str">
        <f t="shared" si="31"/>
        <v>4400964000002</v>
      </c>
      <c r="F215" s="79" t="b">
        <f t="shared" si="34"/>
        <v>1</v>
      </c>
      <c r="G215" s="190">
        <f t="shared" si="35"/>
        <v>43738</v>
      </c>
      <c r="H215" s="146">
        <f>VLOOKUP( $A215, Aop!$A$2:$N$415, 4, 0)</f>
        <v>282</v>
      </c>
      <c r="I215" s="79">
        <f t="shared" si="32"/>
        <v>2019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3</v>
      </c>
      <c r="D216" s="79" t="str">
        <f>Podatak_MB</f>
        <v>1772902</v>
      </c>
      <c r="E216" s="79" t="str">
        <f>Podatak_JIB</f>
        <v>4400964000002</v>
      </c>
      <c r="F216" s="79" t="b">
        <f>Konsolidovan_izvjestaj</f>
        <v>1</v>
      </c>
      <c r="G216" s="190">
        <f>Datum_Broj</f>
        <v>43738</v>
      </c>
      <c r="H216" s="79">
        <f>VLOOKUP( $A216, Aop!$A$2:$N$415, 4, 0)</f>
        <v>283</v>
      </c>
      <c r="I216" s="79">
        <f>Godina</f>
        <v>2019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3</v>
      </c>
      <c r="D217" s="79" t="str">
        <f t="shared" si="30"/>
        <v>1772902</v>
      </c>
      <c r="E217" s="79" t="str">
        <f t="shared" si="31"/>
        <v>4400964000002</v>
      </c>
      <c r="F217" s="79" t="b">
        <f t="shared" si="34"/>
        <v>1</v>
      </c>
      <c r="G217" s="190">
        <f t="shared" si="35"/>
        <v>43738</v>
      </c>
      <c r="H217" s="146">
        <f>VLOOKUP( $A217, Aop!$A$2:$N$415, 4, 0)</f>
        <v>284</v>
      </c>
      <c r="I217" s="79">
        <f t="shared" si="32"/>
        <v>2019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3</v>
      </c>
      <c r="D218" s="79" t="str">
        <f t="shared" si="30"/>
        <v>1772902</v>
      </c>
      <c r="E218" s="79" t="str">
        <f t="shared" si="31"/>
        <v>4400964000002</v>
      </c>
      <c r="F218" s="79" t="b">
        <f t="shared" si="34"/>
        <v>1</v>
      </c>
      <c r="G218" s="190">
        <f t="shared" si="35"/>
        <v>43738</v>
      </c>
      <c r="H218" s="146">
        <f>VLOOKUP( $A218, Aop!$A$2:$N$415, 4, 0)</f>
        <v>285</v>
      </c>
      <c r="I218" s="79">
        <f t="shared" si="32"/>
        <v>2019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3</v>
      </c>
      <c r="D219" s="79" t="str">
        <f>Podatak_MB</f>
        <v>1772902</v>
      </c>
      <c r="E219" s="79" t="str">
        <f>Podatak_JIB</f>
        <v>4400964000002</v>
      </c>
      <c r="F219" s="79" t="b">
        <f>Konsolidovan_izvjestaj</f>
        <v>1</v>
      </c>
      <c r="G219" s="190">
        <f>Datum_Broj</f>
        <v>43738</v>
      </c>
      <c r="H219" s="79">
        <f>VLOOKUP( $A219, Aop!$A$2:$N$415, 4, 0)</f>
        <v>286</v>
      </c>
      <c r="I219" s="79">
        <f>Godina</f>
        <v>2019</v>
      </c>
      <c r="J219" s="79"/>
      <c r="K219" s="79"/>
      <c r="L219" s="79">
        <f t="shared" ca="1" si="36"/>
        <v>635</v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3</v>
      </c>
      <c r="D220" s="79" t="str">
        <f t="shared" si="30"/>
        <v>1772902</v>
      </c>
      <c r="E220" s="79" t="str">
        <f t="shared" si="31"/>
        <v>4400964000002</v>
      </c>
      <c r="F220" s="79" t="b">
        <f t="shared" si="34"/>
        <v>1</v>
      </c>
      <c r="G220" s="190">
        <f t="shared" si="35"/>
        <v>43738</v>
      </c>
      <c r="H220" s="146">
        <f>VLOOKUP( $A220, Aop!$A$2:$N$415, 4, 0)</f>
        <v>287</v>
      </c>
      <c r="I220" s="79">
        <f t="shared" si="32"/>
        <v>2019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3</v>
      </c>
      <c r="D221" s="79" t="str">
        <f t="shared" si="30"/>
        <v>1772902</v>
      </c>
      <c r="E221" s="79" t="str">
        <f t="shared" si="31"/>
        <v>4400964000002</v>
      </c>
      <c r="F221" s="79" t="b">
        <f t="shared" si="34"/>
        <v>1</v>
      </c>
      <c r="G221" s="190">
        <f t="shared" si="35"/>
        <v>43738</v>
      </c>
      <c r="H221" s="146">
        <f>VLOOKUP( $A221, Aop!$A$2:$N$415, 4, 0)</f>
        <v>288</v>
      </c>
      <c r="I221" s="79">
        <f t="shared" si="32"/>
        <v>2019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3</v>
      </c>
      <c r="D222" s="79" t="str">
        <f>Podatak_MB</f>
        <v>1772902</v>
      </c>
      <c r="E222" s="79" t="str">
        <f>Podatak_JIB</f>
        <v>4400964000002</v>
      </c>
      <c r="F222" s="79" t="b">
        <f>Konsolidovan_izvjestaj</f>
        <v>1</v>
      </c>
      <c r="G222" s="190">
        <f>Datum_Broj</f>
        <v>43738</v>
      </c>
      <c r="H222" s="79">
        <f>VLOOKUP( $A222, Aop!$A$2:$N$415, 4, 0)</f>
        <v>289</v>
      </c>
      <c r="I222" s="79">
        <f>Godina</f>
        <v>2019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3</v>
      </c>
      <c r="D223" s="79" t="str">
        <f t="shared" si="30"/>
        <v>1772902</v>
      </c>
      <c r="E223" s="79" t="str">
        <f t="shared" si="31"/>
        <v>4400964000002</v>
      </c>
      <c r="F223" s="79" t="b">
        <f t="shared" si="34"/>
        <v>1</v>
      </c>
      <c r="G223" s="190">
        <f t="shared" si="35"/>
        <v>43738</v>
      </c>
      <c r="H223" s="146">
        <f>VLOOKUP( $A223, Aop!$A$2:$N$415, 4, 0)</f>
        <v>290</v>
      </c>
      <c r="I223" s="79">
        <f t="shared" si="32"/>
        <v>2019</v>
      </c>
      <c r="J223" s="79"/>
      <c r="K223" s="79"/>
      <c r="L223" s="79">
        <f t="shared" ca="1" si="36"/>
        <v>818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3</v>
      </c>
      <c r="D224" s="79" t="str">
        <f t="shared" si="30"/>
        <v>1772902</v>
      </c>
      <c r="E224" s="79" t="str">
        <f t="shared" si="31"/>
        <v>4400964000002</v>
      </c>
      <c r="F224" s="79" t="b">
        <f t="shared" si="34"/>
        <v>1</v>
      </c>
      <c r="G224" s="190">
        <f t="shared" si="35"/>
        <v>43738</v>
      </c>
      <c r="H224" s="146">
        <f>VLOOKUP( $A224, Aop!$A$2:$N$415, 4, 0)</f>
        <v>291</v>
      </c>
      <c r="I224" s="79">
        <f t="shared" si="32"/>
        <v>2019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3</v>
      </c>
      <c r="D225" s="79" t="str">
        <f t="shared" si="30"/>
        <v>1772902</v>
      </c>
      <c r="E225" s="79" t="str">
        <f t="shared" si="31"/>
        <v>4400964000002</v>
      </c>
      <c r="F225" s="79" t="b">
        <f t="shared" si="34"/>
        <v>1</v>
      </c>
      <c r="G225" s="190">
        <f t="shared" si="35"/>
        <v>43738</v>
      </c>
      <c r="H225" s="146">
        <f>VLOOKUP( $A225, Aop!$A$2:$N$415, 4, 0)</f>
        <v>292</v>
      </c>
      <c r="I225" s="79">
        <f t="shared" si="32"/>
        <v>2019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3</v>
      </c>
      <c r="D226" s="79" t="str">
        <f t="shared" si="30"/>
        <v>1772902</v>
      </c>
      <c r="E226" s="79" t="str">
        <f t="shared" si="31"/>
        <v>4400964000002</v>
      </c>
      <c r="F226" s="79" t="b">
        <f t="shared" si="34"/>
        <v>1</v>
      </c>
      <c r="G226" s="190">
        <f t="shared" si="35"/>
        <v>43738</v>
      </c>
      <c r="H226" s="146">
        <f>VLOOKUP( $A226, Aop!$A$2:$N$415, 4, 0)</f>
        <v>293</v>
      </c>
      <c r="I226" s="79">
        <f t="shared" si="32"/>
        <v>2019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3</v>
      </c>
      <c r="D227" s="79" t="str">
        <f t="shared" si="30"/>
        <v>1772902</v>
      </c>
      <c r="E227" s="79" t="str">
        <f t="shared" si="31"/>
        <v>4400964000002</v>
      </c>
      <c r="F227" s="79" t="b">
        <f t="shared" si="34"/>
        <v>1</v>
      </c>
      <c r="G227" s="190">
        <f t="shared" si="35"/>
        <v>43738</v>
      </c>
      <c r="H227" s="146">
        <f>VLOOKUP( $A227, Aop!$A$2:$N$415, 4, 0)</f>
        <v>294</v>
      </c>
      <c r="I227" s="79">
        <f t="shared" si="32"/>
        <v>2019</v>
      </c>
      <c r="J227" s="79"/>
      <c r="K227" s="79"/>
      <c r="L227" s="79">
        <f t="shared" ca="1" si="36"/>
        <v>67029140</v>
      </c>
      <c r="M227" s="79">
        <f t="shared" ca="1" si="37"/>
        <v>48862560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3</v>
      </c>
      <c r="D228" s="79" t="str">
        <f t="shared" si="30"/>
        <v>1772902</v>
      </c>
      <c r="E228" s="79" t="str">
        <f t="shared" si="31"/>
        <v>4400964000002</v>
      </c>
      <c r="F228" s="79" t="b">
        <f t="shared" si="34"/>
        <v>1</v>
      </c>
      <c r="G228" s="190">
        <f t="shared" si="35"/>
        <v>43738</v>
      </c>
      <c r="H228" s="146">
        <f>VLOOKUP( $A228, Aop!$A$2:$N$415, 4, 0)</f>
        <v>295</v>
      </c>
      <c r="I228" s="79">
        <f t="shared" si="32"/>
        <v>2019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3</v>
      </c>
      <c r="D229" s="79" t="str">
        <f t="shared" si="30"/>
        <v>1772902</v>
      </c>
      <c r="E229" s="79" t="str">
        <f t="shared" si="31"/>
        <v>4400964000002</v>
      </c>
      <c r="F229" s="79" t="b">
        <f t="shared" si="34"/>
        <v>1</v>
      </c>
      <c r="G229" s="190">
        <f t="shared" si="35"/>
        <v>43738</v>
      </c>
      <c r="H229" s="146">
        <f>VLOOKUP( $A229, Aop!$A$2:$N$415, 4, 0)</f>
        <v>296</v>
      </c>
      <c r="I229" s="79">
        <f t="shared" si="32"/>
        <v>2019</v>
      </c>
      <c r="J229" s="79"/>
      <c r="K229" s="79"/>
      <c r="L229" s="79">
        <f t="shared" ca="1" si="36"/>
        <v>4039119</v>
      </c>
      <c r="M229" s="79">
        <f t="shared" ca="1" si="37"/>
        <v>4498494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3</v>
      </c>
      <c r="D230" s="79" t="str">
        <f t="shared" si="30"/>
        <v>1772902</v>
      </c>
      <c r="E230" s="79" t="str">
        <f t="shared" si="31"/>
        <v>4400964000002</v>
      </c>
      <c r="F230" s="79" t="b">
        <f t="shared" si="34"/>
        <v>1</v>
      </c>
      <c r="G230" s="190">
        <f t="shared" si="35"/>
        <v>43738</v>
      </c>
      <c r="H230" s="146">
        <f>VLOOKUP( $A230, Aop!$A$2:$N$415, 4, 0)</f>
        <v>297</v>
      </c>
      <c r="I230" s="79">
        <f t="shared" si="32"/>
        <v>2019</v>
      </c>
      <c r="J230" s="79"/>
      <c r="K230" s="79"/>
      <c r="L230" s="79">
        <f t="shared" ca="1" si="36"/>
        <v>33593</v>
      </c>
      <c r="M230" s="79">
        <f t="shared" ca="1" si="37"/>
        <v>118842</v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3</v>
      </c>
      <c r="D231" s="79" t="str">
        <f t="shared" si="30"/>
        <v>1772902</v>
      </c>
      <c r="E231" s="79" t="str">
        <f t="shared" si="31"/>
        <v>4400964000002</v>
      </c>
      <c r="F231" s="79" t="b">
        <f t="shared" si="34"/>
        <v>1</v>
      </c>
      <c r="G231" s="190">
        <f t="shared" si="35"/>
        <v>43738</v>
      </c>
      <c r="H231" s="146">
        <f>VLOOKUP( $A231, Aop!$A$2:$N$415, 4, 0)</f>
        <v>298</v>
      </c>
      <c r="I231" s="79">
        <f t="shared" si="32"/>
        <v>2019</v>
      </c>
      <c r="J231" s="79"/>
      <c r="K231" s="79"/>
      <c r="L231" s="79">
        <f t="shared" ca="1" si="36"/>
        <v>429311</v>
      </c>
      <c r="M231" s="79">
        <f t="shared" ca="1" si="37"/>
        <v>78266</v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3</v>
      </c>
      <c r="D232" s="79" t="str">
        <f t="shared" si="30"/>
        <v>1772902</v>
      </c>
      <c r="E232" s="79" t="str">
        <f t="shared" si="31"/>
        <v>4400964000002</v>
      </c>
      <c r="F232" s="79" t="b">
        <f t="shared" si="34"/>
        <v>1</v>
      </c>
      <c r="G232" s="190">
        <f t="shared" si="35"/>
        <v>43738</v>
      </c>
      <c r="H232" s="146">
        <f>VLOOKUP( $A232, Aop!$A$2:$N$415, 4, 0)</f>
        <v>299</v>
      </c>
      <c r="I232" s="79">
        <f t="shared" si="32"/>
        <v>2019</v>
      </c>
      <c r="J232" s="79"/>
      <c r="K232" s="79"/>
      <c r="L232" s="79">
        <f t="shared" ca="1" si="36"/>
        <v>63385739</v>
      </c>
      <c r="M232" s="79">
        <f t="shared" ca="1" si="37"/>
        <v>44323490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3</v>
      </c>
      <c r="D233" s="79" t="str">
        <f t="shared" si="30"/>
        <v>1772902</v>
      </c>
      <c r="E233" s="79" t="str">
        <f t="shared" si="31"/>
        <v>4400964000002</v>
      </c>
      <c r="F233" s="79" t="b">
        <f t="shared" si="34"/>
        <v>1</v>
      </c>
      <c r="G233" s="190">
        <f t="shared" si="35"/>
        <v>43738</v>
      </c>
      <c r="H233" s="146">
        <f>VLOOKUP( $A233, Aop!$A$2:$N$415, 4, 0)</f>
        <v>300</v>
      </c>
      <c r="I233" s="79">
        <f t="shared" si="32"/>
        <v>2019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3</v>
      </c>
      <c r="D234" s="79" t="str">
        <f t="shared" si="30"/>
        <v>1772902</v>
      </c>
      <c r="E234" s="79" t="str">
        <f t="shared" si="31"/>
        <v>4400964000002</v>
      </c>
      <c r="F234" s="79" t="b">
        <f t="shared" si="34"/>
        <v>1</v>
      </c>
      <c r="G234" s="190">
        <f t="shared" si="35"/>
        <v>43738</v>
      </c>
      <c r="H234" s="146">
        <f>VLOOKUP( $A234, Aop!$A$2:$N$415, 4, 0)</f>
        <v>301</v>
      </c>
      <c r="I234" s="79">
        <f t="shared" si="32"/>
        <v>2019</v>
      </c>
      <c r="J234" s="79"/>
      <c r="K234" s="79"/>
      <c r="L234" s="79">
        <f t="shared" ca="1" si="36"/>
        <v>387397117</v>
      </c>
      <c r="M234" s="79">
        <f t="shared" ca="1" si="37"/>
        <v>339874238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3</v>
      </c>
      <c r="D235" s="79" t="str">
        <f t="shared" si="30"/>
        <v>1772902</v>
      </c>
      <c r="E235" s="79" t="str">
        <f t="shared" si="31"/>
        <v>4400964000002</v>
      </c>
      <c r="F235" s="79" t="b">
        <f t="shared" si="34"/>
        <v>1</v>
      </c>
      <c r="G235" s="190">
        <f t="shared" si="35"/>
        <v>43738</v>
      </c>
      <c r="H235" s="146">
        <f>VLOOKUP( $A235, Aop!$A$2:$N$415, 4, 0)</f>
        <v>302</v>
      </c>
      <c r="I235" s="79">
        <f t="shared" si="32"/>
        <v>2019</v>
      </c>
      <c r="J235" s="79"/>
      <c r="K235" s="79"/>
      <c r="L235" s="79">
        <f t="shared" ca="1" si="36"/>
        <v>320367977</v>
      </c>
      <c r="M235" s="79">
        <f t="shared" ca="1" si="37"/>
        <v>291011678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3</v>
      </c>
      <c r="D236" s="79" t="str">
        <f t="shared" si="30"/>
        <v>1772902</v>
      </c>
      <c r="E236" s="79" t="str">
        <f t="shared" si="31"/>
        <v>4400964000002</v>
      </c>
      <c r="F236" s="79" t="b">
        <f t="shared" si="34"/>
        <v>1</v>
      </c>
      <c r="G236" s="190">
        <f t="shared" si="35"/>
        <v>43738</v>
      </c>
      <c r="H236" s="146">
        <f>VLOOKUP( $A236, Aop!$A$2:$N$415, 4, 0)</f>
        <v>303</v>
      </c>
      <c r="I236" s="79">
        <f t="shared" si="32"/>
        <v>2019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3</v>
      </c>
      <c r="D237" s="79" t="str">
        <f t="shared" si="30"/>
        <v>1772902</v>
      </c>
      <c r="E237" s="79" t="str">
        <f t="shared" si="31"/>
        <v>4400964000002</v>
      </c>
      <c r="F237" s="79" t="b">
        <f t="shared" si="34"/>
        <v>1</v>
      </c>
      <c r="G237" s="190">
        <f t="shared" si="35"/>
        <v>43738</v>
      </c>
      <c r="H237" s="146">
        <f>VLOOKUP( $A237, Aop!$A$2:$N$415, 4, 0)</f>
        <v>304</v>
      </c>
      <c r="I237" s="79">
        <f t="shared" si="32"/>
        <v>2019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3</v>
      </c>
      <c r="D238" s="79" t="str">
        <f t="shared" si="30"/>
        <v>1772902</v>
      </c>
      <c r="E238" s="79" t="str">
        <f t="shared" si="31"/>
        <v>4400964000002</v>
      </c>
      <c r="F238" s="79" t="b">
        <f t="shared" si="34"/>
        <v>1</v>
      </c>
      <c r="G238" s="190">
        <f t="shared" si="35"/>
        <v>43738</v>
      </c>
      <c r="H238" s="146">
        <f>VLOOKUP( $A238, Aop!$A$2:$N$415, 4, 0)</f>
        <v>305</v>
      </c>
      <c r="I238" s="79">
        <f t="shared" si="32"/>
        <v>2019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3</v>
      </c>
      <c r="D239" s="79" t="str">
        <f t="shared" si="30"/>
        <v>1772902</v>
      </c>
      <c r="E239" s="79" t="str">
        <f t="shared" si="31"/>
        <v>4400964000002</v>
      </c>
      <c r="F239" s="79" t="b">
        <f t="shared" si="34"/>
        <v>1</v>
      </c>
      <c r="G239" s="190">
        <f t="shared" si="35"/>
        <v>43738</v>
      </c>
      <c r="H239" s="146">
        <f>VLOOKUP( $A239, Aop!$A$2:$N$415, 4, 0)</f>
        <v>306</v>
      </c>
      <c r="I239" s="79">
        <f t="shared" si="32"/>
        <v>2019</v>
      </c>
      <c r="J239" s="79"/>
      <c r="K239" s="79"/>
      <c r="L239" s="79">
        <f t="shared" ca="1" si="36"/>
        <v>0.129</v>
      </c>
      <c r="M239" s="79">
        <f t="shared" ca="1" si="37"/>
        <v>9.0200000000000002E-2</v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3</v>
      </c>
      <c r="D240" s="79" t="str">
        <f t="shared" si="30"/>
        <v>1772902</v>
      </c>
      <c r="E240" s="79" t="str">
        <f t="shared" si="31"/>
        <v>4400964000002</v>
      </c>
      <c r="F240" s="79" t="b">
        <f t="shared" si="34"/>
        <v>1</v>
      </c>
      <c r="G240" s="190">
        <f t="shared" si="35"/>
        <v>43738</v>
      </c>
      <c r="H240" s="146">
        <f>VLOOKUP( $A240, Aop!$A$2:$N$415, 4, 0)</f>
        <v>307</v>
      </c>
      <c r="I240" s="79">
        <f t="shared" si="32"/>
        <v>2019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3</v>
      </c>
      <c r="D241" s="79" t="str">
        <f t="shared" si="30"/>
        <v>1772902</v>
      </c>
      <c r="E241" s="79" t="str">
        <f t="shared" si="31"/>
        <v>4400964000002</v>
      </c>
      <c r="F241" s="79" t="b">
        <f t="shared" si="34"/>
        <v>1</v>
      </c>
      <c r="G241" s="190">
        <f t="shared" si="35"/>
        <v>43738</v>
      </c>
      <c r="H241" s="146">
        <f>VLOOKUP( $A241, Aop!$A$2:$N$415, 4, 0)</f>
        <v>308</v>
      </c>
      <c r="I241" s="79">
        <f t="shared" si="32"/>
        <v>2019</v>
      </c>
      <c r="J241" s="79"/>
      <c r="K241" s="79"/>
      <c r="L241" s="79">
        <f t="shared" ca="1" si="36"/>
        <v>2493</v>
      </c>
      <c r="M241" s="79">
        <f t="shared" ca="1" si="37"/>
        <v>2242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3</v>
      </c>
      <c r="D242" s="79" t="str">
        <f t="shared" si="30"/>
        <v>1772902</v>
      </c>
      <c r="E242" s="79" t="str">
        <f t="shared" si="31"/>
        <v>4400964000002</v>
      </c>
      <c r="F242" s="79" t="b">
        <f t="shared" si="34"/>
        <v>1</v>
      </c>
      <c r="G242" s="190">
        <f t="shared" si="35"/>
        <v>43738</v>
      </c>
      <c r="H242" s="146">
        <f>VLOOKUP( $A242, Aop!$A$2:$N$415, 4, 0)</f>
        <v>309</v>
      </c>
      <c r="I242" s="79">
        <f t="shared" si="32"/>
        <v>2019</v>
      </c>
      <c r="J242" s="79"/>
      <c r="K242" s="79"/>
      <c r="L242" s="79">
        <f t="shared" ca="1" si="36"/>
        <v>2491</v>
      </c>
      <c r="M242" s="79">
        <f t="shared" ca="1" si="37"/>
        <v>2245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3</v>
      </c>
      <c r="D243" s="79" t="str">
        <f t="shared" si="30"/>
        <v>1772902</v>
      </c>
      <c r="E243" s="79" t="str">
        <f t="shared" si="31"/>
        <v>4400964000002</v>
      </c>
      <c r="F243" s="79" t="b">
        <f t="shared" si="34"/>
        <v>1</v>
      </c>
      <c r="G243" s="190">
        <f t="shared" si="35"/>
        <v>43738</v>
      </c>
      <c r="H243" s="146">
        <f>VLOOKUP( $A243, Aop!$A$2:$N$415, 4, 0)</f>
        <v>400</v>
      </c>
      <c r="I243" s="79">
        <f t="shared" si="32"/>
        <v>2019</v>
      </c>
      <c r="J243" s="79"/>
      <c r="K243" s="79"/>
      <c r="L243" s="79">
        <f t="shared" ca="1" si="36"/>
        <v>63385739</v>
      </c>
      <c r="M243" s="79">
        <f t="shared" ca="1" si="37"/>
        <v>44323490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3</v>
      </c>
      <c r="D244" s="79" t="str">
        <f t="shared" si="30"/>
        <v>1772902</v>
      </c>
      <c r="E244" s="79" t="str">
        <f t="shared" si="31"/>
        <v>4400964000002</v>
      </c>
      <c r="F244" s="79" t="b">
        <f t="shared" si="34"/>
        <v>1</v>
      </c>
      <c r="G244" s="190">
        <f t="shared" si="35"/>
        <v>43738</v>
      </c>
      <c r="H244" s="146">
        <f>VLOOKUP( $A244, Aop!$A$2:$N$415, 4, 0)</f>
        <v>401</v>
      </c>
      <c r="I244" s="79">
        <f t="shared" si="32"/>
        <v>2019</v>
      </c>
      <c r="J244" s="79"/>
      <c r="K244" s="79"/>
      <c r="L244" s="79">
        <f t="shared" ca="1" si="36"/>
        <v>471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3</v>
      </c>
      <c r="D245" s="79" t="str">
        <f t="shared" si="30"/>
        <v>1772902</v>
      </c>
      <c r="E245" s="79" t="str">
        <f t="shared" si="31"/>
        <v>4400964000002</v>
      </c>
      <c r="F245" s="79" t="b">
        <f t="shared" si="34"/>
        <v>1</v>
      </c>
      <c r="G245" s="190">
        <f t="shared" si="35"/>
        <v>43738</v>
      </c>
      <c r="H245" s="146">
        <f>VLOOKUP( $A245, Aop!$A$2:$N$415, 4, 0)</f>
        <v>402</v>
      </c>
      <c r="I245" s="79">
        <f t="shared" si="32"/>
        <v>2019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3</v>
      </c>
      <c r="D246" s="79" t="str">
        <f>Podatak_MB</f>
        <v>1772902</v>
      </c>
      <c r="E246" s="79" t="str">
        <f>Podatak_JIB</f>
        <v>4400964000002</v>
      </c>
      <c r="F246" s="79" t="b">
        <f>Konsolidovan_izvjestaj</f>
        <v>1</v>
      </c>
      <c r="G246" s="190">
        <f>Datum_Broj</f>
        <v>43738</v>
      </c>
      <c r="H246" s="79">
        <f>VLOOKUP( $A246, Aop!$A$2:$N$415, 4, 0)</f>
        <v>403</v>
      </c>
      <c r="I246" s="79">
        <f>Godina</f>
        <v>2019</v>
      </c>
      <c r="J246" s="79"/>
      <c r="K246" s="79"/>
      <c r="L246" s="79">
        <f t="shared" ca="1" si="36"/>
        <v>471</v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3</v>
      </c>
      <c r="D247" s="79" t="str">
        <f t="shared" si="30"/>
        <v>1772902</v>
      </c>
      <c r="E247" s="79" t="str">
        <f t="shared" si="31"/>
        <v>4400964000002</v>
      </c>
      <c r="F247" s="79" t="b">
        <f t="shared" si="34"/>
        <v>1</v>
      </c>
      <c r="G247" s="190">
        <f t="shared" si="35"/>
        <v>43738</v>
      </c>
      <c r="H247" s="146">
        <f>VLOOKUP( $A247, Aop!$A$2:$N$415, 4, 0)</f>
        <v>404</v>
      </c>
      <c r="I247" s="79">
        <f t="shared" si="32"/>
        <v>2019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3</v>
      </c>
      <c r="D248" s="79" t="str">
        <f t="shared" si="30"/>
        <v>1772902</v>
      </c>
      <c r="E248" s="79" t="str">
        <f t="shared" si="31"/>
        <v>4400964000002</v>
      </c>
      <c r="F248" s="79" t="b">
        <f t="shared" si="34"/>
        <v>1</v>
      </c>
      <c r="G248" s="190">
        <f t="shared" si="35"/>
        <v>43738</v>
      </c>
      <c r="H248" s="146">
        <f>VLOOKUP( $A248, Aop!$A$2:$N$415, 4, 0)</f>
        <v>405</v>
      </c>
      <c r="I248" s="79">
        <f t="shared" si="32"/>
        <v>2019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3</v>
      </c>
      <c r="D249" s="79" t="str">
        <f>Podatak_MB</f>
        <v>1772902</v>
      </c>
      <c r="E249" s="79" t="str">
        <f>Podatak_JIB</f>
        <v>4400964000002</v>
      </c>
      <c r="F249" s="79" t="b">
        <f>Konsolidovan_izvjestaj</f>
        <v>1</v>
      </c>
      <c r="G249" s="190">
        <f>Datum_Broj</f>
        <v>43738</v>
      </c>
      <c r="H249" s="79">
        <f>VLOOKUP( $A249, Aop!$A$2:$N$415, 4, 0)</f>
        <v>406</v>
      </c>
      <c r="I249" s="79">
        <f>Godina</f>
        <v>2019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3</v>
      </c>
      <c r="D250" s="79" t="str">
        <f t="shared" si="30"/>
        <v>1772902</v>
      </c>
      <c r="E250" s="79" t="str">
        <f t="shared" si="31"/>
        <v>4400964000002</v>
      </c>
      <c r="F250" s="79" t="b">
        <f t="shared" si="34"/>
        <v>1</v>
      </c>
      <c r="G250" s="190">
        <f t="shared" si="35"/>
        <v>43738</v>
      </c>
      <c r="H250" s="146">
        <f>VLOOKUP( $A250, Aop!$A$2:$N$415, 4, 0)</f>
        <v>407</v>
      </c>
      <c r="I250" s="79">
        <f t="shared" si="32"/>
        <v>2019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3</v>
      </c>
      <c r="D251" s="79" t="str">
        <f t="shared" ref="D251:D308" si="38">Podatak_MB</f>
        <v>1772902</v>
      </c>
      <c r="E251" s="79" t="str">
        <f t="shared" ref="E251:E308" si="39">Podatak_JIB</f>
        <v>4400964000002</v>
      </c>
      <c r="F251" s="79" t="b">
        <f t="shared" si="34"/>
        <v>1</v>
      </c>
      <c r="G251" s="190">
        <f t="shared" si="35"/>
        <v>43738</v>
      </c>
      <c r="H251" s="146">
        <f>VLOOKUP( $A251, Aop!$A$2:$N$415, 4, 0)</f>
        <v>408</v>
      </c>
      <c r="I251" s="79">
        <f t="shared" ref="I251:I308" si="40">Godina</f>
        <v>2019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3</v>
      </c>
      <c r="D252" s="79" t="str">
        <f t="shared" si="38"/>
        <v>1772902</v>
      </c>
      <c r="E252" s="79" t="str">
        <f t="shared" si="39"/>
        <v>4400964000002</v>
      </c>
      <c r="F252" s="79" t="b">
        <f t="shared" ref="F252:F309" si="42">Konsolidovan_izvjestaj</f>
        <v>1</v>
      </c>
      <c r="G252" s="190">
        <f t="shared" ref="G252:G309" si="43">Datum_Broj</f>
        <v>43738</v>
      </c>
      <c r="H252" s="146">
        <f>VLOOKUP( $A252, Aop!$A$2:$N$415, 4, 0)</f>
        <v>409</v>
      </c>
      <c r="I252" s="79">
        <f t="shared" si="40"/>
        <v>2019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3</v>
      </c>
      <c r="D253" s="79" t="str">
        <f t="shared" si="38"/>
        <v>1772902</v>
      </c>
      <c r="E253" s="79" t="str">
        <f t="shared" si="39"/>
        <v>4400964000002</v>
      </c>
      <c r="F253" s="79" t="b">
        <f t="shared" si="42"/>
        <v>1</v>
      </c>
      <c r="G253" s="190">
        <f t="shared" si="43"/>
        <v>43738</v>
      </c>
      <c r="H253" s="146">
        <f>VLOOKUP( $A253, Aop!$A$2:$N$415, 4, 0)</f>
        <v>410</v>
      </c>
      <c r="I253" s="79">
        <f t="shared" si="40"/>
        <v>2019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3</v>
      </c>
      <c r="D254" s="79" t="str">
        <f t="shared" si="38"/>
        <v>1772902</v>
      </c>
      <c r="E254" s="79" t="str">
        <f t="shared" si="39"/>
        <v>4400964000002</v>
      </c>
      <c r="F254" s="79" t="b">
        <f t="shared" si="42"/>
        <v>1</v>
      </c>
      <c r="G254" s="190">
        <f t="shared" si="43"/>
        <v>43738</v>
      </c>
      <c r="H254" s="146">
        <f>VLOOKUP( $A254, Aop!$A$2:$N$415, 4, 0)</f>
        <v>411</v>
      </c>
      <c r="I254" s="79">
        <f t="shared" si="40"/>
        <v>2019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3</v>
      </c>
      <c r="D255" s="79" t="str">
        <f t="shared" si="38"/>
        <v>1772902</v>
      </c>
      <c r="E255" s="79" t="str">
        <f t="shared" si="39"/>
        <v>4400964000002</v>
      </c>
      <c r="F255" s="79" t="b">
        <f t="shared" si="42"/>
        <v>1</v>
      </c>
      <c r="G255" s="190">
        <f t="shared" si="43"/>
        <v>43738</v>
      </c>
      <c r="H255" s="146">
        <f>VLOOKUP( $A255, Aop!$A$2:$N$415, 4, 0)</f>
        <v>412</v>
      </c>
      <c r="I255" s="79">
        <f t="shared" si="40"/>
        <v>2019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3</v>
      </c>
      <c r="D256" s="79" t="str">
        <f t="shared" si="38"/>
        <v>1772902</v>
      </c>
      <c r="E256" s="79" t="str">
        <f t="shared" si="39"/>
        <v>4400964000002</v>
      </c>
      <c r="F256" s="79" t="b">
        <f t="shared" si="42"/>
        <v>1</v>
      </c>
      <c r="G256" s="190">
        <f t="shared" si="43"/>
        <v>43738</v>
      </c>
      <c r="H256" s="146">
        <f>VLOOKUP( $A256, Aop!$A$2:$N$415, 4, 0)</f>
        <v>413</v>
      </c>
      <c r="I256" s="79">
        <f t="shared" si="40"/>
        <v>2019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3</v>
      </c>
      <c r="D257" s="79" t="str">
        <f t="shared" si="38"/>
        <v>1772902</v>
      </c>
      <c r="E257" s="79" t="str">
        <f t="shared" si="39"/>
        <v>4400964000002</v>
      </c>
      <c r="F257" s="79" t="b">
        <f t="shared" si="42"/>
        <v>1</v>
      </c>
      <c r="G257" s="190">
        <f t="shared" si="43"/>
        <v>43738</v>
      </c>
      <c r="H257" s="146">
        <f>VLOOKUP( $A257, Aop!$A$2:$N$415, 4, 0)</f>
        <v>414</v>
      </c>
      <c r="I257" s="79">
        <f t="shared" si="40"/>
        <v>2019</v>
      </c>
      <c r="J257" s="79"/>
      <c r="K257" s="79"/>
      <c r="L257" s="79">
        <f t="shared" ca="1" si="36"/>
        <v>471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3</v>
      </c>
      <c r="D258" s="79" t="str">
        <f t="shared" si="38"/>
        <v>1772902</v>
      </c>
      <c r="E258" s="79" t="str">
        <f t="shared" si="39"/>
        <v>4400964000002</v>
      </c>
      <c r="F258" s="79" t="b">
        <f t="shared" si="42"/>
        <v>1</v>
      </c>
      <c r="G258" s="190">
        <f t="shared" si="43"/>
        <v>43738</v>
      </c>
      <c r="H258" s="146">
        <f>VLOOKUP( $A258, Aop!$A$2:$N$415, 4, 0)</f>
        <v>415</v>
      </c>
      <c r="I258" s="79">
        <f t="shared" si="40"/>
        <v>2019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3</v>
      </c>
      <c r="D259" s="79" t="str">
        <f t="shared" si="38"/>
        <v>1772902</v>
      </c>
      <c r="E259" s="79" t="str">
        <f t="shared" si="39"/>
        <v>4400964000002</v>
      </c>
      <c r="F259" s="79" t="b">
        <f t="shared" si="42"/>
        <v>1</v>
      </c>
      <c r="G259" s="190">
        <f t="shared" si="43"/>
        <v>43738</v>
      </c>
      <c r="H259" s="146">
        <f>VLOOKUP( $A259, Aop!$A$2:$N$415, 4, 0)</f>
        <v>416</v>
      </c>
      <c r="I259" s="79">
        <f t="shared" si="40"/>
        <v>2019</v>
      </c>
      <c r="J259" s="79"/>
      <c r="K259" s="79"/>
      <c r="L259" s="79">
        <f t="shared" ca="1" si="44"/>
        <v>471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3</v>
      </c>
      <c r="D260" s="79" t="str">
        <f t="shared" si="38"/>
        <v>1772902</v>
      </c>
      <c r="E260" s="79" t="str">
        <f t="shared" si="39"/>
        <v>4400964000002</v>
      </c>
      <c r="F260" s="79" t="b">
        <f t="shared" si="42"/>
        <v>1</v>
      </c>
      <c r="G260" s="190">
        <f t="shared" si="43"/>
        <v>43738</v>
      </c>
      <c r="H260" s="146">
        <f>VLOOKUP( $A260, Aop!$A$2:$N$415, 4, 0)</f>
        <v>417</v>
      </c>
      <c r="I260" s="79">
        <f t="shared" si="40"/>
        <v>2019</v>
      </c>
      <c r="J260" s="79"/>
      <c r="K260" s="79"/>
      <c r="L260" s="79">
        <f t="shared" ca="1" si="44"/>
        <v>63386210</v>
      </c>
      <c r="M260" s="79">
        <f t="shared" ca="1" si="45"/>
        <v>44323490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3</v>
      </c>
      <c r="D261" s="79" t="str">
        <f t="shared" si="38"/>
        <v>1772902</v>
      </c>
      <c r="E261" s="79" t="str">
        <f t="shared" si="39"/>
        <v>4400964000002</v>
      </c>
      <c r="F261" s="79" t="b">
        <f t="shared" si="42"/>
        <v>1</v>
      </c>
      <c r="G261" s="190">
        <f t="shared" si="43"/>
        <v>43738</v>
      </c>
      <c r="H261" s="146">
        <f>VLOOKUP( $A261, Aop!$A$2:$N$415, 4, 0)</f>
        <v>418</v>
      </c>
      <c r="I261" s="79">
        <f t="shared" si="40"/>
        <v>2019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3</v>
      </c>
      <c r="D262" s="79" t="str">
        <f t="shared" si="38"/>
        <v>1772902</v>
      </c>
      <c r="E262" s="79" t="str">
        <f t="shared" si="39"/>
        <v>4400964000002</v>
      </c>
      <c r="F262" s="79" t="b">
        <f t="shared" si="42"/>
        <v>1</v>
      </c>
      <c r="G262" s="190">
        <f t="shared" si="43"/>
        <v>43738</v>
      </c>
      <c r="H262" s="146">
        <f>VLOOKUP( $A262, Aop!$A$2:$N$415, 4, 0)</f>
        <v>501</v>
      </c>
      <c r="I262" s="79">
        <f t="shared" si="40"/>
        <v>2019</v>
      </c>
      <c r="J262" s="79"/>
      <c r="K262" s="79"/>
      <c r="L262" s="79">
        <f t="shared" ca="1" si="44"/>
        <v>350878695</v>
      </c>
      <c r="M262" s="79">
        <f t="shared" ca="1" si="45"/>
        <v>325777682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3</v>
      </c>
      <c r="D263" s="79" t="str">
        <f t="shared" si="38"/>
        <v>1772902</v>
      </c>
      <c r="E263" s="79" t="str">
        <f t="shared" si="39"/>
        <v>4400964000002</v>
      </c>
      <c r="F263" s="79" t="b">
        <f t="shared" si="42"/>
        <v>1</v>
      </c>
      <c r="G263" s="190">
        <f t="shared" si="43"/>
        <v>43738</v>
      </c>
      <c r="H263" s="146">
        <f>VLOOKUP( $A263, Aop!$A$2:$N$415, 4, 0)</f>
        <v>502</v>
      </c>
      <c r="I263" s="79">
        <f t="shared" si="40"/>
        <v>2019</v>
      </c>
      <c r="J263" s="79"/>
      <c r="K263" s="79"/>
      <c r="L263" s="79">
        <f t="shared" ca="1" si="44"/>
        <v>348440873</v>
      </c>
      <c r="M263" s="79">
        <f t="shared" ca="1" si="45"/>
        <v>324575568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3</v>
      </c>
      <c r="D264" s="79" t="str">
        <f t="shared" si="38"/>
        <v>1772902</v>
      </c>
      <c r="E264" s="79" t="str">
        <f t="shared" si="39"/>
        <v>4400964000002</v>
      </c>
      <c r="F264" s="79" t="b">
        <f t="shared" si="42"/>
        <v>1</v>
      </c>
      <c r="G264" s="190">
        <f t="shared" si="43"/>
        <v>43738</v>
      </c>
      <c r="H264" s="146">
        <f>VLOOKUP( $A264, Aop!$A$2:$N$415, 4, 0)</f>
        <v>503</v>
      </c>
      <c r="I264" s="79">
        <f t="shared" si="40"/>
        <v>2019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3</v>
      </c>
      <c r="D265" s="79" t="str">
        <f t="shared" si="38"/>
        <v>1772902</v>
      </c>
      <c r="E265" s="79" t="str">
        <f t="shared" si="39"/>
        <v>4400964000002</v>
      </c>
      <c r="F265" s="79" t="b">
        <f t="shared" si="42"/>
        <v>1</v>
      </c>
      <c r="G265" s="190">
        <f t="shared" si="43"/>
        <v>43738</v>
      </c>
      <c r="H265" s="146">
        <f>VLOOKUP( $A265, Aop!$A$2:$N$415, 4, 0)</f>
        <v>504</v>
      </c>
      <c r="I265" s="79">
        <f t="shared" si="40"/>
        <v>2019</v>
      </c>
      <c r="J265" s="79"/>
      <c r="K265" s="79"/>
      <c r="L265" s="79">
        <f t="shared" ca="1" si="44"/>
        <v>2437822</v>
      </c>
      <c r="M265" s="79">
        <f t="shared" ca="1" si="45"/>
        <v>1202114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3</v>
      </c>
      <c r="D266" s="79" t="str">
        <f t="shared" si="38"/>
        <v>1772902</v>
      </c>
      <c r="E266" s="79" t="str">
        <f t="shared" si="39"/>
        <v>4400964000002</v>
      </c>
      <c r="F266" s="79" t="b">
        <f t="shared" si="42"/>
        <v>1</v>
      </c>
      <c r="G266" s="190">
        <f t="shared" si="43"/>
        <v>43738</v>
      </c>
      <c r="H266" s="146">
        <f>VLOOKUP( $A266, Aop!$A$2:$N$415, 4, 0)</f>
        <v>505</v>
      </c>
      <c r="I266" s="79">
        <f t="shared" si="40"/>
        <v>2019</v>
      </c>
      <c r="J266" s="79"/>
      <c r="K266" s="79"/>
      <c r="L266" s="79">
        <f t="shared" ca="1" si="44"/>
        <v>236520057</v>
      </c>
      <c r="M266" s="79">
        <f t="shared" ca="1" si="45"/>
        <v>217293370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3</v>
      </c>
      <c r="D267" s="79" t="str">
        <f t="shared" si="38"/>
        <v>1772902</v>
      </c>
      <c r="E267" s="79" t="str">
        <f t="shared" si="39"/>
        <v>4400964000002</v>
      </c>
      <c r="F267" s="79" t="b">
        <f t="shared" si="42"/>
        <v>1</v>
      </c>
      <c r="G267" s="190">
        <f t="shared" si="43"/>
        <v>43738</v>
      </c>
      <c r="H267" s="146">
        <f>VLOOKUP( $A267, Aop!$A$2:$N$415, 4, 0)</f>
        <v>506</v>
      </c>
      <c r="I267" s="79">
        <f t="shared" si="40"/>
        <v>2019</v>
      </c>
      <c r="J267" s="79"/>
      <c r="K267" s="79"/>
      <c r="L267" s="79">
        <f t="shared" ca="1" si="44"/>
        <v>163296042</v>
      </c>
      <c r="M267" s="79">
        <f t="shared" ca="1" si="45"/>
        <v>153189441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3</v>
      </c>
      <c r="D268" s="79" t="str">
        <f t="shared" si="38"/>
        <v>1772902</v>
      </c>
      <c r="E268" s="79" t="str">
        <f t="shared" si="39"/>
        <v>4400964000002</v>
      </c>
      <c r="F268" s="79" t="b">
        <f t="shared" si="42"/>
        <v>1</v>
      </c>
      <c r="G268" s="190">
        <f t="shared" si="43"/>
        <v>43738</v>
      </c>
      <c r="H268" s="146">
        <f>VLOOKUP( $A268, Aop!$A$2:$N$415, 4, 0)</f>
        <v>507</v>
      </c>
      <c r="I268" s="79">
        <f t="shared" si="40"/>
        <v>2019</v>
      </c>
      <c r="J268" s="79"/>
      <c r="K268" s="79"/>
      <c r="L268" s="79">
        <f t="shared" ca="1" si="44"/>
        <v>58065410</v>
      </c>
      <c r="M268" s="79">
        <f t="shared" ca="1" si="45"/>
        <v>54988759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3</v>
      </c>
      <c r="D269" s="79" t="str">
        <f t="shared" si="38"/>
        <v>1772902</v>
      </c>
      <c r="E269" s="79" t="str">
        <f t="shared" si="39"/>
        <v>4400964000002</v>
      </c>
      <c r="F269" s="79" t="b">
        <f t="shared" si="42"/>
        <v>1</v>
      </c>
      <c r="G269" s="190">
        <f t="shared" si="43"/>
        <v>43738</v>
      </c>
      <c r="H269" s="146">
        <f>VLOOKUP( $A269, Aop!$A$2:$N$415, 4, 0)</f>
        <v>508</v>
      </c>
      <c r="I269" s="79">
        <f t="shared" si="40"/>
        <v>2019</v>
      </c>
      <c r="J269" s="79"/>
      <c r="K269" s="79"/>
      <c r="L269" s="79">
        <f t="shared" ca="1" si="44"/>
        <v>4723612</v>
      </c>
      <c r="M269" s="79">
        <f t="shared" ca="1" si="45"/>
        <v>614507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3</v>
      </c>
      <c r="D270" s="79" t="str">
        <f t="shared" si="38"/>
        <v>1772902</v>
      </c>
      <c r="E270" s="79" t="str">
        <f t="shared" si="39"/>
        <v>4400964000002</v>
      </c>
      <c r="F270" s="79" t="b">
        <f t="shared" si="42"/>
        <v>1</v>
      </c>
      <c r="G270" s="190">
        <f t="shared" si="43"/>
        <v>43738</v>
      </c>
      <c r="H270" s="146">
        <f>VLOOKUP( $A270, Aop!$A$2:$N$415, 4, 0)</f>
        <v>509</v>
      </c>
      <c r="I270" s="79">
        <f t="shared" si="40"/>
        <v>2019</v>
      </c>
      <c r="J270" s="79"/>
      <c r="K270" s="79"/>
      <c r="L270" s="79">
        <f t="shared" ca="1" si="44"/>
        <v>5843398</v>
      </c>
      <c r="M270" s="79">
        <f t="shared" ca="1" si="45"/>
        <v>3911628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3</v>
      </c>
      <c r="D271" s="79" t="str">
        <f t="shared" si="38"/>
        <v>1772902</v>
      </c>
      <c r="E271" s="79" t="str">
        <f t="shared" si="39"/>
        <v>4400964000002</v>
      </c>
      <c r="F271" s="79" t="b">
        <f t="shared" si="42"/>
        <v>1</v>
      </c>
      <c r="G271" s="190">
        <f t="shared" si="43"/>
        <v>43738</v>
      </c>
      <c r="H271" s="146">
        <f>VLOOKUP( $A271, Aop!$A$2:$N$415, 4, 0)</f>
        <v>510</v>
      </c>
      <c r="I271" s="79">
        <f t="shared" si="40"/>
        <v>2019</v>
      </c>
      <c r="J271" s="79"/>
      <c r="K271" s="79"/>
      <c r="L271" s="79">
        <f t="shared" ca="1" si="44"/>
        <v>4591595</v>
      </c>
      <c r="M271" s="79">
        <f t="shared" ca="1" si="45"/>
        <v>4589035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3</v>
      </c>
      <c r="D272" s="79" t="str">
        <f>Podatak_MB</f>
        <v>1772902</v>
      </c>
      <c r="E272" s="79" t="str">
        <f>Podatak_JIB</f>
        <v>4400964000002</v>
      </c>
      <c r="F272" s="79" t="b">
        <f>Konsolidovan_izvjestaj</f>
        <v>1</v>
      </c>
      <c r="G272" s="190">
        <f>Datum_Broj</f>
        <v>43738</v>
      </c>
      <c r="H272" s="79">
        <f>VLOOKUP( $A272, Aop!$A$2:$N$415, 4, 0)</f>
        <v>511</v>
      </c>
      <c r="I272" s="79">
        <f>Godina</f>
        <v>2019</v>
      </c>
      <c r="J272" s="79"/>
      <c r="K272" s="79"/>
      <c r="L272" s="79">
        <f t="shared" ca="1" si="44"/>
        <v>114358638</v>
      </c>
      <c r="M272" s="79">
        <f t="shared" ca="1" si="45"/>
        <v>108484312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3</v>
      </c>
      <c r="D273" s="79" t="str">
        <f t="shared" si="38"/>
        <v>1772902</v>
      </c>
      <c r="E273" s="79" t="str">
        <f t="shared" si="39"/>
        <v>4400964000002</v>
      </c>
      <c r="F273" s="79" t="b">
        <f t="shared" si="42"/>
        <v>1</v>
      </c>
      <c r="G273" s="190">
        <f t="shared" si="43"/>
        <v>43738</v>
      </c>
      <c r="H273" s="146">
        <f>VLOOKUP( $A273, Aop!$A$2:$N$415, 4, 0)</f>
        <v>512</v>
      </c>
      <c r="I273" s="79">
        <f t="shared" si="40"/>
        <v>2019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3</v>
      </c>
      <c r="D274" s="79" t="str">
        <f t="shared" si="38"/>
        <v>1772902</v>
      </c>
      <c r="E274" s="79" t="str">
        <f t="shared" si="39"/>
        <v>4400964000002</v>
      </c>
      <c r="F274" s="79" t="b">
        <f t="shared" si="42"/>
        <v>1</v>
      </c>
      <c r="G274" s="190">
        <f t="shared" si="43"/>
        <v>43738</v>
      </c>
      <c r="H274" s="146">
        <f>VLOOKUP( $A274, Aop!$A$2:$N$415, 4, 0)</f>
        <v>513</v>
      </c>
      <c r="I274" s="79">
        <f t="shared" si="40"/>
        <v>2019</v>
      </c>
      <c r="J274" s="79"/>
      <c r="K274" s="79"/>
      <c r="L274" s="79">
        <f t="shared" ca="1" si="44"/>
        <v>63920938</v>
      </c>
      <c r="M274" s="79">
        <f t="shared" ca="1" si="45"/>
        <v>25591201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3</v>
      </c>
      <c r="D275" s="79" t="str">
        <f t="shared" si="38"/>
        <v>1772902</v>
      </c>
      <c r="E275" s="79" t="str">
        <f t="shared" si="39"/>
        <v>4400964000002</v>
      </c>
      <c r="F275" s="79" t="b">
        <f t="shared" si="42"/>
        <v>1</v>
      </c>
      <c r="G275" s="190">
        <f t="shared" si="43"/>
        <v>43738</v>
      </c>
      <c r="H275" s="146">
        <f>VLOOKUP( $A275, Aop!$A$2:$N$415, 4, 0)</f>
        <v>514</v>
      </c>
      <c r="I275" s="79">
        <f t="shared" si="40"/>
        <v>2019</v>
      </c>
      <c r="J275" s="79"/>
      <c r="K275" s="79"/>
      <c r="L275" s="79">
        <f t="shared" ca="1" si="44"/>
        <v>56786501</v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3</v>
      </c>
      <c r="D276" s="79" t="str">
        <f t="shared" si="38"/>
        <v>1772902</v>
      </c>
      <c r="E276" s="79" t="str">
        <f t="shared" si="39"/>
        <v>4400964000002</v>
      </c>
      <c r="F276" s="79" t="b">
        <f t="shared" si="42"/>
        <v>1</v>
      </c>
      <c r="G276" s="190">
        <f t="shared" si="43"/>
        <v>43738</v>
      </c>
      <c r="H276" s="146">
        <f>VLOOKUP( $A276, Aop!$A$2:$N$415, 4, 0)</f>
        <v>515</v>
      </c>
      <c r="I276" s="79">
        <f t="shared" si="40"/>
        <v>2019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3</v>
      </c>
      <c r="D277" s="79" t="str">
        <f t="shared" si="38"/>
        <v>1772902</v>
      </c>
      <c r="E277" s="79" t="str">
        <f t="shared" si="39"/>
        <v>4400964000002</v>
      </c>
      <c r="F277" s="79" t="b">
        <f t="shared" si="42"/>
        <v>1</v>
      </c>
      <c r="G277" s="190">
        <f t="shared" si="43"/>
        <v>43738</v>
      </c>
      <c r="H277" s="146">
        <f>VLOOKUP( $A277, Aop!$A$2:$N$415, 4, 0)</f>
        <v>516</v>
      </c>
      <c r="I277" s="79">
        <f t="shared" si="40"/>
        <v>2019</v>
      </c>
      <c r="J277" s="79"/>
      <c r="K277" s="79"/>
      <c r="L277" s="79">
        <f t="shared" ca="1" si="44"/>
        <v>260205</v>
      </c>
      <c r="M277" s="79">
        <f t="shared" ca="1" si="45"/>
        <v>251552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3</v>
      </c>
      <c r="D278" s="79" t="str">
        <f t="shared" si="38"/>
        <v>1772902</v>
      </c>
      <c r="E278" s="79" t="str">
        <f t="shared" si="39"/>
        <v>4400964000002</v>
      </c>
      <c r="F278" s="79" t="b">
        <f t="shared" si="42"/>
        <v>1</v>
      </c>
      <c r="G278" s="190">
        <f t="shared" si="43"/>
        <v>43738</v>
      </c>
      <c r="H278" s="146">
        <f>VLOOKUP( $A278, Aop!$A$2:$N$415, 4, 0)</f>
        <v>517</v>
      </c>
      <c r="I278" s="79">
        <f t="shared" si="40"/>
        <v>2019</v>
      </c>
      <c r="J278" s="79"/>
      <c r="K278" s="79"/>
      <c r="L278" s="79">
        <f t="shared" ca="1" si="44"/>
        <v>869383</v>
      </c>
      <c r="M278" s="79">
        <f t="shared" ca="1" si="45"/>
        <v>1365177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3</v>
      </c>
      <c r="D279" s="79" t="str">
        <f t="shared" si="38"/>
        <v>1772902</v>
      </c>
      <c r="E279" s="79" t="str">
        <f t="shared" si="39"/>
        <v>4400964000002</v>
      </c>
      <c r="F279" s="79" t="b">
        <f t="shared" si="42"/>
        <v>1</v>
      </c>
      <c r="G279" s="190">
        <f t="shared" si="43"/>
        <v>43738</v>
      </c>
      <c r="H279" s="146">
        <f>VLOOKUP( $A279, Aop!$A$2:$N$415, 4, 0)</f>
        <v>518</v>
      </c>
      <c r="I279" s="79">
        <f t="shared" si="40"/>
        <v>2019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3</v>
      </c>
      <c r="D280" s="79" t="str">
        <f t="shared" si="38"/>
        <v>1772902</v>
      </c>
      <c r="E280" s="79" t="str">
        <f t="shared" si="39"/>
        <v>4400964000002</v>
      </c>
      <c r="F280" s="79" t="b">
        <f t="shared" si="42"/>
        <v>1</v>
      </c>
      <c r="G280" s="190">
        <f t="shared" si="43"/>
        <v>43738</v>
      </c>
      <c r="H280" s="146">
        <f>VLOOKUP( $A280, Aop!$A$2:$N$415, 4, 0)</f>
        <v>519</v>
      </c>
      <c r="I280" s="79">
        <f t="shared" si="40"/>
        <v>2019</v>
      </c>
      <c r="J280" s="79"/>
      <c r="K280" s="79"/>
      <c r="L280" s="79">
        <f t="shared" ca="1" si="44"/>
        <v>6004849</v>
      </c>
      <c r="M280" s="79">
        <f t="shared" ca="1" si="45"/>
        <v>23974472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3</v>
      </c>
      <c r="D281" s="79" t="str">
        <f t="shared" si="38"/>
        <v>1772902</v>
      </c>
      <c r="E281" s="79" t="str">
        <f t="shared" si="39"/>
        <v>4400964000002</v>
      </c>
      <c r="F281" s="79" t="b">
        <f t="shared" si="42"/>
        <v>1</v>
      </c>
      <c r="G281" s="190">
        <f t="shared" si="43"/>
        <v>43738</v>
      </c>
      <c r="H281" s="146">
        <f>VLOOKUP( $A281, Aop!$A$2:$N$415, 4, 0)</f>
        <v>520</v>
      </c>
      <c r="I281" s="79">
        <f t="shared" si="40"/>
        <v>2019</v>
      </c>
      <c r="J281" s="79"/>
      <c r="K281" s="79"/>
      <c r="L281" s="79">
        <f t="shared" ca="1" si="44"/>
        <v>247632716</v>
      </c>
      <c r="M281" s="79">
        <f t="shared" ca="1" si="45"/>
        <v>164706556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3</v>
      </c>
      <c r="D282" s="79" t="str">
        <f t="shared" si="38"/>
        <v>1772902</v>
      </c>
      <c r="E282" s="79" t="str">
        <f t="shared" si="39"/>
        <v>4400964000002</v>
      </c>
      <c r="F282" s="79" t="b">
        <f t="shared" si="42"/>
        <v>1</v>
      </c>
      <c r="G282" s="190">
        <f t="shared" si="43"/>
        <v>43738</v>
      </c>
      <c r="H282" s="146">
        <f>VLOOKUP( $A282, Aop!$A$2:$N$415, 4, 0)</f>
        <v>521</v>
      </c>
      <c r="I282" s="79">
        <f t="shared" si="40"/>
        <v>2019</v>
      </c>
      <c r="J282" s="79"/>
      <c r="K282" s="79"/>
      <c r="L282" s="79" t="str">
        <f t="shared" ca="1" si="44"/>
        <v/>
      </c>
      <c r="M282" s="79">
        <f t="shared" ca="1" si="45"/>
        <v>54007555</v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3</v>
      </c>
      <c r="D283" s="79" t="str">
        <f t="shared" si="38"/>
        <v>1772902</v>
      </c>
      <c r="E283" s="79" t="str">
        <f t="shared" si="39"/>
        <v>4400964000002</v>
      </c>
      <c r="F283" s="79" t="b">
        <f t="shared" si="42"/>
        <v>1</v>
      </c>
      <c r="G283" s="190">
        <f t="shared" si="43"/>
        <v>43738</v>
      </c>
      <c r="H283" s="146">
        <f>VLOOKUP( $A283, Aop!$A$2:$N$415, 4, 0)</f>
        <v>522</v>
      </c>
      <c r="I283" s="79">
        <f t="shared" si="40"/>
        <v>2019</v>
      </c>
      <c r="J283" s="79"/>
      <c r="K283" s="79"/>
      <c r="L283" s="79">
        <f t="shared" ca="1" si="44"/>
        <v>198138697</v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3</v>
      </c>
      <c r="D284" s="79" t="str">
        <f t="shared" si="38"/>
        <v>1772902</v>
      </c>
      <c r="E284" s="79" t="str">
        <f t="shared" si="39"/>
        <v>4400964000002</v>
      </c>
      <c r="F284" s="79" t="b">
        <f t="shared" si="42"/>
        <v>1</v>
      </c>
      <c r="G284" s="190">
        <f t="shared" si="43"/>
        <v>43738</v>
      </c>
      <c r="H284" s="146">
        <f>VLOOKUP( $A284, Aop!$A$2:$N$415, 4, 0)</f>
        <v>523</v>
      </c>
      <c r="I284" s="79">
        <f t="shared" si="40"/>
        <v>2019</v>
      </c>
      <c r="J284" s="79"/>
      <c r="K284" s="79"/>
      <c r="L284" s="79">
        <f t="shared" ca="1" si="44"/>
        <v>49494019</v>
      </c>
      <c r="M284" s="79">
        <f t="shared" ca="1" si="45"/>
        <v>110699001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3</v>
      </c>
      <c r="D285" s="79" t="str">
        <f t="shared" si="38"/>
        <v>1772902</v>
      </c>
      <c r="E285" s="79" t="str">
        <f t="shared" si="39"/>
        <v>4400964000002</v>
      </c>
      <c r="F285" s="79" t="b">
        <f t="shared" si="42"/>
        <v>1</v>
      </c>
      <c r="G285" s="190">
        <f t="shared" si="43"/>
        <v>43738</v>
      </c>
      <c r="H285" s="146">
        <f>VLOOKUP( $A285, Aop!$A$2:$N$415, 4, 0)</f>
        <v>524</v>
      </c>
      <c r="I285" s="79">
        <f t="shared" si="40"/>
        <v>2019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3</v>
      </c>
      <c r="D286" s="79" t="str">
        <f t="shared" si="38"/>
        <v>1772902</v>
      </c>
      <c r="E286" s="79" t="str">
        <f t="shared" si="39"/>
        <v>4400964000002</v>
      </c>
      <c r="F286" s="79" t="b">
        <f t="shared" si="42"/>
        <v>1</v>
      </c>
      <c r="G286" s="190">
        <f t="shared" si="43"/>
        <v>43738</v>
      </c>
      <c r="H286" s="146">
        <f>VLOOKUP( $A286, Aop!$A$2:$N$415, 4, 0)</f>
        <v>525</v>
      </c>
      <c r="I286" s="79">
        <f t="shared" si="40"/>
        <v>2019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3</v>
      </c>
      <c r="D287" s="79" t="str">
        <f t="shared" si="38"/>
        <v>1772902</v>
      </c>
      <c r="E287" s="79" t="str">
        <f t="shared" si="39"/>
        <v>4400964000002</v>
      </c>
      <c r="F287" s="79" t="b">
        <f t="shared" si="42"/>
        <v>1</v>
      </c>
      <c r="G287" s="190">
        <f t="shared" si="43"/>
        <v>43738</v>
      </c>
      <c r="H287" s="146">
        <f>VLOOKUP( $A287, Aop!$A$2:$N$415, 4, 0)</f>
        <v>526</v>
      </c>
      <c r="I287" s="79">
        <f t="shared" si="40"/>
        <v>2019</v>
      </c>
      <c r="J287" s="79"/>
      <c r="K287" s="79"/>
      <c r="L287" s="79">
        <f t="shared" ca="1" si="44"/>
        <v>183711778</v>
      </c>
      <c r="M287" s="79">
        <f t="shared" ca="1" si="45"/>
        <v>139115355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3</v>
      </c>
      <c r="D288" s="79" t="str">
        <f t="shared" si="38"/>
        <v>1772902</v>
      </c>
      <c r="E288" s="79" t="str">
        <f t="shared" si="39"/>
        <v>4400964000002</v>
      </c>
      <c r="F288" s="79" t="b">
        <f t="shared" si="42"/>
        <v>1</v>
      </c>
      <c r="G288" s="190">
        <f t="shared" si="43"/>
        <v>43738</v>
      </c>
      <c r="H288" s="146">
        <f>VLOOKUP( $A288, Aop!$A$2:$N$415, 4, 0)</f>
        <v>527</v>
      </c>
      <c r="I288" s="79">
        <f t="shared" si="40"/>
        <v>2019</v>
      </c>
      <c r="J288" s="79"/>
      <c r="K288" s="79"/>
      <c r="L288" s="79">
        <f t="shared" ca="1" si="44"/>
        <v>118323131</v>
      </c>
      <c r="M288" s="79">
        <f t="shared" ca="1" si="45"/>
        <v>103966610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3</v>
      </c>
      <c r="D289" s="79" t="str">
        <f t="shared" si="38"/>
        <v>1772902</v>
      </c>
      <c r="E289" s="79" t="str">
        <f t="shared" si="39"/>
        <v>4400964000002</v>
      </c>
      <c r="F289" s="79" t="b">
        <f t="shared" si="42"/>
        <v>1</v>
      </c>
      <c r="G289" s="190">
        <f t="shared" si="43"/>
        <v>43738</v>
      </c>
      <c r="H289" s="146">
        <f>VLOOKUP( $A289, Aop!$A$2:$N$415, 4, 0)</f>
        <v>528</v>
      </c>
      <c r="I289" s="79">
        <f t="shared" si="40"/>
        <v>2019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3</v>
      </c>
      <c r="D290" s="79" t="str">
        <f t="shared" si="38"/>
        <v>1772902</v>
      </c>
      <c r="E290" s="79" t="str">
        <f t="shared" si="39"/>
        <v>4400964000002</v>
      </c>
      <c r="F290" s="79" t="b">
        <f t="shared" si="42"/>
        <v>1</v>
      </c>
      <c r="G290" s="190">
        <f t="shared" si="43"/>
        <v>43738</v>
      </c>
      <c r="H290" s="146">
        <f>VLOOKUP( $A290, Aop!$A$2:$N$415, 4, 0)</f>
        <v>529</v>
      </c>
      <c r="I290" s="79">
        <f t="shared" si="40"/>
        <v>2019</v>
      </c>
      <c r="J290" s="79"/>
      <c r="K290" s="79"/>
      <c r="L290" s="79">
        <f t="shared" ca="1" si="44"/>
        <v>104564475</v>
      </c>
      <c r="M290" s="79">
        <f t="shared" ca="1" si="45"/>
        <v>97864844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3</v>
      </c>
      <c r="D291" s="79" t="str">
        <f t="shared" si="38"/>
        <v>1772902</v>
      </c>
      <c r="E291" s="79" t="str">
        <f t="shared" si="39"/>
        <v>4400964000002</v>
      </c>
      <c r="F291" s="79" t="b">
        <f t="shared" si="42"/>
        <v>1</v>
      </c>
      <c r="G291" s="190">
        <f t="shared" si="43"/>
        <v>43738</v>
      </c>
      <c r="H291" s="146">
        <f>VLOOKUP( $A291, Aop!$A$2:$N$415, 4, 0)</f>
        <v>530</v>
      </c>
      <c r="I291" s="79">
        <f t="shared" si="40"/>
        <v>2019</v>
      </c>
      <c r="J291" s="79"/>
      <c r="K291" s="79"/>
      <c r="L291" s="79">
        <f t="shared" ca="1" si="44"/>
        <v>13758656</v>
      </c>
      <c r="M291" s="79">
        <f t="shared" ca="1" si="45"/>
        <v>6101766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3</v>
      </c>
      <c r="D292" s="79" t="str">
        <f t="shared" si="38"/>
        <v>1772902</v>
      </c>
      <c r="E292" s="79" t="str">
        <f t="shared" si="39"/>
        <v>4400964000002</v>
      </c>
      <c r="F292" s="79" t="b">
        <f t="shared" si="42"/>
        <v>1</v>
      </c>
      <c r="G292" s="190">
        <f t="shared" si="43"/>
        <v>43738</v>
      </c>
      <c r="H292" s="146">
        <f>VLOOKUP( $A292, Aop!$A$2:$N$415, 4, 0)</f>
        <v>531</v>
      </c>
      <c r="I292" s="79">
        <f t="shared" si="40"/>
        <v>2019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3</v>
      </c>
      <c r="D293" s="79" t="str">
        <f t="shared" si="38"/>
        <v>1772902</v>
      </c>
      <c r="E293" s="79" t="str">
        <f t="shared" si="39"/>
        <v>4400964000002</v>
      </c>
      <c r="F293" s="79" t="b">
        <f t="shared" si="42"/>
        <v>1</v>
      </c>
      <c r="G293" s="190">
        <f t="shared" si="43"/>
        <v>43738</v>
      </c>
      <c r="H293" s="146">
        <f>VLOOKUP( $A293, Aop!$A$2:$N$415, 4, 0)</f>
        <v>532</v>
      </c>
      <c r="I293" s="79">
        <f t="shared" si="40"/>
        <v>2019</v>
      </c>
      <c r="J293" s="79"/>
      <c r="K293" s="79"/>
      <c r="L293" s="79">
        <f t="shared" ca="1" si="44"/>
        <v>91944284</v>
      </c>
      <c r="M293" s="79">
        <f t="shared" ca="1" si="45"/>
        <v>65715959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3</v>
      </c>
      <c r="D294" s="79" t="str">
        <f t="shared" si="38"/>
        <v>1772902</v>
      </c>
      <c r="E294" s="79" t="str">
        <f t="shared" si="39"/>
        <v>4400964000002</v>
      </c>
      <c r="F294" s="79" t="b">
        <f t="shared" si="42"/>
        <v>1</v>
      </c>
      <c r="G294" s="190">
        <f t="shared" si="43"/>
        <v>43738</v>
      </c>
      <c r="H294" s="146">
        <f>VLOOKUP( $A294, Aop!$A$2:$N$415, 4, 0)</f>
        <v>533</v>
      </c>
      <c r="I294" s="79">
        <f t="shared" si="40"/>
        <v>2019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3</v>
      </c>
      <c r="D295" s="79" t="str">
        <f t="shared" si="38"/>
        <v>1772902</v>
      </c>
      <c r="E295" s="79" t="str">
        <f t="shared" si="39"/>
        <v>4400964000002</v>
      </c>
      <c r="F295" s="79" t="b">
        <f t="shared" si="42"/>
        <v>1</v>
      </c>
      <c r="G295" s="190">
        <f t="shared" si="43"/>
        <v>43738</v>
      </c>
      <c r="H295" s="146">
        <f>VLOOKUP( $A295, Aop!$A$2:$N$415, 4, 0)</f>
        <v>534</v>
      </c>
      <c r="I295" s="79">
        <f t="shared" si="40"/>
        <v>2019</v>
      </c>
      <c r="J295" s="79"/>
      <c r="K295" s="79"/>
      <c r="L295" s="79">
        <f t="shared" ca="1" si="44"/>
        <v>28780540</v>
      </c>
      <c r="M295" s="79">
        <f t="shared" ca="1" si="45"/>
        <v>18742661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3</v>
      </c>
      <c r="D296" s="79" t="str">
        <f t="shared" si="38"/>
        <v>1772902</v>
      </c>
      <c r="E296" s="79" t="str">
        <f t="shared" si="39"/>
        <v>4400964000002</v>
      </c>
      <c r="F296" s="79" t="b">
        <f t="shared" si="42"/>
        <v>1</v>
      </c>
      <c r="G296" s="190">
        <f t="shared" si="43"/>
        <v>43738</v>
      </c>
      <c r="H296" s="146">
        <f>VLOOKUP( $A296, Aop!$A$2:$N$415, 4, 0)</f>
        <v>535</v>
      </c>
      <c r="I296" s="79">
        <f t="shared" si="40"/>
        <v>2019</v>
      </c>
      <c r="J296" s="79"/>
      <c r="K296" s="79"/>
      <c r="L296" s="79">
        <f t="shared" ca="1" si="44"/>
        <v>2000000</v>
      </c>
      <c r="M296" s="79">
        <f t="shared" ca="1" si="45"/>
        <v>5197382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3</v>
      </c>
      <c r="D297" s="79" t="str">
        <f t="shared" si="38"/>
        <v>1772902</v>
      </c>
      <c r="E297" s="79" t="str">
        <f t="shared" si="39"/>
        <v>4400964000002</v>
      </c>
      <c r="F297" s="79" t="b">
        <f t="shared" si="42"/>
        <v>1</v>
      </c>
      <c r="G297" s="190">
        <f t="shared" si="43"/>
        <v>43738</v>
      </c>
      <c r="H297" s="146">
        <f>VLOOKUP( $A297, Aop!$A$2:$N$415, 4, 0)</f>
        <v>536</v>
      </c>
      <c r="I297" s="79">
        <f t="shared" si="40"/>
        <v>2019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3</v>
      </c>
      <c r="D298" s="79" t="str">
        <f t="shared" si="38"/>
        <v>1772902</v>
      </c>
      <c r="E298" s="79" t="str">
        <f t="shared" si="39"/>
        <v>4400964000002</v>
      </c>
      <c r="F298" s="79" t="b">
        <f t="shared" si="42"/>
        <v>1</v>
      </c>
      <c r="G298" s="190">
        <f t="shared" si="43"/>
        <v>43738</v>
      </c>
      <c r="H298" s="146">
        <f>VLOOKUP( $A298, Aop!$A$2:$N$415, 4, 0)</f>
        <v>537</v>
      </c>
      <c r="I298" s="79">
        <f t="shared" si="40"/>
        <v>2019</v>
      </c>
      <c r="J298" s="79"/>
      <c r="K298" s="79"/>
      <c r="L298" s="79">
        <f t="shared" ca="1" si="44"/>
        <v>48467366</v>
      </c>
      <c r="M298" s="79">
        <f t="shared" ca="1" si="45"/>
        <v>41775916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3</v>
      </c>
      <c r="D299" s="79" t="str">
        <f t="shared" si="38"/>
        <v>1772902</v>
      </c>
      <c r="E299" s="79" t="str">
        <f t="shared" si="39"/>
        <v>4400964000002</v>
      </c>
      <c r="F299" s="79" t="b">
        <f t="shared" si="42"/>
        <v>1</v>
      </c>
      <c r="G299" s="190">
        <f t="shared" si="43"/>
        <v>43738</v>
      </c>
      <c r="H299" s="146">
        <f>VLOOKUP( $A299, Aop!$A$2:$N$415, 4, 0)</f>
        <v>538</v>
      </c>
      <c r="I299" s="79">
        <f t="shared" si="40"/>
        <v>2019</v>
      </c>
      <c r="J299" s="79"/>
      <c r="K299" s="79"/>
      <c r="L299" s="79">
        <f t="shared" ca="1" si="44"/>
        <v>12696378</v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3</v>
      </c>
      <c r="D300" s="79" t="str">
        <f t="shared" si="38"/>
        <v>1772902</v>
      </c>
      <c r="E300" s="79" t="str">
        <f t="shared" si="39"/>
        <v>4400964000002</v>
      </c>
      <c r="F300" s="79" t="b">
        <f t="shared" si="42"/>
        <v>1</v>
      </c>
      <c r="G300" s="190">
        <f t="shared" si="43"/>
        <v>43738</v>
      </c>
      <c r="H300" s="146">
        <f>VLOOKUP( $A300, Aop!$A$2:$N$415, 4, 0)</f>
        <v>539</v>
      </c>
      <c r="I300" s="79">
        <f t="shared" si="40"/>
        <v>2019</v>
      </c>
      <c r="J300" s="79"/>
      <c r="K300" s="79"/>
      <c r="L300" s="79">
        <f t="shared" ca="1" si="44"/>
        <v>26378847</v>
      </c>
      <c r="M300" s="79">
        <f t="shared" ca="1" si="45"/>
        <v>38250651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3</v>
      </c>
      <c r="D301" s="79" t="str">
        <f t="shared" si="38"/>
        <v>1772902</v>
      </c>
      <c r="E301" s="79" t="str">
        <f t="shared" si="39"/>
        <v>4400964000002</v>
      </c>
      <c r="F301" s="79" t="b">
        <f t="shared" si="42"/>
        <v>1</v>
      </c>
      <c r="G301" s="190">
        <f t="shared" si="43"/>
        <v>43738</v>
      </c>
      <c r="H301" s="146">
        <f>VLOOKUP( $A301, Aop!$A$2:$N$415, 4, 0)</f>
        <v>540</v>
      </c>
      <c r="I301" s="79">
        <f t="shared" si="40"/>
        <v>2019</v>
      </c>
      <c r="J301" s="79"/>
      <c r="K301" s="79"/>
      <c r="L301" s="79">
        <f t="shared" ca="1" si="44"/>
        <v>0</v>
      </c>
      <c r="M301" s="79">
        <f t="shared" ca="1" si="45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3</v>
      </c>
      <c r="D302" s="79" t="str">
        <f t="shared" si="38"/>
        <v>1772902</v>
      </c>
      <c r="E302" s="79" t="str">
        <f t="shared" si="39"/>
        <v>4400964000002</v>
      </c>
      <c r="F302" s="79" t="b">
        <f t="shared" si="42"/>
        <v>1</v>
      </c>
      <c r="G302" s="190">
        <f t="shared" si="43"/>
        <v>43738</v>
      </c>
      <c r="H302" s="146">
        <f>VLOOKUP( $A302, Aop!$A$2:$N$415, 4, 0)</f>
        <v>541</v>
      </c>
      <c r="I302" s="79">
        <f t="shared" si="40"/>
        <v>2019</v>
      </c>
      <c r="J302" s="79"/>
      <c r="K302" s="79"/>
      <c r="L302" s="79">
        <f t="shared" ca="1" si="44"/>
        <v>533122764</v>
      </c>
      <c r="M302" s="79">
        <f t="shared" ca="1" si="45"/>
        <v>455335493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3</v>
      </c>
      <c r="D303" s="79" t="str">
        <f t="shared" si="38"/>
        <v>1772902</v>
      </c>
      <c r="E303" s="79" t="str">
        <f t="shared" si="39"/>
        <v>4400964000002</v>
      </c>
      <c r="F303" s="79" t="b">
        <f t="shared" si="42"/>
        <v>1</v>
      </c>
      <c r="G303" s="190">
        <f t="shared" si="43"/>
        <v>43738</v>
      </c>
      <c r="H303" s="146">
        <f>VLOOKUP( $A303, Aop!$A$2:$N$415, 4, 0)</f>
        <v>542</v>
      </c>
      <c r="I303" s="79">
        <f t="shared" si="40"/>
        <v>2019</v>
      </c>
      <c r="J303" s="79"/>
      <c r="K303" s="79"/>
      <c r="L303" s="79">
        <f t="shared" ca="1" si="44"/>
        <v>576097057</v>
      </c>
      <c r="M303" s="79">
        <f t="shared" ca="1" si="45"/>
        <v>447715885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3</v>
      </c>
      <c r="D304" s="79" t="str">
        <f t="shared" si="38"/>
        <v>1772902</v>
      </c>
      <c r="E304" s="79" t="str">
        <f t="shared" si="39"/>
        <v>4400964000002</v>
      </c>
      <c r="F304" s="79" t="b">
        <f t="shared" si="42"/>
        <v>1</v>
      </c>
      <c r="G304" s="190">
        <f t="shared" si="43"/>
        <v>43738</v>
      </c>
      <c r="H304" s="146">
        <f>VLOOKUP( $A304, Aop!$A$2:$N$415, 4, 0)</f>
        <v>543</v>
      </c>
      <c r="I304" s="79">
        <f t="shared" si="40"/>
        <v>2019</v>
      </c>
      <c r="J304" s="79"/>
      <c r="K304" s="79"/>
      <c r="L304" s="79">
        <f t="shared" ca="1" si="44"/>
        <v>0</v>
      </c>
      <c r="M304" s="79">
        <f t="shared" ca="1" si="45"/>
        <v>7619608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3</v>
      </c>
      <c r="D305" s="79" t="str">
        <f t="shared" si="38"/>
        <v>1772902</v>
      </c>
      <c r="E305" s="79" t="str">
        <f t="shared" si="39"/>
        <v>4400964000002</v>
      </c>
      <c r="F305" s="79" t="b">
        <f t="shared" si="42"/>
        <v>1</v>
      </c>
      <c r="G305" s="190">
        <f t="shared" si="43"/>
        <v>43738</v>
      </c>
      <c r="H305" s="146">
        <f>VLOOKUP( $A305, Aop!$A$2:$N$415, 4, 0)</f>
        <v>544</v>
      </c>
      <c r="I305" s="79">
        <f t="shared" si="40"/>
        <v>2019</v>
      </c>
      <c r="J305" s="79"/>
      <c r="K305" s="79"/>
      <c r="L305" s="79">
        <f t="shared" ca="1" si="44"/>
        <v>42974293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3</v>
      </c>
      <c r="D306" s="79" t="str">
        <f t="shared" si="38"/>
        <v>1772902</v>
      </c>
      <c r="E306" s="79" t="str">
        <f t="shared" si="39"/>
        <v>4400964000002</v>
      </c>
      <c r="F306" s="79" t="b">
        <f t="shared" si="42"/>
        <v>1</v>
      </c>
      <c r="G306" s="190">
        <f t="shared" si="43"/>
        <v>43738</v>
      </c>
      <c r="H306" s="146">
        <f>VLOOKUP( $A306, Aop!$A$2:$N$415, 4, 0)</f>
        <v>545</v>
      </c>
      <c r="I306" s="79">
        <f t="shared" si="40"/>
        <v>2019</v>
      </c>
      <c r="J306" s="79"/>
      <c r="K306" s="79"/>
      <c r="L306" s="79">
        <f t="shared" ca="1" si="44"/>
        <v>71465331</v>
      </c>
      <c r="M306" s="79">
        <f t="shared" ca="1" si="45"/>
        <v>25049349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3</v>
      </c>
      <c r="D307" s="79" t="str">
        <f t="shared" si="38"/>
        <v>1772902</v>
      </c>
      <c r="E307" s="79" t="str">
        <f t="shared" si="39"/>
        <v>4400964000002</v>
      </c>
      <c r="F307" s="79" t="b">
        <f t="shared" si="42"/>
        <v>1</v>
      </c>
      <c r="G307" s="190">
        <f t="shared" si="43"/>
        <v>43738</v>
      </c>
      <c r="H307" s="146">
        <f>VLOOKUP( $A307, Aop!$A$2:$N$415, 4, 0)</f>
        <v>546</v>
      </c>
      <c r="I307" s="79">
        <f t="shared" si="40"/>
        <v>2019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3</v>
      </c>
      <c r="D308" s="79" t="str">
        <f t="shared" si="38"/>
        <v>1772902</v>
      </c>
      <c r="E308" s="79" t="str">
        <f t="shared" si="39"/>
        <v>4400964000002</v>
      </c>
      <c r="F308" s="79" t="b">
        <f t="shared" si="42"/>
        <v>1</v>
      </c>
      <c r="G308" s="190">
        <f t="shared" si="43"/>
        <v>43738</v>
      </c>
      <c r="H308" s="146">
        <f>VLOOKUP( $A308, Aop!$A$2:$N$415, 4, 0)</f>
        <v>547</v>
      </c>
      <c r="I308" s="79">
        <f t="shared" si="40"/>
        <v>2019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3</v>
      </c>
      <c r="D309" s="79" t="str">
        <f t="shared" ref="D309:D354" si="46">Podatak_MB</f>
        <v>1772902</v>
      </c>
      <c r="E309" s="79" t="str">
        <f t="shared" ref="E309:E354" si="47">Podatak_JIB</f>
        <v>4400964000002</v>
      </c>
      <c r="F309" s="79" t="b">
        <f t="shared" si="42"/>
        <v>1</v>
      </c>
      <c r="G309" s="190">
        <f t="shared" si="43"/>
        <v>43738</v>
      </c>
      <c r="H309" s="146">
        <f>VLOOKUP( $A309, Aop!$A$2:$N$415, 4, 0)</f>
        <v>548</v>
      </c>
      <c r="I309" s="79">
        <f t="shared" ref="I309:I354" si="48">Godina</f>
        <v>2019</v>
      </c>
      <c r="J309" s="79"/>
      <c r="K309" s="79"/>
      <c r="L309" s="79">
        <f t="shared" ca="1" si="44"/>
        <v>28491038</v>
      </c>
      <c r="M309" s="79">
        <f t="shared" ca="1" si="45"/>
        <v>32668957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3</v>
      </c>
      <c r="D310" s="79" t="str">
        <f t="shared" si="46"/>
        <v>1772902</v>
      </c>
      <c r="E310" s="79" t="str">
        <f t="shared" si="47"/>
        <v>4400964000002</v>
      </c>
      <c r="F310" s="79" t="b">
        <f t="shared" ref="F310:F354" si="50">Konsolidovan_izvjestaj</f>
        <v>1</v>
      </c>
      <c r="G310" s="190">
        <f t="shared" ref="G310:G354" si="51">Datum_Broj</f>
        <v>43738</v>
      </c>
      <c r="H310" s="146">
        <f>VLOOKUP( $A310, Aop!$A$2:$N$415, 4, 0)</f>
        <v>601</v>
      </c>
      <c r="I310" s="79">
        <f t="shared" si="48"/>
        <v>2019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3</v>
      </c>
      <c r="D311" s="79" t="str">
        <f t="shared" si="46"/>
        <v>1772902</v>
      </c>
      <c r="E311" s="79" t="str">
        <f t="shared" si="47"/>
        <v>4400964000002</v>
      </c>
      <c r="F311" s="79" t="b">
        <f t="shared" si="50"/>
        <v>1</v>
      </c>
      <c r="G311" s="190">
        <f t="shared" si="51"/>
        <v>43738</v>
      </c>
      <c r="H311" s="146">
        <f>VLOOKUP( $A311, Aop!$A$2:$N$415, 4, 0)</f>
        <v>602</v>
      </c>
      <c r="I311" s="79">
        <f t="shared" si="48"/>
        <v>2019</v>
      </c>
      <c r="J311" s="79"/>
      <c r="K311" s="79"/>
      <c r="L311" s="79">
        <f t="shared" ca="1" si="44"/>
        <v>357795025</v>
      </c>
      <c r="M311" s="79">
        <f t="shared" ca="1" si="45"/>
        <v>334641604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3</v>
      </c>
      <c r="D312" s="79" t="str">
        <f t="shared" si="46"/>
        <v>1772902</v>
      </c>
      <c r="E312" s="79" t="str">
        <f t="shared" si="47"/>
        <v>4400964000002</v>
      </c>
      <c r="F312" s="79" t="b">
        <f t="shared" si="50"/>
        <v>1</v>
      </c>
      <c r="G312" s="190">
        <f t="shared" si="51"/>
        <v>43738</v>
      </c>
      <c r="H312" s="146">
        <f>VLOOKUP( $A312, Aop!$A$2:$N$415, 4, 0)</f>
        <v>603</v>
      </c>
      <c r="I312" s="79">
        <f t="shared" si="48"/>
        <v>2019</v>
      </c>
      <c r="J312" s="79"/>
      <c r="K312" s="79"/>
      <c r="L312" s="79">
        <f t="shared" ca="1" si="44"/>
        <v>22117562</v>
      </c>
      <c r="M312" s="79">
        <f t="shared" ca="1" si="45"/>
        <v>23559289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3</v>
      </c>
      <c r="D313" s="79" t="str">
        <f t="shared" si="46"/>
        <v>1772902</v>
      </c>
      <c r="E313" s="79" t="str">
        <f t="shared" si="47"/>
        <v>4400964000002</v>
      </c>
      <c r="F313" s="79" t="b">
        <f t="shared" si="50"/>
        <v>1</v>
      </c>
      <c r="G313" s="190">
        <f t="shared" si="51"/>
        <v>43738</v>
      </c>
      <c r="H313" s="146">
        <f>VLOOKUP( $A313, Aop!$A$2:$N$415, 4, 0)</f>
        <v>604</v>
      </c>
      <c r="I313" s="79">
        <f t="shared" si="48"/>
        <v>2019</v>
      </c>
      <c r="J313" s="79"/>
      <c r="K313" s="79"/>
      <c r="L313" s="79">
        <f t="shared" ca="1" si="44"/>
        <v>5318657</v>
      </c>
      <c r="M313" s="79">
        <f t="shared" ca="1" si="45"/>
        <v>4928778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3</v>
      </c>
      <c r="D314" s="79" t="str">
        <f t="shared" si="46"/>
        <v>1772902</v>
      </c>
      <c r="E314" s="79" t="str">
        <f t="shared" si="47"/>
        <v>4400964000002</v>
      </c>
      <c r="F314" s="79" t="b">
        <f t="shared" si="50"/>
        <v>1</v>
      </c>
      <c r="G314" s="190">
        <f t="shared" si="51"/>
        <v>43738</v>
      </c>
      <c r="H314" s="146">
        <f>VLOOKUP( $A314, Aop!$A$2:$N$415, 4, 0)</f>
        <v>605</v>
      </c>
      <c r="I314" s="79">
        <f t="shared" si="48"/>
        <v>2019</v>
      </c>
      <c r="J314" s="79"/>
      <c r="K314" s="79"/>
      <c r="L314" s="79">
        <f t="shared" ca="1" si="44"/>
        <v>123732840</v>
      </c>
      <c r="M314" s="79">
        <f t="shared" ca="1" si="45"/>
        <v>196578049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3</v>
      </c>
      <c r="D315" s="79" t="str">
        <f t="shared" si="46"/>
        <v>1772902</v>
      </c>
      <c r="E315" s="79" t="str">
        <f t="shared" si="47"/>
        <v>4400964000002</v>
      </c>
      <c r="F315" s="79" t="b">
        <f t="shared" si="50"/>
        <v>1</v>
      </c>
      <c r="G315" s="190">
        <f t="shared" si="51"/>
        <v>43738</v>
      </c>
      <c r="H315" s="146">
        <f>VLOOKUP( $A315, Aop!$A$2:$N$415, 4, 0)</f>
        <v>606</v>
      </c>
      <c r="I315" s="79">
        <f t="shared" si="48"/>
        <v>2019</v>
      </c>
      <c r="J315" s="79"/>
      <c r="K315" s="79"/>
      <c r="L315" s="79">
        <f t="shared" ca="1" si="44"/>
        <v>78684499</v>
      </c>
      <c r="M315" s="79">
        <f t="shared" ca="1" si="45"/>
        <v>59451010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3</v>
      </c>
      <c r="D316" s="79" t="str">
        <f t="shared" si="46"/>
        <v>1772902</v>
      </c>
      <c r="E316" s="79" t="str">
        <f t="shared" si="47"/>
        <v>4400964000002</v>
      </c>
      <c r="F316" s="79" t="b">
        <f t="shared" si="50"/>
        <v>1</v>
      </c>
      <c r="G316" s="190">
        <f t="shared" si="51"/>
        <v>43738</v>
      </c>
      <c r="H316" s="146">
        <f>VLOOKUP( $A316, Aop!$A$2:$N$415, 4, 0)</f>
        <v>607</v>
      </c>
      <c r="I316" s="79">
        <f t="shared" si="48"/>
        <v>2019</v>
      </c>
      <c r="J316" s="79"/>
      <c r="K316" s="79"/>
      <c r="L316" s="79">
        <f t="shared" ca="1" si="44"/>
        <v>418055</v>
      </c>
      <c r="M316" s="79">
        <f t="shared" ca="1" si="45"/>
        <v>458838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3</v>
      </c>
      <c r="D317" s="79" t="str">
        <f t="shared" si="46"/>
        <v>1772902</v>
      </c>
      <c r="E317" s="79" t="str">
        <f t="shared" si="47"/>
        <v>4400964000002</v>
      </c>
      <c r="F317" s="79" t="b">
        <f t="shared" si="50"/>
        <v>1</v>
      </c>
      <c r="G317" s="190">
        <f t="shared" si="51"/>
        <v>43738</v>
      </c>
      <c r="H317" s="146">
        <f>VLOOKUP( $A317, Aop!$A$2:$N$415, 4, 0)</f>
        <v>608</v>
      </c>
      <c r="I317" s="79">
        <f t="shared" si="48"/>
        <v>2019</v>
      </c>
      <c r="J317" s="79"/>
      <c r="K317" s="79"/>
      <c r="L317" s="79">
        <f t="shared" ca="1" si="44"/>
        <v>303570</v>
      </c>
      <c r="M317" s="79">
        <f t="shared" ca="1" si="45"/>
        <v>220894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3</v>
      </c>
      <c r="D318" s="79" t="str">
        <f t="shared" si="46"/>
        <v>1772902</v>
      </c>
      <c r="E318" s="79" t="str">
        <f t="shared" si="47"/>
        <v>4400964000002</v>
      </c>
      <c r="F318" s="79" t="b">
        <f t="shared" si="50"/>
        <v>1</v>
      </c>
      <c r="G318" s="190">
        <f t="shared" si="51"/>
        <v>43738</v>
      </c>
      <c r="H318" s="146">
        <f>VLOOKUP( $A318, Aop!$A$2:$N$415, 4, 0)</f>
        <v>609</v>
      </c>
      <c r="I318" s="79">
        <f t="shared" si="48"/>
        <v>2019</v>
      </c>
      <c r="J318" s="79"/>
      <c r="K318" s="79"/>
      <c r="L318" s="79">
        <f t="shared" ca="1" si="44"/>
        <v>489872</v>
      </c>
      <c r="M318" s="79">
        <f t="shared" ca="1" si="45"/>
        <v>478430</v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3</v>
      </c>
      <c r="D319" s="79" t="str">
        <f t="shared" si="46"/>
        <v>1772902</v>
      </c>
      <c r="E319" s="79" t="str">
        <f t="shared" si="47"/>
        <v>4400964000002</v>
      </c>
      <c r="F319" s="79" t="b">
        <f t="shared" si="50"/>
        <v>1</v>
      </c>
      <c r="G319" s="190">
        <f t="shared" si="51"/>
        <v>43738</v>
      </c>
      <c r="H319" s="146">
        <f>VLOOKUP( $A319, Aop!$A$2:$N$415, 4, 0)</f>
        <v>610</v>
      </c>
      <c r="I319" s="79">
        <f t="shared" si="48"/>
        <v>2019</v>
      </c>
      <c r="J319" s="79"/>
      <c r="K319" s="79"/>
      <c r="L319" s="79">
        <f t="shared" ca="1" si="44"/>
        <v>7025</v>
      </c>
      <c r="M319" s="79">
        <f t="shared" ca="1" si="45"/>
        <v>10125</v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3</v>
      </c>
      <c r="D320" s="79" t="str">
        <f t="shared" si="46"/>
        <v>1772902</v>
      </c>
      <c r="E320" s="79" t="str">
        <f t="shared" si="47"/>
        <v>4400964000002</v>
      </c>
      <c r="F320" s="79" t="b">
        <f t="shared" si="50"/>
        <v>1</v>
      </c>
      <c r="G320" s="190">
        <f t="shared" si="51"/>
        <v>43738</v>
      </c>
      <c r="H320" s="146">
        <f>VLOOKUP( $A320, Aop!$A$2:$N$415, 4, 0)</f>
        <v>611</v>
      </c>
      <c r="I320" s="79">
        <f t="shared" si="48"/>
        <v>2019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3</v>
      </c>
      <c r="D321" s="79" t="str">
        <f t="shared" si="46"/>
        <v>1772902</v>
      </c>
      <c r="E321" s="79" t="str">
        <f t="shared" si="47"/>
        <v>4400964000002</v>
      </c>
      <c r="F321" s="79" t="b">
        <f t="shared" si="50"/>
        <v>1</v>
      </c>
      <c r="G321" s="190">
        <f t="shared" si="51"/>
        <v>43738</v>
      </c>
      <c r="H321" s="146">
        <f>VLOOKUP( $A321, Aop!$A$2:$N$415, 4, 0)</f>
        <v>612</v>
      </c>
      <c r="I321" s="79">
        <f t="shared" si="48"/>
        <v>2019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3</v>
      </c>
      <c r="D322" s="79" t="str">
        <f t="shared" si="46"/>
        <v>1772902</v>
      </c>
      <c r="E322" s="79" t="str">
        <f t="shared" si="47"/>
        <v>4400964000002</v>
      </c>
      <c r="F322" s="79" t="b">
        <f t="shared" si="50"/>
        <v>1</v>
      </c>
      <c r="G322" s="190">
        <f t="shared" si="51"/>
        <v>43738</v>
      </c>
      <c r="H322" s="146">
        <f>VLOOKUP( $A322, Aop!$A$2:$N$415, 4, 0)</f>
        <v>613</v>
      </c>
      <c r="I322" s="79">
        <f t="shared" si="48"/>
        <v>2019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288713188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272356557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3</v>
      </c>
      <c r="D323" s="79" t="str">
        <f t="shared" si="46"/>
        <v>1772902</v>
      </c>
      <c r="E323" s="79" t="str">
        <f t="shared" si="47"/>
        <v>4400964000002</v>
      </c>
      <c r="F323" s="79" t="b">
        <f t="shared" si="50"/>
        <v>1</v>
      </c>
      <c r="G323" s="190">
        <f t="shared" si="51"/>
        <v>43738</v>
      </c>
      <c r="H323" s="146">
        <f>VLOOKUP( $A323, Aop!$A$2:$N$415, 4, 0)</f>
        <v>614</v>
      </c>
      <c r="I323" s="79">
        <f t="shared" si="48"/>
        <v>2019</v>
      </c>
      <c r="J323" s="79"/>
      <c r="K323" s="79"/>
      <c r="L323" s="79">
        <f t="shared" ca="1" si="52"/>
        <v>15979692</v>
      </c>
      <c r="M323" s="79">
        <f t="shared" ca="1" si="53"/>
        <v>18957292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3</v>
      </c>
      <c r="D324" s="79" t="str">
        <f t="shared" si="46"/>
        <v>1772902</v>
      </c>
      <c r="E324" s="79" t="str">
        <f t="shared" si="47"/>
        <v>4400964000002</v>
      </c>
      <c r="F324" s="79" t="b">
        <f t="shared" si="50"/>
        <v>1</v>
      </c>
      <c r="G324" s="190">
        <f t="shared" si="51"/>
        <v>43738</v>
      </c>
      <c r="H324" s="146">
        <f>VLOOKUP( $A324, Aop!$A$2:$N$415, 4, 0)</f>
        <v>615</v>
      </c>
      <c r="I324" s="79">
        <f t="shared" si="48"/>
        <v>2019</v>
      </c>
      <c r="J324" s="79"/>
      <c r="K324" s="79"/>
      <c r="L324" s="79">
        <f t="shared" ca="1" si="52"/>
        <v>4923681</v>
      </c>
      <c r="M324" s="79">
        <f t="shared" ca="1" si="53"/>
        <v>4632356</v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3</v>
      </c>
      <c r="D325" s="79" t="str">
        <f t="shared" si="46"/>
        <v>1772902</v>
      </c>
      <c r="E325" s="79" t="str">
        <f t="shared" si="47"/>
        <v>4400964000002</v>
      </c>
      <c r="F325" s="79" t="b">
        <f t="shared" si="50"/>
        <v>1</v>
      </c>
      <c r="G325" s="190">
        <f t="shared" si="51"/>
        <v>43738</v>
      </c>
      <c r="H325" s="146">
        <f>VLOOKUP( $A325, Aop!$A$2:$N$415, 4, 0)</f>
        <v>616</v>
      </c>
      <c r="I325" s="79">
        <f t="shared" si="48"/>
        <v>2019</v>
      </c>
      <c r="J325" s="79"/>
      <c r="K325" s="79"/>
      <c r="L325" s="79" t="str">
        <f t="shared" ca="1" si="52"/>
        <v/>
      </c>
      <c r="M325" s="79" t="str">
        <f t="shared" ca="1" si="53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3</v>
      </c>
      <c r="D326" s="79" t="str">
        <f t="shared" si="46"/>
        <v>1772902</v>
      </c>
      <c r="E326" s="79" t="str">
        <f t="shared" si="47"/>
        <v>4400964000002</v>
      </c>
      <c r="F326" s="79" t="b">
        <f t="shared" si="50"/>
        <v>1</v>
      </c>
      <c r="G326" s="190">
        <f t="shared" si="51"/>
        <v>43738</v>
      </c>
      <c r="H326" s="146">
        <f>VLOOKUP( $A326, Aop!$A$2:$N$415, 4, 0)</f>
        <v>617</v>
      </c>
      <c r="I326" s="79">
        <f t="shared" si="48"/>
        <v>2019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3</v>
      </c>
      <c r="D327" s="79" t="str">
        <f t="shared" si="46"/>
        <v>1772902</v>
      </c>
      <c r="E327" s="79" t="str">
        <f t="shared" si="47"/>
        <v>4400964000002</v>
      </c>
      <c r="F327" s="79" t="b">
        <f t="shared" si="50"/>
        <v>1</v>
      </c>
      <c r="G327" s="190">
        <f t="shared" si="51"/>
        <v>43738</v>
      </c>
      <c r="H327" s="146">
        <f>VLOOKUP( $A327, Aop!$A$2:$N$415, 4, 0)</f>
        <v>618</v>
      </c>
      <c r="I327" s="79">
        <f t="shared" si="48"/>
        <v>2019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3</v>
      </c>
      <c r="D328" s="79" t="str">
        <f t="shared" si="46"/>
        <v>1772902</v>
      </c>
      <c r="E328" s="79" t="str">
        <f t="shared" si="47"/>
        <v>4400964000002</v>
      </c>
      <c r="F328" s="79" t="b">
        <f t="shared" si="50"/>
        <v>1</v>
      </c>
      <c r="G328" s="190">
        <f t="shared" si="51"/>
        <v>43738</v>
      </c>
      <c r="H328" s="146">
        <f>VLOOKUP( $A328, Aop!$A$2:$N$415, 4, 0)</f>
        <v>619</v>
      </c>
      <c r="I328" s="79">
        <f t="shared" si="48"/>
        <v>2019</v>
      </c>
      <c r="J328" s="79"/>
      <c r="K328" s="79"/>
      <c r="L328" s="79">
        <f t="shared" ca="1" si="52"/>
        <v>3249891</v>
      </c>
      <c r="M328" s="79">
        <f t="shared" ca="1" si="53"/>
        <v>2760351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3</v>
      </c>
      <c r="D329" s="79" t="str">
        <f t="shared" si="46"/>
        <v>1772902</v>
      </c>
      <c r="E329" s="79" t="str">
        <f t="shared" si="47"/>
        <v>4400964000002</v>
      </c>
      <c r="F329" s="79" t="b">
        <f t="shared" si="50"/>
        <v>1</v>
      </c>
      <c r="G329" s="190">
        <f t="shared" si="51"/>
        <v>43738</v>
      </c>
      <c r="H329" s="146">
        <f>VLOOKUP( $A329, Aop!$A$2:$N$415, 4, 0)</f>
        <v>620</v>
      </c>
      <c r="I329" s="79">
        <f t="shared" si="48"/>
        <v>2019</v>
      </c>
      <c r="J329" s="79"/>
      <c r="K329" s="79"/>
      <c r="L329" s="79">
        <f t="shared" ca="1" si="52"/>
        <v>22473</v>
      </c>
      <c r="M329" s="79">
        <f t="shared" ca="1" si="53"/>
        <v>50068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3</v>
      </c>
      <c r="D330" s="79" t="str">
        <f t="shared" si="46"/>
        <v>1772902</v>
      </c>
      <c r="E330" s="79" t="str">
        <f t="shared" si="47"/>
        <v>4400964000002</v>
      </c>
      <c r="F330" s="79" t="b">
        <f t="shared" si="50"/>
        <v>1</v>
      </c>
      <c r="G330" s="190">
        <f t="shared" si="51"/>
        <v>43738</v>
      </c>
      <c r="H330" s="146">
        <f>VLOOKUP( $A330, Aop!$A$2:$N$415, 4, 0)</f>
        <v>621</v>
      </c>
      <c r="I330" s="79">
        <f t="shared" si="48"/>
        <v>2019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3</v>
      </c>
      <c r="D331" s="79" t="str">
        <f t="shared" si="46"/>
        <v>1772902</v>
      </c>
      <c r="E331" s="79" t="str">
        <f t="shared" si="47"/>
        <v>4400964000002</v>
      </c>
      <c r="F331" s="79" t="b">
        <f t="shared" si="50"/>
        <v>1</v>
      </c>
      <c r="G331" s="190">
        <f t="shared" si="51"/>
        <v>43738</v>
      </c>
      <c r="H331" s="146">
        <f>VLOOKUP( $A331, Aop!$A$2:$N$415, 4, 0)</f>
        <v>622</v>
      </c>
      <c r="I331" s="79">
        <f t="shared" si="48"/>
        <v>2019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3</v>
      </c>
      <c r="D332" s="79" t="str">
        <f t="shared" si="46"/>
        <v>1772902</v>
      </c>
      <c r="E332" s="79" t="str">
        <f t="shared" si="47"/>
        <v>4400964000002</v>
      </c>
      <c r="F332" s="79" t="b">
        <f t="shared" si="50"/>
        <v>1</v>
      </c>
      <c r="G332" s="190">
        <f t="shared" si="51"/>
        <v>43738</v>
      </c>
      <c r="H332" s="146">
        <f>VLOOKUP( $A332, Aop!$A$2:$N$415, 4, 0)</f>
        <v>623</v>
      </c>
      <c r="I332" s="79">
        <f t="shared" si="48"/>
        <v>2019</v>
      </c>
      <c r="J332" s="79"/>
      <c r="K332" s="79"/>
      <c r="L332" s="79">
        <f t="shared" ca="1" si="52"/>
        <v>1719188</v>
      </c>
      <c r="M332" s="79">
        <f t="shared" ca="1" si="53"/>
        <v>1716900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3</v>
      </c>
      <c r="D333" s="79" t="str">
        <f t="shared" si="46"/>
        <v>1772902</v>
      </c>
      <c r="E333" s="79" t="str">
        <f t="shared" si="47"/>
        <v>4400964000002</v>
      </c>
      <c r="F333" s="79" t="b">
        <f t="shared" si="50"/>
        <v>1</v>
      </c>
      <c r="G333" s="190">
        <f t="shared" si="51"/>
        <v>43738</v>
      </c>
      <c r="H333" s="146">
        <f>VLOOKUP( $A333, Aop!$A$2:$N$415, 4, 0)</f>
        <v>624</v>
      </c>
      <c r="I333" s="79">
        <f t="shared" si="48"/>
        <v>2019</v>
      </c>
      <c r="J333" s="79"/>
      <c r="K333" s="79"/>
      <c r="L333" s="79">
        <f t="shared" ca="1" si="52"/>
        <v>9275</v>
      </c>
      <c r="M333" s="79">
        <f t="shared" ca="1" si="53"/>
        <v>9276</v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3</v>
      </c>
      <c r="D334" s="79" t="str">
        <f t="shared" si="46"/>
        <v>1772902</v>
      </c>
      <c r="E334" s="79" t="str">
        <f t="shared" si="47"/>
        <v>4400964000002</v>
      </c>
      <c r="F334" s="79" t="b">
        <f t="shared" si="50"/>
        <v>1</v>
      </c>
      <c r="G334" s="190">
        <f t="shared" si="51"/>
        <v>43738</v>
      </c>
      <c r="H334" s="146">
        <f>VLOOKUP( $A334, Aop!$A$2:$N$415, 4, 0)</f>
        <v>625</v>
      </c>
      <c r="I334" s="79">
        <f t="shared" si="48"/>
        <v>2019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3</v>
      </c>
      <c r="D335" s="79" t="str">
        <f t="shared" si="46"/>
        <v>1772902</v>
      </c>
      <c r="E335" s="79" t="str">
        <f t="shared" si="47"/>
        <v>4400964000002</v>
      </c>
      <c r="F335" s="79" t="b">
        <f t="shared" si="50"/>
        <v>1</v>
      </c>
      <c r="G335" s="190">
        <f t="shared" si="51"/>
        <v>43738</v>
      </c>
      <c r="H335" s="146">
        <f>VLOOKUP( $A335, Aop!$A$2:$N$415, 4, 0)</f>
        <v>626</v>
      </c>
      <c r="I335" s="79">
        <f t="shared" si="48"/>
        <v>2019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3</v>
      </c>
      <c r="D336" s="79" t="str">
        <f t="shared" si="46"/>
        <v>1772902</v>
      </c>
      <c r="E336" s="79" t="str">
        <f t="shared" si="47"/>
        <v>4400964000002</v>
      </c>
      <c r="F336" s="79" t="b">
        <f t="shared" si="50"/>
        <v>1</v>
      </c>
      <c r="G336" s="190">
        <f t="shared" si="51"/>
        <v>43738</v>
      </c>
      <c r="H336" s="146">
        <f>VLOOKUP( $A336, Aop!$A$2:$N$415, 4, 0)</f>
        <v>627</v>
      </c>
      <c r="I336" s="79">
        <f t="shared" si="48"/>
        <v>2019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3</v>
      </c>
      <c r="D337" s="79" t="str">
        <f t="shared" si="46"/>
        <v>1772902</v>
      </c>
      <c r="E337" s="79" t="str">
        <f t="shared" si="47"/>
        <v>4400964000002</v>
      </c>
      <c r="F337" s="79" t="b">
        <f t="shared" si="50"/>
        <v>1</v>
      </c>
      <c r="G337" s="190">
        <f t="shared" si="51"/>
        <v>43738</v>
      </c>
      <c r="H337" s="146">
        <f>VLOOKUP( $A337, Aop!$A$2:$N$415, 4, 0)</f>
        <v>628</v>
      </c>
      <c r="I337" s="79">
        <f t="shared" si="48"/>
        <v>2019</v>
      </c>
      <c r="J337" s="79"/>
      <c r="K337" s="79"/>
      <c r="L337" s="79">
        <f t="shared" ca="1" si="52"/>
        <v>1498955</v>
      </c>
      <c r="M337" s="79">
        <f t="shared" ca="1" si="53"/>
        <v>984107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3</v>
      </c>
      <c r="D338" s="79" t="str">
        <f t="shared" si="46"/>
        <v>1772902</v>
      </c>
      <c r="E338" s="79" t="str">
        <f t="shared" si="47"/>
        <v>4400964000002</v>
      </c>
      <c r="F338" s="79" t="b">
        <f t="shared" si="50"/>
        <v>1</v>
      </c>
      <c r="G338" s="190">
        <f t="shared" si="51"/>
        <v>43738</v>
      </c>
      <c r="H338" s="146">
        <f>VLOOKUP( $A338, Aop!$A$2:$N$415, 4, 0)</f>
        <v>629</v>
      </c>
      <c r="I338" s="79">
        <f t="shared" si="48"/>
        <v>2019</v>
      </c>
      <c r="J338" s="79"/>
      <c r="K338" s="79"/>
      <c r="L338" s="79">
        <f t="shared" ca="1" si="52"/>
        <v>36992343</v>
      </c>
      <c r="M338" s="79">
        <f t="shared" ca="1" si="53"/>
        <v>12106193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3</v>
      </c>
      <c r="D339" s="79" t="str">
        <f t="shared" si="46"/>
        <v>1772902</v>
      </c>
      <c r="E339" s="79" t="str">
        <f t="shared" si="47"/>
        <v>4400964000002</v>
      </c>
      <c r="F339" s="79" t="b">
        <f t="shared" si="50"/>
        <v>1</v>
      </c>
      <c r="G339" s="190">
        <f t="shared" si="51"/>
        <v>43738</v>
      </c>
      <c r="H339" s="146">
        <f>VLOOKUP( $A339, Aop!$A$2:$N$415, 4, 0)</f>
        <v>630</v>
      </c>
      <c r="I339" s="79">
        <f t="shared" si="48"/>
        <v>2019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3</v>
      </c>
      <c r="D340" s="79" t="str">
        <f>Podatak_MB</f>
        <v>1772902</v>
      </c>
      <c r="E340" s="79" t="str">
        <f>Podatak_JIB</f>
        <v>4400964000002</v>
      </c>
      <c r="F340" s="79" t="b">
        <f>Konsolidovan_izvjestaj</f>
        <v>1</v>
      </c>
      <c r="G340" s="190">
        <f>Datum_Broj</f>
        <v>43738</v>
      </c>
      <c r="H340" s="79">
        <f>VLOOKUP( $A340, Aop!$A$2:$N$415, 4, 0)</f>
        <v>631</v>
      </c>
      <c r="I340" s="79">
        <f>Godina</f>
        <v>2019</v>
      </c>
      <c r="J340" s="79"/>
      <c r="K340" s="79"/>
      <c r="L340" s="79">
        <f t="shared" ca="1" si="52"/>
        <v>260205</v>
      </c>
      <c r="M340" s="79">
        <f t="shared" ca="1" si="53"/>
        <v>251552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3</v>
      </c>
      <c r="D341" s="79" t="str">
        <f t="shared" si="46"/>
        <v>1772902</v>
      </c>
      <c r="E341" s="79" t="str">
        <f t="shared" si="47"/>
        <v>4400964000002</v>
      </c>
      <c r="F341" s="79" t="b">
        <f t="shared" si="50"/>
        <v>1</v>
      </c>
      <c r="G341" s="190">
        <f t="shared" si="51"/>
        <v>43738</v>
      </c>
      <c r="H341" s="146">
        <f>VLOOKUP( $A341, Aop!$A$2:$N$415, 4, 0)</f>
        <v>632</v>
      </c>
      <c r="I341" s="79">
        <f t="shared" si="48"/>
        <v>2019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3</v>
      </c>
      <c r="D342" s="79" t="str">
        <f t="shared" si="46"/>
        <v>1772902</v>
      </c>
      <c r="E342" s="79" t="str">
        <f t="shared" si="47"/>
        <v>4400964000002</v>
      </c>
      <c r="F342" s="79" t="b">
        <f t="shared" si="50"/>
        <v>1</v>
      </c>
      <c r="G342" s="190">
        <f t="shared" si="51"/>
        <v>43738</v>
      </c>
      <c r="H342" s="146">
        <f>VLOOKUP( $A342, Aop!$A$2:$N$415, 4, 0)</f>
        <v>633</v>
      </c>
      <c r="I342" s="79">
        <f t="shared" si="48"/>
        <v>2019</v>
      </c>
      <c r="J342" s="79"/>
      <c r="K342" s="79"/>
      <c r="L342" s="79">
        <f t="shared" ca="1" si="52"/>
        <v>45057758</v>
      </c>
      <c r="M342" s="79">
        <f t="shared" ca="1" si="53"/>
        <v>45555355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3</v>
      </c>
      <c r="D343" s="79" t="str">
        <f t="shared" si="46"/>
        <v>1772902</v>
      </c>
      <c r="E343" s="79" t="str">
        <f t="shared" si="47"/>
        <v>4400964000002</v>
      </c>
      <c r="F343" s="79" t="b">
        <f t="shared" si="50"/>
        <v>1</v>
      </c>
      <c r="G343" s="190">
        <f t="shared" si="51"/>
        <v>43738</v>
      </c>
      <c r="H343" s="146">
        <f>VLOOKUP( $A343, Aop!$A$2:$N$415, 4, 0)</f>
        <v>634</v>
      </c>
      <c r="I343" s="79">
        <f t="shared" si="48"/>
        <v>2019</v>
      </c>
      <c r="J343" s="79"/>
      <c r="K343" s="79"/>
      <c r="L343" s="79">
        <f t="shared" ca="1" si="52"/>
        <v>5487154</v>
      </c>
      <c r="M343" s="79">
        <f t="shared" ca="1" si="53"/>
        <v>4933674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3</v>
      </c>
      <c r="D344" s="79" t="str">
        <f t="shared" si="46"/>
        <v>1772902</v>
      </c>
      <c r="E344" s="79" t="str">
        <f t="shared" si="47"/>
        <v>4400964000002</v>
      </c>
      <c r="F344" s="79" t="b">
        <f t="shared" si="50"/>
        <v>1</v>
      </c>
      <c r="G344" s="190">
        <f t="shared" si="51"/>
        <v>43738</v>
      </c>
      <c r="H344" s="146">
        <f>VLOOKUP( $A344, Aop!$A$2:$N$415, 4, 0)</f>
        <v>635</v>
      </c>
      <c r="I344" s="79">
        <f t="shared" si="48"/>
        <v>2019</v>
      </c>
      <c r="J344" s="79"/>
      <c r="K344" s="79"/>
      <c r="L344" s="79">
        <f t="shared" ca="1" si="52"/>
        <v>62968315</v>
      </c>
      <c r="M344" s="79">
        <f t="shared" ca="1" si="53"/>
        <v>59636196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3</v>
      </c>
      <c r="D345" s="79" t="str">
        <f t="shared" si="46"/>
        <v>1772902</v>
      </c>
      <c r="E345" s="79" t="str">
        <f t="shared" si="47"/>
        <v>4400964000002</v>
      </c>
      <c r="F345" s="79" t="b">
        <f t="shared" si="50"/>
        <v>1</v>
      </c>
      <c r="G345" s="190">
        <f t="shared" si="51"/>
        <v>43738</v>
      </c>
      <c r="H345" s="146">
        <f>VLOOKUP( $A345, Aop!$A$2:$N$415, 4, 0)</f>
        <v>636</v>
      </c>
      <c r="I345" s="79">
        <f t="shared" si="48"/>
        <v>2019</v>
      </c>
      <c r="J345" s="79"/>
      <c r="K345" s="79"/>
      <c r="L345" s="79">
        <f t="shared" ca="1" si="52"/>
        <v>260313</v>
      </c>
      <c r="M345" s="79">
        <f t="shared" ca="1" si="53"/>
        <v>272661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3</v>
      </c>
      <c r="D346" s="79" t="str">
        <f t="shared" si="46"/>
        <v>1772902</v>
      </c>
      <c r="E346" s="79" t="str">
        <f t="shared" si="47"/>
        <v>4400964000002</v>
      </c>
      <c r="F346" s="79" t="b">
        <f t="shared" si="50"/>
        <v>1</v>
      </c>
      <c r="G346" s="190">
        <f t="shared" si="51"/>
        <v>43738</v>
      </c>
      <c r="H346" s="146">
        <f>VLOOKUP( $A346, Aop!$A$2:$N$415, 4, 0)</f>
        <v>637</v>
      </c>
      <c r="I346" s="79">
        <f t="shared" si="48"/>
        <v>2019</v>
      </c>
      <c r="J346" s="79"/>
      <c r="K346" s="79"/>
      <c r="L346" s="79">
        <f t="shared" ca="1" si="52"/>
        <v>544799</v>
      </c>
      <c r="M346" s="79">
        <f t="shared" ca="1" si="53"/>
        <v>498956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3</v>
      </c>
      <c r="D347" s="79" t="str">
        <f t="shared" si="46"/>
        <v>1772902</v>
      </c>
      <c r="E347" s="79" t="str">
        <f t="shared" si="47"/>
        <v>4400964000002</v>
      </c>
      <c r="F347" s="79" t="b">
        <f t="shared" si="50"/>
        <v>1</v>
      </c>
      <c r="G347" s="190">
        <f t="shared" si="51"/>
        <v>43738</v>
      </c>
      <c r="H347" s="146">
        <f>VLOOKUP( $A347, Aop!$A$2:$N$415, 4, 0)</f>
        <v>638</v>
      </c>
      <c r="I347" s="79">
        <f t="shared" si="48"/>
        <v>2019</v>
      </c>
      <c r="J347" s="79"/>
      <c r="K347" s="79"/>
      <c r="L347" s="79">
        <f t="shared" ca="1" si="52"/>
        <v>177204</v>
      </c>
      <c r="M347" s="79">
        <f t="shared" ca="1" si="53"/>
        <v>173139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3</v>
      </c>
      <c r="D348" s="79" t="str">
        <f t="shared" si="46"/>
        <v>1772902</v>
      </c>
      <c r="E348" s="79" t="str">
        <f t="shared" si="47"/>
        <v>4400964000002</v>
      </c>
      <c r="F348" s="79" t="b">
        <f t="shared" si="50"/>
        <v>1</v>
      </c>
      <c r="G348" s="190">
        <f t="shared" si="51"/>
        <v>43738</v>
      </c>
      <c r="H348" s="146">
        <f>VLOOKUP( $A348, Aop!$A$2:$N$415, 4, 0)</f>
        <v>639</v>
      </c>
      <c r="I348" s="79">
        <f t="shared" si="48"/>
        <v>2019</v>
      </c>
      <c r="J348" s="79"/>
      <c r="K348" s="79"/>
      <c r="L348" s="79">
        <f t="shared" ca="1" si="52"/>
        <v>87053056</v>
      </c>
      <c r="M348" s="79">
        <f t="shared" ca="1" si="53"/>
        <v>86117514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3</v>
      </c>
      <c r="D349" s="79" t="str">
        <f t="shared" si="46"/>
        <v>1772902</v>
      </c>
      <c r="E349" s="79" t="str">
        <f t="shared" si="47"/>
        <v>4400964000002</v>
      </c>
      <c r="F349" s="79" t="b">
        <f t="shared" si="50"/>
        <v>1</v>
      </c>
      <c r="G349" s="190">
        <f t="shared" si="51"/>
        <v>43738</v>
      </c>
      <c r="H349" s="146">
        <f>VLOOKUP( $A349, Aop!$A$2:$N$415, 4, 0)</f>
        <v>640</v>
      </c>
      <c r="I349" s="79">
        <f t="shared" si="48"/>
        <v>2019</v>
      </c>
      <c r="J349" s="79"/>
      <c r="K349" s="79"/>
      <c r="L349" s="79">
        <f t="shared" ca="1" si="52"/>
        <v>28080077</v>
      </c>
      <c r="M349" s="79">
        <f t="shared" ca="1" si="53"/>
        <v>27314535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3</v>
      </c>
      <c r="D350" s="79" t="str">
        <f t="shared" si="46"/>
        <v>1772902</v>
      </c>
      <c r="E350" s="79" t="str">
        <f t="shared" si="47"/>
        <v>4400964000002</v>
      </c>
      <c r="F350" s="79" t="b">
        <f t="shared" si="50"/>
        <v>1</v>
      </c>
      <c r="G350" s="190">
        <f t="shared" si="51"/>
        <v>43738</v>
      </c>
      <c r="H350" s="146">
        <f>VLOOKUP( $A350, Aop!$A$2:$N$415, 4, 0)</f>
        <v>641</v>
      </c>
      <c r="I350" s="79">
        <f t="shared" si="48"/>
        <v>2019</v>
      </c>
      <c r="J350" s="79"/>
      <c r="K350" s="79"/>
      <c r="L350" s="79">
        <f t="shared" ca="1" si="52"/>
        <v>4164906</v>
      </c>
      <c r="M350" s="79">
        <f t="shared" ca="1" si="53"/>
        <v>3833961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3</v>
      </c>
      <c r="D351" s="79" t="str">
        <f t="shared" si="46"/>
        <v>1772902</v>
      </c>
      <c r="E351" s="79" t="str">
        <f t="shared" si="47"/>
        <v>4400964000002</v>
      </c>
      <c r="F351" s="79" t="b">
        <f t="shared" si="50"/>
        <v>1</v>
      </c>
      <c r="G351" s="190">
        <f t="shared" si="51"/>
        <v>43738</v>
      </c>
      <c r="H351" s="146">
        <f>VLOOKUP( $A351, Aop!$A$2:$N$415, 4, 0)</f>
        <v>642</v>
      </c>
      <c r="I351" s="79">
        <f t="shared" si="48"/>
        <v>2019</v>
      </c>
      <c r="J351" s="79"/>
      <c r="K351" s="79"/>
      <c r="L351" s="79">
        <f t="shared" ca="1" si="52"/>
        <v>14964477</v>
      </c>
      <c r="M351" s="79">
        <f t="shared" ca="1" si="53"/>
        <v>15385170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3</v>
      </c>
      <c r="D352" s="79" t="str">
        <f t="shared" si="46"/>
        <v>1772902</v>
      </c>
      <c r="E352" s="79" t="str">
        <f t="shared" si="47"/>
        <v>4400964000002</v>
      </c>
      <c r="F352" s="79" t="b">
        <f t="shared" si="50"/>
        <v>1</v>
      </c>
      <c r="G352" s="190">
        <f t="shared" si="51"/>
        <v>43738</v>
      </c>
      <c r="H352" s="146">
        <f>VLOOKUP( $A352, Aop!$A$2:$N$415, 4, 0)</f>
        <v>643</v>
      </c>
      <c r="I352" s="79">
        <f t="shared" si="48"/>
        <v>2019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3</v>
      </c>
      <c r="D353" s="79" t="str">
        <f t="shared" si="46"/>
        <v>1772902</v>
      </c>
      <c r="E353" s="79" t="str">
        <f t="shared" si="47"/>
        <v>4400964000002</v>
      </c>
      <c r="F353" s="79" t="b">
        <f t="shared" si="50"/>
        <v>1</v>
      </c>
      <c r="G353" s="190">
        <f t="shared" si="51"/>
        <v>43738</v>
      </c>
      <c r="H353" s="146">
        <f>VLOOKUP( $A353, Aop!$A$2:$N$415, 4, 0)</f>
        <v>644</v>
      </c>
      <c r="I353" s="79">
        <f t="shared" si="48"/>
        <v>2019</v>
      </c>
      <c r="J353" s="79"/>
      <c r="K353" s="79"/>
      <c r="L353" s="79">
        <f t="shared" ca="1" si="52"/>
        <v>1427907</v>
      </c>
      <c r="M353" s="79">
        <f t="shared" ca="1" si="53"/>
        <v>11642121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3</v>
      </c>
      <c r="D354" s="79" t="str">
        <f t="shared" si="46"/>
        <v>1772902</v>
      </c>
      <c r="E354" s="79" t="str">
        <f t="shared" si="47"/>
        <v>4400964000002</v>
      </c>
      <c r="F354" s="79" t="b">
        <f t="shared" si="50"/>
        <v>1</v>
      </c>
      <c r="G354" s="190">
        <f t="shared" si="51"/>
        <v>43738</v>
      </c>
      <c r="H354" s="146">
        <f>VLOOKUP( $A354, Aop!$A$2:$N$415, 4, 0)</f>
        <v>645</v>
      </c>
      <c r="I354" s="79">
        <f t="shared" si="48"/>
        <v>2019</v>
      </c>
      <c r="J354" s="79"/>
      <c r="K354" s="79"/>
      <c r="L354" s="79">
        <f t="shared" ca="1" si="52"/>
        <v>9001926</v>
      </c>
      <c r="M354" s="79">
        <f t="shared" ca="1" si="53"/>
        <v>9194925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3</v>
      </c>
      <c r="D355" s="79" t="str">
        <f t="shared" ref="D355:D362" si="55">Podatak_MB</f>
        <v>1772902</v>
      </c>
      <c r="E355" s="79" t="str">
        <f t="shared" ref="E355:E362" si="56">Podatak_JIB</f>
        <v>4400964000002</v>
      </c>
      <c r="F355" s="79" t="b">
        <f t="shared" ref="F355:F362" si="57">Konsolidovan_izvjestaj</f>
        <v>1</v>
      </c>
      <c r="G355" s="190">
        <f t="shared" ref="G355:G362" si="58">Datum_Broj</f>
        <v>43738</v>
      </c>
      <c r="H355" s="79">
        <f>VLOOKUP( $A355, Aop!$A$2:$N$415, 4, 0)</f>
        <v>646</v>
      </c>
      <c r="I355" s="79">
        <f t="shared" ref="I355:I362" si="59">Godina</f>
        <v>2019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3</v>
      </c>
      <c r="D356" s="79" t="str">
        <f t="shared" si="55"/>
        <v>1772902</v>
      </c>
      <c r="E356" s="79" t="str">
        <f t="shared" si="56"/>
        <v>4400964000002</v>
      </c>
      <c r="F356" s="79" t="b">
        <f t="shared" si="57"/>
        <v>1</v>
      </c>
      <c r="G356" s="190">
        <f t="shared" si="58"/>
        <v>43738</v>
      </c>
      <c r="H356" s="79">
        <f>VLOOKUP( $A356, Aop!$A$2:$N$415, 4, 0)</f>
        <v>647</v>
      </c>
      <c r="I356" s="79">
        <f t="shared" si="59"/>
        <v>2019</v>
      </c>
      <c r="J356" s="79"/>
      <c r="K356" s="79"/>
      <c r="L356" s="79">
        <f t="shared" ca="1" si="52"/>
        <v>29413763</v>
      </c>
      <c r="M356" s="79">
        <f t="shared" ca="1" si="53"/>
        <v>18746802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3</v>
      </c>
      <c r="D357" s="79" t="str">
        <f t="shared" si="55"/>
        <v>1772902</v>
      </c>
      <c r="E357" s="79" t="str">
        <f t="shared" si="56"/>
        <v>4400964000002</v>
      </c>
      <c r="F357" s="79" t="b">
        <f t="shared" si="57"/>
        <v>1</v>
      </c>
      <c r="G357" s="190">
        <f t="shared" si="58"/>
        <v>43738</v>
      </c>
      <c r="H357" s="79">
        <f>VLOOKUP( $A357, Aop!$A$2:$N$415, 4, 0)</f>
        <v>648</v>
      </c>
      <c r="I357" s="79">
        <f t="shared" si="59"/>
        <v>2019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3</v>
      </c>
      <c r="D358" s="79" t="str">
        <f t="shared" si="55"/>
        <v>1772902</v>
      </c>
      <c r="E358" s="79" t="str">
        <f t="shared" si="56"/>
        <v>4400964000002</v>
      </c>
      <c r="F358" s="79" t="b">
        <f t="shared" si="57"/>
        <v>1</v>
      </c>
      <c r="G358" s="190">
        <f t="shared" si="58"/>
        <v>43738</v>
      </c>
      <c r="H358" s="79">
        <f>VLOOKUP( $A358, Aop!$A$2:$N$415, 4, 0)</f>
        <v>649</v>
      </c>
      <c r="I358" s="79">
        <f t="shared" si="59"/>
        <v>2019</v>
      </c>
      <c r="J358" s="79"/>
      <c r="K358" s="79"/>
      <c r="L358" s="79">
        <f t="shared" ca="1" si="52"/>
        <v>18209973</v>
      </c>
      <c r="M358" s="79">
        <f t="shared" ca="1" si="53"/>
        <v>15669038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3</v>
      </c>
      <c r="D359" s="79" t="str">
        <f t="shared" si="55"/>
        <v>1772902</v>
      </c>
      <c r="E359" s="79" t="str">
        <f t="shared" si="56"/>
        <v>4400964000002</v>
      </c>
      <c r="F359" s="79" t="b">
        <f t="shared" si="57"/>
        <v>1</v>
      </c>
      <c r="G359" s="190">
        <f t="shared" si="58"/>
        <v>43738</v>
      </c>
      <c r="H359" s="79">
        <f>VLOOKUP( $A359, Aop!$A$2:$N$415, 4, 0)</f>
        <v>650</v>
      </c>
      <c r="I359" s="79">
        <f t="shared" si="59"/>
        <v>2019</v>
      </c>
      <c r="J359" s="79"/>
      <c r="K359" s="79"/>
      <c r="L359" s="79">
        <f t="shared" ca="1" si="52"/>
        <v>3219552</v>
      </c>
      <c r="M359" s="79">
        <f t="shared" ca="1" si="53"/>
        <v>3338135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3</v>
      </c>
      <c r="D360" s="79" t="str">
        <f t="shared" si="55"/>
        <v>1772902</v>
      </c>
      <c r="E360" s="79" t="str">
        <f t="shared" si="56"/>
        <v>4400964000002</v>
      </c>
      <c r="F360" s="79" t="b">
        <f t="shared" si="57"/>
        <v>1</v>
      </c>
      <c r="G360" s="190">
        <f t="shared" si="58"/>
        <v>43738</v>
      </c>
      <c r="H360" s="79">
        <f>VLOOKUP( $A360, Aop!$A$2:$N$415, 4, 0)</f>
        <v>651</v>
      </c>
      <c r="I360" s="79">
        <f t="shared" si="59"/>
        <v>2019</v>
      </c>
      <c r="J360" s="79"/>
      <c r="K360" s="79"/>
      <c r="L360" s="79">
        <f t="shared" ca="1" si="52"/>
        <v>182735</v>
      </c>
      <c r="M360" s="79">
        <f t="shared" ca="1" si="53"/>
        <v>317561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3</v>
      </c>
      <c r="D361" s="79" t="str">
        <f t="shared" si="55"/>
        <v>1772902</v>
      </c>
      <c r="E361" s="79" t="str">
        <f t="shared" si="56"/>
        <v>4400964000002</v>
      </c>
      <c r="F361" s="79" t="b">
        <f t="shared" si="57"/>
        <v>1</v>
      </c>
      <c r="G361" s="190">
        <f t="shared" si="58"/>
        <v>43738</v>
      </c>
      <c r="H361" s="79">
        <f>VLOOKUP( $A361, Aop!$A$2:$N$415, 4, 0)</f>
        <v>652</v>
      </c>
      <c r="I361" s="79">
        <f t="shared" si="59"/>
        <v>2019</v>
      </c>
      <c r="J361" s="79"/>
      <c r="K361" s="79"/>
      <c r="L361" s="79">
        <f t="shared" ca="1" si="52"/>
        <v>62467</v>
      </c>
      <c r="M361" s="79">
        <f t="shared" ca="1" si="53"/>
        <v>41225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3</v>
      </c>
      <c r="D362" s="79" t="str">
        <f t="shared" si="55"/>
        <v>1772902</v>
      </c>
      <c r="E362" s="79" t="str">
        <f t="shared" si="56"/>
        <v>4400964000002</v>
      </c>
      <c r="F362" s="79" t="b">
        <f t="shared" si="57"/>
        <v>1</v>
      </c>
      <c r="G362" s="190">
        <f t="shared" si="58"/>
        <v>43738</v>
      </c>
      <c r="H362" s="79">
        <f>VLOOKUP( $A362, Aop!$A$2:$N$415, 4, 0)</f>
        <v>653</v>
      </c>
      <c r="I362" s="79">
        <f t="shared" si="59"/>
        <v>2019</v>
      </c>
      <c r="J362" s="79"/>
      <c r="K362" s="79"/>
      <c r="L362" s="79">
        <f t="shared" ca="1" si="52"/>
        <v>240211</v>
      </c>
      <c r="M362" s="79">
        <f t="shared" ca="1" si="53"/>
        <v>175856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3</v>
      </c>
      <c r="D363" s="74" t="str">
        <f t="shared" ref="D363:D379" si="61">Podatak_MB</f>
        <v>1772902</v>
      </c>
      <c r="E363" s="74" t="str">
        <f t="shared" ref="E363:E379" si="62">Podatak_JIB</f>
        <v>4400964000002</v>
      </c>
      <c r="F363" s="74" t="b">
        <f t="shared" ref="F363:F379" si="63">Konsolidovan_izvjestaj</f>
        <v>1</v>
      </c>
      <c r="G363" s="370">
        <f t="shared" ref="G363:G379" si="64">Datum_Broj</f>
        <v>43738</v>
      </c>
      <c r="H363" s="74">
        <f>VLOOKUP( $A363, Aop!$A$2:$N$415, 4, 0)</f>
        <v>654</v>
      </c>
      <c r="I363" s="74">
        <f t="shared" ref="I363:I379" si="65">Godina</f>
        <v>2019</v>
      </c>
      <c r="J363" s="74"/>
      <c r="K363" s="74"/>
      <c r="L363" s="74">
        <f t="shared" ca="1" si="52"/>
        <v>580966</v>
      </c>
      <c r="M363" s="74">
        <f t="shared" ca="1" si="53"/>
        <v>592809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3</v>
      </c>
      <c r="D364" s="74" t="str">
        <f t="shared" si="61"/>
        <v>1772902</v>
      </c>
      <c r="E364" s="74" t="str">
        <f t="shared" si="62"/>
        <v>4400964000002</v>
      </c>
      <c r="F364" s="74" t="b">
        <f t="shared" si="63"/>
        <v>1</v>
      </c>
      <c r="G364" s="370">
        <f t="shared" si="64"/>
        <v>43738</v>
      </c>
      <c r="H364" s="74">
        <f>VLOOKUP( $A364, Aop!$A$2:$N$415, 4, 0)</f>
        <v>655</v>
      </c>
      <c r="I364" s="74">
        <f t="shared" si="65"/>
        <v>2019</v>
      </c>
      <c r="J364" s="74"/>
      <c r="K364" s="74"/>
      <c r="L364" s="74">
        <f t="shared" ca="1" si="52"/>
        <v>421327</v>
      </c>
      <c r="M364" s="74">
        <f t="shared" ca="1" si="53"/>
        <v>200438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3</v>
      </c>
      <c r="D365" s="74" t="str">
        <f t="shared" si="61"/>
        <v>1772902</v>
      </c>
      <c r="E365" s="74" t="str">
        <f t="shared" si="62"/>
        <v>4400964000002</v>
      </c>
      <c r="F365" s="74" t="b">
        <f t="shared" si="63"/>
        <v>1</v>
      </c>
      <c r="G365" s="370">
        <f t="shared" si="64"/>
        <v>43738</v>
      </c>
      <c r="H365" s="74">
        <f>VLOOKUP( $A365, Aop!$A$2:$N$415, 4, 0)</f>
        <v>656</v>
      </c>
      <c r="I365" s="74">
        <f t="shared" si="65"/>
        <v>2019</v>
      </c>
      <c r="J365" s="74"/>
      <c r="K365" s="74"/>
      <c r="L365" s="74">
        <f t="shared" ca="1" si="52"/>
        <v>7842315</v>
      </c>
      <c r="M365" s="74">
        <f t="shared" ca="1" si="53"/>
        <v>5639199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3</v>
      </c>
      <c r="D366" s="74" t="str">
        <f t="shared" si="61"/>
        <v>1772902</v>
      </c>
      <c r="E366" s="74" t="str">
        <f t="shared" si="62"/>
        <v>4400964000002</v>
      </c>
      <c r="F366" s="74" t="b">
        <f t="shared" si="63"/>
        <v>1</v>
      </c>
      <c r="G366" s="370">
        <f t="shared" si="64"/>
        <v>43738</v>
      </c>
      <c r="H366" s="74">
        <f>VLOOKUP( $A366, Aop!$A$2:$N$415, 4, 0)</f>
        <v>657</v>
      </c>
      <c r="I366" s="74">
        <f t="shared" si="65"/>
        <v>2019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3</v>
      </c>
      <c r="D367" s="74" t="str">
        <f t="shared" si="61"/>
        <v>1772902</v>
      </c>
      <c r="E367" s="74" t="str">
        <f t="shared" si="62"/>
        <v>4400964000002</v>
      </c>
      <c r="F367" s="74" t="b">
        <f t="shared" si="63"/>
        <v>1</v>
      </c>
      <c r="G367" s="370">
        <f t="shared" si="64"/>
        <v>43738</v>
      </c>
      <c r="H367" s="74">
        <f>VLOOKUP( $A367, Aop!$A$2:$N$415, 4, 0)</f>
        <v>658</v>
      </c>
      <c r="I367" s="74">
        <f t="shared" si="65"/>
        <v>2019</v>
      </c>
      <c r="J367" s="74"/>
      <c r="K367" s="74"/>
      <c r="L367" s="74">
        <f t="shared" ca="1" si="52"/>
        <v>2981897</v>
      </c>
      <c r="M367" s="74">
        <f t="shared" ca="1" si="53"/>
        <v>2931437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3</v>
      </c>
      <c r="D368" s="74" t="str">
        <f t="shared" si="61"/>
        <v>1772902</v>
      </c>
      <c r="E368" s="74" t="str">
        <f t="shared" si="62"/>
        <v>4400964000002</v>
      </c>
      <c r="F368" s="74" t="b">
        <f t="shared" si="63"/>
        <v>1</v>
      </c>
      <c r="G368" s="370">
        <f t="shared" si="64"/>
        <v>43738</v>
      </c>
      <c r="H368" s="74">
        <f>VLOOKUP( $A368, Aop!$A$2:$N$415, 4, 0)</f>
        <v>659</v>
      </c>
      <c r="I368" s="74">
        <f t="shared" si="65"/>
        <v>2019</v>
      </c>
      <c r="J368" s="74"/>
      <c r="K368" s="74"/>
      <c r="L368" s="74">
        <f t="shared" ca="1" si="52"/>
        <v>2923705</v>
      </c>
      <c r="M368" s="74">
        <f t="shared" ca="1" si="53"/>
        <v>2791164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3</v>
      </c>
      <c r="D369" s="74" t="str">
        <f t="shared" si="61"/>
        <v>1772902</v>
      </c>
      <c r="E369" s="74" t="str">
        <f t="shared" si="62"/>
        <v>4400964000002</v>
      </c>
      <c r="F369" s="74" t="b">
        <f t="shared" si="63"/>
        <v>1</v>
      </c>
      <c r="G369" s="370">
        <f t="shared" si="64"/>
        <v>43738</v>
      </c>
      <c r="H369" s="74">
        <f>VLOOKUP( $A369, Aop!$A$2:$N$415, 4, 0)</f>
        <v>660</v>
      </c>
      <c r="I369" s="74">
        <f t="shared" si="65"/>
        <v>2019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3</v>
      </c>
      <c r="D370" s="74" t="str">
        <f t="shared" si="61"/>
        <v>1772902</v>
      </c>
      <c r="E370" s="74" t="str">
        <f t="shared" si="62"/>
        <v>4400964000002</v>
      </c>
      <c r="F370" s="74" t="b">
        <f t="shared" si="63"/>
        <v>1</v>
      </c>
      <c r="G370" s="370">
        <f t="shared" si="64"/>
        <v>43738</v>
      </c>
      <c r="H370" s="74">
        <f>VLOOKUP( $A370, Aop!$A$2:$N$415, 4, 0)</f>
        <v>661</v>
      </c>
      <c r="I370" s="74">
        <f t="shared" si="65"/>
        <v>2019</v>
      </c>
      <c r="J370" s="74"/>
      <c r="K370" s="74"/>
      <c r="L370" s="74">
        <f t="shared" ca="1" si="52"/>
        <v>65508129</v>
      </c>
      <c r="M370" s="74">
        <f t="shared" ca="1" si="53"/>
        <v>59728085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3</v>
      </c>
      <c r="D371" s="74" t="str">
        <f t="shared" si="61"/>
        <v>1772902</v>
      </c>
      <c r="E371" s="74" t="str">
        <f t="shared" si="62"/>
        <v>4400964000002</v>
      </c>
      <c r="F371" s="74" t="b">
        <f t="shared" si="63"/>
        <v>1</v>
      </c>
      <c r="G371" s="370">
        <f t="shared" si="64"/>
        <v>43738</v>
      </c>
      <c r="H371" s="74">
        <f>VLOOKUP( $A371, Aop!$A$2:$N$415, 4, 0)</f>
        <v>662</v>
      </c>
      <c r="I371" s="74">
        <f t="shared" si="65"/>
        <v>2019</v>
      </c>
      <c r="J371" s="74"/>
      <c r="K371" s="74"/>
      <c r="L371" s="74">
        <f t="shared" ca="1" si="52"/>
        <v>40013638</v>
      </c>
      <c r="M371" s="74">
        <f t="shared" ca="1" si="53"/>
        <v>41838655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3</v>
      </c>
      <c r="D372" s="74" t="str">
        <f t="shared" si="61"/>
        <v>1772902</v>
      </c>
      <c r="E372" s="74" t="str">
        <f t="shared" si="62"/>
        <v>4400964000002</v>
      </c>
      <c r="F372" s="74" t="b">
        <f t="shared" si="63"/>
        <v>1</v>
      </c>
      <c r="G372" s="370">
        <f t="shared" si="64"/>
        <v>43738</v>
      </c>
      <c r="H372" s="74">
        <f>VLOOKUP( $A372, Aop!$A$2:$N$415, 4, 0)</f>
        <v>663</v>
      </c>
      <c r="I372" s="74">
        <f t="shared" si="65"/>
        <v>2019</v>
      </c>
      <c r="J372" s="74"/>
      <c r="K372" s="74"/>
      <c r="L372" s="74">
        <f t="shared" ca="1" si="52"/>
        <v>3493222</v>
      </c>
      <c r="M372" s="74">
        <f t="shared" ca="1" si="53"/>
        <v>2527741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3</v>
      </c>
      <c r="D373" s="74" t="str">
        <f t="shared" si="61"/>
        <v>1772902</v>
      </c>
      <c r="E373" s="74" t="str">
        <f t="shared" si="62"/>
        <v>4400964000002</v>
      </c>
      <c r="F373" s="74" t="b">
        <f t="shared" si="63"/>
        <v>1</v>
      </c>
      <c r="G373" s="370">
        <f t="shared" si="64"/>
        <v>43738</v>
      </c>
      <c r="H373" s="74">
        <f>VLOOKUP( $A373, Aop!$A$2:$N$415, 4, 0)</f>
        <v>664</v>
      </c>
      <c r="I373" s="74">
        <f t="shared" si="65"/>
        <v>2019</v>
      </c>
      <c r="J373" s="74"/>
      <c r="K373" s="74"/>
      <c r="L373" s="74">
        <f t="shared" ca="1" si="52"/>
        <v>0</v>
      </c>
      <c r="M373" s="74">
        <f t="shared" ca="1" si="53"/>
        <v>176266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3</v>
      </c>
      <c r="D374" s="74" t="str">
        <f t="shared" si="61"/>
        <v>1772902</v>
      </c>
      <c r="E374" s="74" t="str">
        <f t="shared" si="62"/>
        <v>4400964000002</v>
      </c>
      <c r="F374" s="74" t="b">
        <f t="shared" si="63"/>
        <v>1</v>
      </c>
      <c r="G374" s="370">
        <f t="shared" si="64"/>
        <v>43738</v>
      </c>
      <c r="H374" s="74">
        <f>VLOOKUP( $A374, Aop!$A$2:$N$415, 4, 0)</f>
        <v>665</v>
      </c>
      <c r="I374" s="74">
        <f t="shared" si="65"/>
        <v>2019</v>
      </c>
      <c r="J374" s="74"/>
      <c r="K374" s="74"/>
      <c r="L374" s="74">
        <f t="shared" ca="1" si="52"/>
        <v>2904128</v>
      </c>
      <c r="M374" s="74">
        <f t="shared" ca="1" si="53"/>
        <v>2389594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3</v>
      </c>
      <c r="D375" s="74" t="str">
        <f t="shared" si="61"/>
        <v>1772902</v>
      </c>
      <c r="E375" s="74" t="str">
        <f t="shared" si="62"/>
        <v>4400964000002</v>
      </c>
      <c r="F375" s="74" t="b">
        <f t="shared" si="63"/>
        <v>1</v>
      </c>
      <c r="G375" s="370">
        <f t="shared" si="64"/>
        <v>43738</v>
      </c>
      <c r="H375" s="74">
        <f>VLOOKUP( $A375, Aop!$A$2:$N$415, 4, 0)</f>
        <v>666</v>
      </c>
      <c r="I375" s="74">
        <f t="shared" si="65"/>
        <v>2019</v>
      </c>
      <c r="J375" s="74"/>
      <c r="K375" s="74"/>
      <c r="L375" s="74">
        <f t="shared" ca="1" si="52"/>
        <v>2904128</v>
      </c>
      <c r="M375" s="74">
        <f t="shared" ca="1" si="53"/>
        <v>2389594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3</v>
      </c>
      <c r="D376" s="74" t="str">
        <f t="shared" si="61"/>
        <v>1772902</v>
      </c>
      <c r="E376" s="74" t="str">
        <f t="shared" si="62"/>
        <v>4400964000002</v>
      </c>
      <c r="F376" s="74" t="b">
        <f t="shared" si="63"/>
        <v>1</v>
      </c>
      <c r="G376" s="370">
        <f t="shared" si="64"/>
        <v>43738</v>
      </c>
      <c r="H376" s="74">
        <f>VLOOKUP( $A376, Aop!$A$2:$N$415, 4, 0)</f>
        <v>667</v>
      </c>
      <c r="I376" s="74">
        <f t="shared" si="65"/>
        <v>2019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3</v>
      </c>
      <c r="D377" s="74" t="str">
        <f t="shared" si="61"/>
        <v>1772902</v>
      </c>
      <c r="E377" s="74" t="str">
        <f t="shared" si="62"/>
        <v>4400964000002</v>
      </c>
      <c r="F377" s="74" t="b">
        <f t="shared" si="63"/>
        <v>1</v>
      </c>
      <c r="G377" s="370">
        <f t="shared" si="64"/>
        <v>43738</v>
      </c>
      <c r="H377" s="74">
        <f>VLOOKUP( $A377, Aop!$A$2:$N$415, 4, 0)</f>
        <v>668</v>
      </c>
      <c r="I377" s="74">
        <f t="shared" si="65"/>
        <v>2019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3</v>
      </c>
      <c r="D378" s="74" t="str">
        <f t="shared" si="61"/>
        <v>1772902</v>
      </c>
      <c r="E378" s="74" t="str">
        <f t="shared" si="62"/>
        <v>4400964000002</v>
      </c>
      <c r="F378" s="74" t="b">
        <f t="shared" si="63"/>
        <v>1</v>
      </c>
      <c r="G378" s="370">
        <f t="shared" si="64"/>
        <v>43738</v>
      </c>
      <c r="H378" s="74">
        <f>VLOOKUP( $A378, Aop!$A$2:$N$415, 4, 0)</f>
        <v>669</v>
      </c>
      <c r="I378" s="74">
        <f t="shared" si="65"/>
        <v>2019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3</v>
      </c>
      <c r="D379" s="74" t="str">
        <f t="shared" si="61"/>
        <v>1772902</v>
      </c>
      <c r="E379" s="74" t="str">
        <f t="shared" si="62"/>
        <v>4400964000002</v>
      </c>
      <c r="F379" s="74" t="b">
        <f t="shared" si="63"/>
        <v>1</v>
      </c>
      <c r="G379" s="370">
        <f t="shared" si="64"/>
        <v>43738</v>
      </c>
      <c r="H379" s="74">
        <f>VLOOKUP( $A379, Aop!$A$2:$N$415, 4, 0)</f>
        <v>670</v>
      </c>
      <c r="I379" s="74">
        <f t="shared" si="65"/>
        <v>2019</v>
      </c>
      <c r="J379" s="74"/>
      <c r="K379" s="74"/>
      <c r="L379" s="74">
        <f t="shared" ca="1" si="52"/>
        <v>3110478</v>
      </c>
      <c r="M379" s="74">
        <f t="shared" ca="1" si="53"/>
        <v>2919894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workbookViewId="0"/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1772902</v>
      </c>
      <c r="D2" s="79" t="str">
        <f t="shared" ref="D2:D20" si="1">Podatak_JIB</f>
        <v>4400964000002</v>
      </c>
      <c r="E2" s="79" t="b">
        <f t="shared" ref="E2:E20" si="2">Konsolidovan_izvjestaj</f>
        <v>1</v>
      </c>
      <c r="F2" s="12">
        <f>VLOOKUP( $A2, Aop!$A$2:$N$415, 4, 0)</f>
        <v>901</v>
      </c>
      <c r="G2" s="79">
        <f t="shared" ref="G2:G20" si="3">Godina</f>
        <v>2019</v>
      </c>
      <c r="H2" s="190">
        <f t="shared" ref="H2:H20" si="4">Datum_Broj</f>
        <v>43738</v>
      </c>
      <c r="I2" s="79">
        <f t="shared" ref="I2:I20" si="5">ID_Izvjestaj</f>
        <v>3</v>
      </c>
      <c r="J2" s="74">
        <f t="shared" ref="J2:J20" ca="1" si="6">IF(VLOOKUP($F2,INDIRECT("Lookup_"&amp;$B2),J$1-1,0)="","",VLOOKUP($F2,INDIRECT("Lookup_"&amp;$B2),J$1-1,0))</f>
        <v>491383755</v>
      </c>
      <c r="K2" s="74">
        <f t="shared" ref="K2:K20" ca="1" si="7">IF(VLOOKUP($F2,INDIRECT("Lookup_"&amp;$B2),K$1-1,0)="","",VLOOKUP($F2,INDIRECT("Lookup_"&amp;$B2),K$1-1,0))</f>
        <v>0</v>
      </c>
      <c r="L2" s="74">
        <f t="shared" ref="L2:L20" ca="1" si="8">IF(VLOOKUP($F2,INDIRECT("Lookup_"&amp;$B2),L$1-1,0)="","",VLOOKUP($F2,INDIRECT("Lookup_"&amp;$B2),L$1-1,0))</f>
        <v>-569</v>
      </c>
      <c r="M2" s="74">
        <f t="shared" ref="M2:M20" ca="1" si="9">IF(VLOOKUP($F2,INDIRECT("Lookup_"&amp;$B2),M$1-1,0)="","",VLOOKUP($F2,INDIRECT("Lookup_"&amp;$B2),M$1-1,0))</f>
        <v>146933266</v>
      </c>
      <c r="N2" s="74">
        <f t="shared" ref="N2:N20" ca="1" si="10">IF(VLOOKUP($F2,INDIRECT("Lookup_"&amp;$B2),N$1-1,0)="","",VLOOKUP($F2,INDIRECT("Lookup_"&amp;$B2),N$1-1,0))</f>
        <v>22517048</v>
      </c>
      <c r="O2" s="74">
        <f t="shared" ref="O2:O20" ca="1" si="11">IF(VLOOKUP($F2,INDIRECT("Lookup_"&amp;$B2),O$1-1,0)="","",VLOOKUP($F2,INDIRECT("Lookup_"&amp;$B2),O$1-1,0))</f>
        <v>660833500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660833500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1772902</v>
      </c>
      <c r="D3" s="79" t="str">
        <f t="shared" si="1"/>
        <v>4400964000002</v>
      </c>
      <c r="E3" s="79" t="b">
        <f t="shared" si="2"/>
        <v>1</v>
      </c>
      <c r="F3" s="12">
        <f>VLOOKUP( $A3, Aop!$A$2:$N$415, 4, 0)</f>
        <v>902</v>
      </c>
      <c r="G3" s="79">
        <f t="shared" si="3"/>
        <v>2019</v>
      </c>
      <c r="H3" s="190">
        <f t="shared" si="4"/>
        <v>43738</v>
      </c>
      <c r="I3" s="79">
        <f t="shared" si="5"/>
        <v>3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1772902</v>
      </c>
      <c r="D4" s="79" t="str">
        <f t="shared" si="1"/>
        <v>4400964000002</v>
      </c>
      <c r="E4" s="79" t="b">
        <f t="shared" si="2"/>
        <v>1</v>
      </c>
      <c r="F4" s="12">
        <f>VLOOKUP( $A4, Aop!$A$2:$N$415, 4, 0)</f>
        <v>903</v>
      </c>
      <c r="G4" s="79">
        <f t="shared" si="3"/>
        <v>2019</v>
      </c>
      <c r="H4" s="190">
        <f t="shared" si="4"/>
        <v>43738</v>
      </c>
      <c r="I4" s="79">
        <f t="shared" si="5"/>
        <v>3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1772902</v>
      </c>
      <c r="D5" s="79" t="str">
        <f t="shared" si="1"/>
        <v>4400964000002</v>
      </c>
      <c r="E5" s="79" t="b">
        <f t="shared" si="2"/>
        <v>1</v>
      </c>
      <c r="F5" s="12">
        <f>VLOOKUP( $A5, Aop!$A$2:$N$415, 4, 0)</f>
        <v>904</v>
      </c>
      <c r="G5" s="79">
        <f t="shared" si="3"/>
        <v>2019</v>
      </c>
      <c r="H5" s="190">
        <f t="shared" si="4"/>
        <v>43738</v>
      </c>
      <c r="I5" s="79">
        <f t="shared" si="5"/>
        <v>3</v>
      </c>
      <c r="J5" s="74">
        <f t="shared" ca="1" si="6"/>
        <v>491383755</v>
      </c>
      <c r="K5" s="74">
        <f t="shared" ca="1" si="7"/>
        <v>0</v>
      </c>
      <c r="L5" s="74">
        <f t="shared" ca="1" si="8"/>
        <v>-569</v>
      </c>
      <c r="M5" s="74">
        <f t="shared" ca="1" si="9"/>
        <v>146933266</v>
      </c>
      <c r="N5" s="74">
        <f t="shared" ca="1" si="10"/>
        <v>22517048</v>
      </c>
      <c r="O5" s="74">
        <f t="shared" ca="1" si="11"/>
        <v>660833500</v>
      </c>
      <c r="P5" s="74">
        <f t="shared" ca="1" si="12"/>
        <v>0</v>
      </c>
      <c r="Q5" s="74">
        <f t="shared" ca="1" si="13"/>
        <v>660833500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1772902</v>
      </c>
      <c r="D6" s="79" t="str">
        <f t="shared" si="1"/>
        <v>4400964000002</v>
      </c>
      <c r="E6" s="79" t="b">
        <f t="shared" si="2"/>
        <v>1</v>
      </c>
      <c r="F6" s="12">
        <f>VLOOKUP( $A6, Aop!$A$2:$N$415, 4, 0)</f>
        <v>905</v>
      </c>
      <c r="G6" s="79">
        <f t="shared" si="3"/>
        <v>2019</v>
      </c>
      <c r="H6" s="190">
        <f t="shared" si="4"/>
        <v>43738</v>
      </c>
      <c r="I6" s="79">
        <f t="shared" si="5"/>
        <v>3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>
        <f t="shared" ca="1" si="10"/>
        <v>-2797098</v>
      </c>
      <c r="O6" s="74">
        <f t="shared" ca="1" si="11"/>
        <v>-2797098</v>
      </c>
      <c r="P6" s="74" t="str">
        <f t="shared" ca="1" si="12"/>
        <v/>
      </c>
      <c r="Q6" s="74">
        <f t="shared" ca="1" si="13"/>
        <v>-2797098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1772902</v>
      </c>
      <c r="D7" s="79" t="str">
        <f t="shared" si="1"/>
        <v>4400964000002</v>
      </c>
      <c r="E7" s="79" t="b">
        <f t="shared" si="2"/>
        <v>1</v>
      </c>
      <c r="F7" s="12">
        <f>VLOOKUP( $A7, Aop!$A$2:$N$415, 4, 0)</f>
        <v>906</v>
      </c>
      <c r="G7" s="79">
        <f t="shared" si="3"/>
        <v>2019</v>
      </c>
      <c r="H7" s="190">
        <f t="shared" si="4"/>
        <v>43738</v>
      </c>
      <c r="I7" s="79">
        <f t="shared" si="5"/>
        <v>3</v>
      </c>
      <c r="J7" s="74" t="str">
        <f t="shared" ca="1" si="6"/>
        <v/>
      </c>
      <c r="K7" s="74" t="str">
        <f t="shared" ca="1" si="7"/>
        <v/>
      </c>
      <c r="L7" s="74">
        <f t="shared" ca="1" si="8"/>
        <v>-643</v>
      </c>
      <c r="M7" s="74" t="str">
        <f t="shared" ca="1" si="9"/>
        <v/>
      </c>
      <c r="N7" s="74" t="str">
        <f t="shared" ca="1" si="10"/>
        <v/>
      </c>
      <c r="O7" s="74">
        <f t="shared" ca="1" si="11"/>
        <v>-643</v>
      </c>
      <c r="P7" s="74" t="str">
        <f t="shared" ca="1" si="12"/>
        <v/>
      </c>
      <c r="Q7" s="74">
        <f t="shared" ca="1" si="13"/>
        <v>-643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1772902</v>
      </c>
      <c r="D8" s="79" t="str">
        <f t="shared" si="1"/>
        <v>4400964000002</v>
      </c>
      <c r="E8" s="79" t="b">
        <f t="shared" si="2"/>
        <v>1</v>
      </c>
      <c r="F8" s="74">
        <f>VLOOKUP( $A8, Aop!$A$2:$N$415, 4, 0)</f>
        <v>907</v>
      </c>
      <c r="G8" s="79">
        <f t="shared" si="3"/>
        <v>2019</v>
      </c>
      <c r="H8" s="190">
        <f t="shared" si="4"/>
        <v>43738</v>
      </c>
      <c r="I8" s="79">
        <f t="shared" si="5"/>
        <v>3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1772902</v>
      </c>
      <c r="D9" s="79" t="str">
        <f t="shared" si="1"/>
        <v>4400964000002</v>
      </c>
      <c r="E9" s="79" t="b">
        <f t="shared" si="2"/>
        <v>1</v>
      </c>
      <c r="F9" s="74">
        <f>VLOOKUP( $A9, Aop!$A$2:$N$415, 4, 0)</f>
        <v>908</v>
      </c>
      <c r="G9" s="79">
        <f t="shared" si="3"/>
        <v>2019</v>
      </c>
      <c r="H9" s="190">
        <f t="shared" si="4"/>
        <v>43738</v>
      </c>
      <c r="I9" s="79">
        <f t="shared" si="5"/>
        <v>3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60880880</v>
      </c>
      <c r="O9" s="74">
        <f t="shared" ca="1" si="11"/>
        <v>60880880</v>
      </c>
      <c r="P9" s="74" t="str">
        <f t="shared" ca="1" si="12"/>
        <v/>
      </c>
      <c r="Q9" s="74">
        <f t="shared" ca="1" si="13"/>
        <v>60880880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1772902</v>
      </c>
      <c r="D10" s="79" t="str">
        <f t="shared" si="1"/>
        <v>4400964000002</v>
      </c>
      <c r="E10" s="79" t="b">
        <f t="shared" si="2"/>
        <v>1</v>
      </c>
      <c r="F10" s="74">
        <f>VLOOKUP( $A10, Aop!$A$2:$N$415, 4, 0)</f>
        <v>909</v>
      </c>
      <c r="G10" s="79">
        <f t="shared" si="3"/>
        <v>2019</v>
      </c>
      <c r="H10" s="190">
        <f t="shared" si="4"/>
        <v>43738</v>
      </c>
      <c r="I10" s="79">
        <f t="shared" si="5"/>
        <v>3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1772902</v>
      </c>
      <c r="D11" s="79" t="str">
        <f t="shared" si="1"/>
        <v>4400964000002</v>
      </c>
      <c r="E11" s="79" t="b">
        <f t="shared" si="2"/>
        <v>1</v>
      </c>
      <c r="F11" s="74">
        <f>VLOOKUP( $A11, Aop!$A$2:$N$415, 4, 0)</f>
        <v>910</v>
      </c>
      <c r="G11" s="79">
        <f t="shared" si="3"/>
        <v>2019</v>
      </c>
      <c r="H11" s="190">
        <f t="shared" si="4"/>
        <v>43738</v>
      </c>
      <c r="I11" s="79">
        <f t="shared" si="5"/>
        <v>3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>
        <f t="shared" ca="1" si="10"/>
        <v>57202019</v>
      </c>
      <c r="O11" s="74">
        <f t="shared" ca="1" si="11"/>
        <v>57202019</v>
      </c>
      <c r="P11" s="74" t="str">
        <f t="shared" ca="1" si="12"/>
        <v/>
      </c>
      <c r="Q11" s="74">
        <f t="shared" ca="1" si="13"/>
        <v>57202019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1772902</v>
      </c>
      <c r="D12" s="79" t="str">
        <f t="shared" si="1"/>
        <v>4400964000002</v>
      </c>
      <c r="E12" s="79" t="b">
        <f t="shared" si="2"/>
        <v>1</v>
      </c>
      <c r="F12" s="74">
        <f>VLOOKUP( $A12, Aop!$A$2:$N$415, 4, 0)</f>
        <v>911</v>
      </c>
      <c r="G12" s="79">
        <f t="shared" si="3"/>
        <v>2019</v>
      </c>
      <c r="H12" s="190">
        <f t="shared" si="4"/>
        <v>43738</v>
      </c>
      <c r="I12" s="79">
        <f t="shared" si="5"/>
        <v>3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1772902</v>
      </c>
      <c r="D13" s="79" t="str">
        <f t="shared" si="1"/>
        <v>4400964000002</v>
      </c>
      <c r="E13" s="79" t="b">
        <f t="shared" si="2"/>
        <v>1</v>
      </c>
      <c r="F13" s="74">
        <f>VLOOKUP( $A13, Aop!$A$2:$N$415, 4, 0)</f>
        <v>912</v>
      </c>
      <c r="G13" s="79">
        <f t="shared" si="3"/>
        <v>2019</v>
      </c>
      <c r="H13" s="190">
        <f t="shared" si="4"/>
        <v>43738</v>
      </c>
      <c r="I13" s="79">
        <f t="shared" si="5"/>
        <v>3</v>
      </c>
      <c r="J13" s="74">
        <f t="shared" ca="1" si="6"/>
        <v>491383755</v>
      </c>
      <c r="K13" s="74">
        <f t="shared" ca="1" si="7"/>
        <v>0</v>
      </c>
      <c r="L13" s="74">
        <f t="shared" ca="1" si="8"/>
        <v>-1212</v>
      </c>
      <c r="M13" s="74">
        <f t="shared" ca="1" si="9"/>
        <v>146933266</v>
      </c>
      <c r="N13" s="74">
        <f t="shared" ca="1" si="10"/>
        <v>23398811</v>
      </c>
      <c r="O13" s="74">
        <f t="shared" ca="1" si="11"/>
        <v>661714620</v>
      </c>
      <c r="P13" s="74">
        <f t="shared" ca="1" si="12"/>
        <v>0</v>
      </c>
      <c r="Q13" s="74">
        <f t="shared" ca="1" si="13"/>
        <v>661714620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1772902</v>
      </c>
      <c r="D14" s="79" t="str">
        <f t="shared" si="1"/>
        <v>4400964000002</v>
      </c>
      <c r="E14" s="79" t="b">
        <f t="shared" si="2"/>
        <v>1</v>
      </c>
      <c r="F14" s="74">
        <f>VLOOKUP( $A14, Aop!$A$2:$N$415, 4, 0)</f>
        <v>913</v>
      </c>
      <c r="G14" s="79">
        <f t="shared" si="3"/>
        <v>2019</v>
      </c>
      <c r="H14" s="190">
        <f t="shared" si="4"/>
        <v>43738</v>
      </c>
      <c r="I14" s="79">
        <f t="shared" si="5"/>
        <v>3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1772902</v>
      </c>
      <c r="D15" s="79" t="str">
        <f t="shared" si="1"/>
        <v>4400964000002</v>
      </c>
      <c r="E15" s="79" t="b">
        <f t="shared" si="2"/>
        <v>1</v>
      </c>
      <c r="F15" s="74">
        <f>VLOOKUP( $A15, Aop!$A$2:$N$415, 4, 0)</f>
        <v>914</v>
      </c>
      <c r="G15" s="79">
        <f t="shared" si="3"/>
        <v>2019</v>
      </c>
      <c r="H15" s="190">
        <f t="shared" si="4"/>
        <v>43738</v>
      </c>
      <c r="I15" s="79">
        <f t="shared" si="5"/>
        <v>3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1772902</v>
      </c>
      <c r="D16" s="79" t="str">
        <f t="shared" si="1"/>
        <v>4400964000002</v>
      </c>
      <c r="E16" s="79" t="b">
        <f t="shared" si="2"/>
        <v>1</v>
      </c>
      <c r="F16" s="74">
        <f>VLOOKUP( $A16, Aop!$A$2:$N$415, 4, 0)</f>
        <v>915</v>
      </c>
      <c r="G16" s="79">
        <f t="shared" si="3"/>
        <v>2019</v>
      </c>
      <c r="H16" s="190">
        <f t="shared" si="4"/>
        <v>43738</v>
      </c>
      <c r="I16" s="79">
        <f t="shared" si="5"/>
        <v>3</v>
      </c>
      <c r="J16" s="74">
        <f t="shared" ca="1" si="6"/>
        <v>491383755</v>
      </c>
      <c r="K16" s="74">
        <f t="shared" ca="1" si="7"/>
        <v>0</v>
      </c>
      <c r="L16" s="74">
        <f t="shared" ca="1" si="8"/>
        <v>-1212</v>
      </c>
      <c r="M16" s="74">
        <f t="shared" ca="1" si="9"/>
        <v>146933266</v>
      </c>
      <c r="N16" s="74">
        <f t="shared" ca="1" si="10"/>
        <v>23398811</v>
      </c>
      <c r="O16" s="74">
        <f t="shared" ca="1" si="11"/>
        <v>661714620</v>
      </c>
      <c r="P16" s="74">
        <f t="shared" ca="1" si="12"/>
        <v>0</v>
      </c>
      <c r="Q16" s="74">
        <f t="shared" ca="1" si="13"/>
        <v>661714620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1772902</v>
      </c>
      <c r="D17" s="79" t="str">
        <f t="shared" si="1"/>
        <v>4400964000002</v>
      </c>
      <c r="E17" s="79" t="b">
        <f t="shared" si="2"/>
        <v>1</v>
      </c>
      <c r="F17" s="74">
        <f>VLOOKUP( $A17, Aop!$A$2:$N$415, 4, 0)</f>
        <v>916</v>
      </c>
      <c r="G17" s="79">
        <f t="shared" si="3"/>
        <v>2019</v>
      </c>
      <c r="H17" s="190">
        <f t="shared" si="4"/>
        <v>43738</v>
      </c>
      <c r="I17" s="79">
        <f t="shared" si="5"/>
        <v>3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1772902</v>
      </c>
      <c r="D18" s="79" t="str">
        <f t="shared" si="1"/>
        <v>4400964000002</v>
      </c>
      <c r="E18" s="79" t="b">
        <f t="shared" si="2"/>
        <v>1</v>
      </c>
      <c r="F18" s="74">
        <f>VLOOKUP( $A18, Aop!$A$2:$N$415, 4, 0)</f>
        <v>917</v>
      </c>
      <c r="G18" s="79">
        <f t="shared" si="3"/>
        <v>2019</v>
      </c>
      <c r="H18" s="190">
        <f t="shared" si="4"/>
        <v>43738</v>
      </c>
      <c r="I18" s="79">
        <f t="shared" si="5"/>
        <v>3</v>
      </c>
      <c r="J18" s="74" t="str">
        <f t="shared" ca="1" si="6"/>
        <v/>
      </c>
      <c r="K18" s="74" t="str">
        <f t="shared" ca="1" si="7"/>
        <v/>
      </c>
      <c r="L18" s="74">
        <f t="shared" ca="1" si="8"/>
        <v>471</v>
      </c>
      <c r="M18" s="74" t="str">
        <f t="shared" ca="1" si="9"/>
        <v/>
      </c>
      <c r="N18" s="74" t="str">
        <f t="shared" ca="1" si="10"/>
        <v/>
      </c>
      <c r="O18" s="74">
        <f t="shared" ca="1" si="11"/>
        <v>471</v>
      </c>
      <c r="P18" s="74" t="str">
        <f t="shared" ca="1" si="12"/>
        <v/>
      </c>
      <c r="Q18" s="74">
        <f t="shared" ca="1" si="13"/>
        <v>471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1772902</v>
      </c>
      <c r="D19" s="79" t="str">
        <f t="shared" si="1"/>
        <v>4400964000002</v>
      </c>
      <c r="E19" s="79" t="b">
        <f t="shared" si="2"/>
        <v>1</v>
      </c>
      <c r="F19" s="74">
        <f>VLOOKUP( $A19, Aop!$A$2:$N$415, 4, 0)</f>
        <v>918</v>
      </c>
      <c r="G19" s="79">
        <f t="shared" si="3"/>
        <v>2019</v>
      </c>
      <c r="H19" s="190">
        <f t="shared" si="4"/>
        <v>43738</v>
      </c>
      <c r="I19" s="79">
        <f t="shared" si="5"/>
        <v>3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1772902</v>
      </c>
      <c r="D20" s="79" t="str">
        <f t="shared" si="1"/>
        <v>4400964000002</v>
      </c>
      <c r="E20" s="79" t="b">
        <f t="shared" si="2"/>
        <v>1</v>
      </c>
      <c r="F20" s="74">
        <f>VLOOKUP( $A20, Aop!$A$2:$N$415, 4, 0)</f>
        <v>919</v>
      </c>
      <c r="G20" s="79">
        <f t="shared" si="3"/>
        <v>2019</v>
      </c>
      <c r="H20" s="190">
        <f t="shared" si="4"/>
        <v>43738</v>
      </c>
      <c r="I20" s="79">
        <f t="shared" si="5"/>
        <v>3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63385739</v>
      </c>
      <c r="O20" s="74">
        <f t="shared" ca="1" si="11"/>
        <v>63385739</v>
      </c>
      <c r="P20" s="74" t="str">
        <f t="shared" ca="1" si="12"/>
        <v/>
      </c>
      <c r="Q20" s="74">
        <f t="shared" ca="1" si="13"/>
        <v>63385739</v>
      </c>
    </row>
    <row r="21" spans="1:17" x14ac:dyDescent="0.2">
      <c r="A21" s="147">
        <v>411</v>
      </c>
      <c r="B21" s="371" t="str">
        <f>VLOOKUP( $A21, Aop!$A$2:$N$415, 2, 0)</f>
        <v>BPK</v>
      </c>
      <c r="C21" s="74" t="str">
        <f>Podatak_MB</f>
        <v>1772902</v>
      </c>
      <c r="D21" s="74" t="str">
        <f>Podatak_JIB</f>
        <v>4400964000002</v>
      </c>
      <c r="E21" s="74" t="b">
        <f>Konsolidovan_izvjestaj</f>
        <v>1</v>
      </c>
      <c r="F21" s="74">
        <f>VLOOKUP( $A21, Aop!$A$2:$N$415, 4, 0)</f>
        <v>920</v>
      </c>
      <c r="G21" s="74">
        <f>Godina</f>
        <v>2019</v>
      </c>
      <c r="H21" s="370">
        <f>Datum_Broj</f>
        <v>43738</v>
      </c>
      <c r="I21" s="74">
        <f>ID_Izvjestaj</f>
        <v>3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1" t="str">
        <f>VLOOKUP( $A22, Aop!$A$2:$N$415, 2, 0)</f>
        <v>BPK</v>
      </c>
      <c r="C22" s="74" t="str">
        <f>Podatak_MB</f>
        <v>1772902</v>
      </c>
      <c r="D22" s="74" t="str">
        <f>Podatak_JIB</f>
        <v>4400964000002</v>
      </c>
      <c r="E22" s="74" t="b">
        <f>Konsolidovan_izvjestaj</f>
        <v>1</v>
      </c>
      <c r="F22" s="74">
        <f>VLOOKUP( $A22, Aop!$A$2:$N$415, 4, 0)</f>
        <v>921</v>
      </c>
      <c r="G22" s="74">
        <f>Godina</f>
        <v>2019</v>
      </c>
      <c r="H22" s="370">
        <f>Datum_Broj</f>
        <v>43738</v>
      </c>
      <c r="I22" s="74">
        <f>ID_Izvjestaj</f>
        <v>3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>
        <f t="shared" ca="1" si="18"/>
        <v>38445821</v>
      </c>
      <c r="O22" s="74">
        <f t="shared" ca="1" si="19"/>
        <v>38445821</v>
      </c>
      <c r="P22" s="74" t="str">
        <f t="shared" ca="1" si="20"/>
        <v/>
      </c>
      <c r="Q22" s="74">
        <f t="shared" ca="1" si="21"/>
        <v>38445821</v>
      </c>
    </row>
    <row r="23" spans="1:17" x14ac:dyDescent="0.2">
      <c r="A23" s="147">
        <v>413</v>
      </c>
      <c r="B23" s="371" t="str">
        <f>VLOOKUP( $A23, Aop!$A$2:$N$415, 2, 0)</f>
        <v>BPK</v>
      </c>
      <c r="C23" s="74" t="str">
        <f>Podatak_MB</f>
        <v>1772902</v>
      </c>
      <c r="D23" s="74" t="str">
        <f>Podatak_JIB</f>
        <v>4400964000002</v>
      </c>
      <c r="E23" s="74" t="b">
        <f>Konsolidovan_izvjestaj</f>
        <v>1</v>
      </c>
      <c r="F23" s="74">
        <f>VLOOKUP( $A23, Aop!$A$2:$N$415, 4, 0)</f>
        <v>922</v>
      </c>
      <c r="G23" s="74">
        <f>Godina</f>
        <v>2019</v>
      </c>
      <c r="H23" s="370">
        <f>Datum_Broj</f>
        <v>43738</v>
      </c>
      <c r="I23" s="74">
        <f>ID_Izvjestaj</f>
        <v>3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1" t="str">
        <f>VLOOKUP( $A24, Aop!$A$2:$N$415, 2, 0)</f>
        <v>BPK</v>
      </c>
      <c r="C24" s="74" t="str">
        <f>Podatak_MB</f>
        <v>1772902</v>
      </c>
      <c r="D24" s="74" t="str">
        <f>Podatak_JIB</f>
        <v>4400964000002</v>
      </c>
      <c r="E24" s="74" t="b">
        <f>Konsolidovan_izvjestaj</f>
        <v>1</v>
      </c>
      <c r="F24" s="74">
        <f>VLOOKUP( $A24, Aop!$A$2:$N$415, 4, 0)</f>
        <v>923</v>
      </c>
      <c r="G24" s="74">
        <f>Godina</f>
        <v>2019</v>
      </c>
      <c r="H24" s="370">
        <f>Datum_Broj</f>
        <v>43738</v>
      </c>
      <c r="I24" s="74">
        <f>ID_Izvjestaj</f>
        <v>3</v>
      </c>
      <c r="J24" s="74">
        <f t="shared" ca="1" si="14"/>
        <v>491383755</v>
      </c>
      <c r="K24" s="74">
        <f t="shared" ca="1" si="15"/>
        <v>0</v>
      </c>
      <c r="L24" s="74">
        <f t="shared" ca="1" si="16"/>
        <v>-741</v>
      </c>
      <c r="M24" s="74">
        <f t="shared" ca="1" si="17"/>
        <v>146933266</v>
      </c>
      <c r="N24" s="74">
        <f t="shared" ca="1" si="18"/>
        <v>48338729</v>
      </c>
      <c r="O24" s="74">
        <f t="shared" ca="1" si="19"/>
        <v>686655009</v>
      </c>
      <c r="P24" s="74">
        <f t="shared" ca="1" si="20"/>
        <v>0</v>
      </c>
      <c r="Q24" s="74">
        <f t="shared" ca="1" si="21"/>
        <v>686655009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0" zoomScaleNormal="110" workbookViewId="0">
      <pane ySplit="1" topLeftCell="A2" activePane="bottomLeft" state="frozen"/>
      <selection pane="bottomLeft" activeCell="A2" sqref="A2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78" t="s">
        <v>408</v>
      </c>
      <c r="M1" s="378" t="s">
        <v>535</v>
      </c>
      <c r="P1" s="379" t="s">
        <v>2045</v>
      </c>
    </row>
    <row r="2" spans="2:16" x14ac:dyDescent="0.2">
      <c r="B2" s="8">
        <f>VLOOKUP( T_ApifImport[[#This Row],[Bilans]], T_Bilansi[], 4, 0)</f>
        <v>1</v>
      </c>
      <c r="C2" s="374">
        <f>VLOOKUP( T_ApifImport[[#This Row],[Id]], T_Aop[], 4, 0)</f>
        <v>1</v>
      </c>
      <c r="D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2377150391</v>
      </c>
      <c r="E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1360392792</v>
      </c>
      <c r="F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1016757599</v>
      </c>
      <c r="G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733630030</v>
      </c>
      <c r="H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4">
        <f>VLOOKUP( T_ApifImport[[#This Row],[Id]], T_Aop[], 4, 0)</f>
        <v>2</v>
      </c>
      <c r="D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458820861</v>
      </c>
      <c r="E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231609842</v>
      </c>
      <c r="F3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227211019</v>
      </c>
      <c r="G3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69196427</v>
      </c>
      <c r="H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4">
        <f>VLOOKUP( T_ApifImport[[#This Row],[Id]], T_Aop[], 4, 0)</f>
        <v>3</v>
      </c>
      <c r="D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4">
        <f>VLOOKUP( T_ApifImport[[#This Row],[Id]], T_Aop[], 4, 0)</f>
        <v>4</v>
      </c>
      <c r="D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226512213</v>
      </c>
      <c r="E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148586058</v>
      </c>
      <c r="F5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77926155</v>
      </c>
      <c r="G5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17192529</v>
      </c>
      <c r="H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4">
        <f>VLOOKUP( T_ApifImport[[#This Row],[Id]], T_Aop[], 4, 0)</f>
        <v>5</v>
      </c>
      <c r="D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49589351</v>
      </c>
      <c r="E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49589351</v>
      </c>
      <c r="G6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10339849</v>
      </c>
      <c r="H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4">
        <f>VLOOKUP( T_ApifImport[[#This Row],[Id]], T_Aop[], 4, 0)</f>
        <v>6</v>
      </c>
      <c r="D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162713450</v>
      </c>
      <c r="E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83023784</v>
      </c>
      <c r="F7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79689666</v>
      </c>
      <c r="G7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18903926</v>
      </c>
      <c r="H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4">
        <f>VLOOKUP( T_ApifImport[[#This Row],[Id]], T_Aop[], 4, 0)</f>
        <v>7</v>
      </c>
      <c r="D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20005847</v>
      </c>
      <c r="E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20005847</v>
      </c>
      <c r="G8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22760123</v>
      </c>
      <c r="H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4">
        <f>VLOOKUP( T_ApifImport[[#This Row],[Id]], T_Aop[], 4, 0)</f>
        <v>8</v>
      </c>
      <c r="D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1747845382</v>
      </c>
      <c r="E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1128720229</v>
      </c>
      <c r="F9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619125153</v>
      </c>
      <c r="G9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569077038</v>
      </c>
      <c r="H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4">
        <f>VLOOKUP( T_ApifImport[[#This Row],[Id]], T_Aop[], 4, 0)</f>
        <v>9</v>
      </c>
      <c r="D1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1794020</v>
      </c>
      <c r="E1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1794020</v>
      </c>
      <c r="G10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1734580</v>
      </c>
      <c r="H1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4">
        <f>VLOOKUP( T_ApifImport[[#This Row],[Id]], T_Aop[], 4, 0)</f>
        <v>10</v>
      </c>
      <c r="D1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888572758</v>
      </c>
      <c r="E1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567610366</v>
      </c>
      <c r="F11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320962392</v>
      </c>
      <c r="G11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264251090</v>
      </c>
      <c r="H1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4">
        <f>VLOOKUP( T_ApifImport[[#This Row],[Id]], T_Aop[], 4, 0)</f>
        <v>11</v>
      </c>
      <c r="D1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763816759</v>
      </c>
      <c r="E1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558625143</v>
      </c>
      <c r="F1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205191616</v>
      </c>
      <c r="G1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220290860</v>
      </c>
      <c r="H1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4">
        <f>VLOOKUP( T_ApifImport[[#This Row],[Id]], T_Aop[], 4, 0)</f>
        <v>12</v>
      </c>
      <c r="D1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4">
        <f>VLOOKUP( T_ApifImport[[#This Row],[Id]], T_Aop[], 4, 0)</f>
        <v>13</v>
      </c>
      <c r="D1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3228552</v>
      </c>
      <c r="E1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2457852</v>
      </c>
      <c r="F14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770700</v>
      </c>
      <c r="G14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952203</v>
      </c>
      <c r="H1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4">
        <f>VLOOKUP( T_ApifImport[[#This Row],[Id]], T_Aop[], 4, 0)</f>
        <v>14</v>
      </c>
      <c r="D1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90433293</v>
      </c>
      <c r="E1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26868</v>
      </c>
      <c r="F15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90406425</v>
      </c>
      <c r="G15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81848305</v>
      </c>
      <c r="H1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4">
        <f>VLOOKUP( T_ApifImport[[#This Row],[Id]], T_Aop[], 4, 0)</f>
        <v>15</v>
      </c>
      <c r="D1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27464</v>
      </c>
      <c r="E1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6282</v>
      </c>
      <c r="F16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21182</v>
      </c>
      <c r="G16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21182</v>
      </c>
      <c r="H1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4">
        <f>VLOOKUP( T_ApifImport[[#This Row],[Id]], T_Aop[], 4, 0)</f>
        <v>16</v>
      </c>
      <c r="D1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4">
        <f>VLOOKUP( T_ApifImport[[#This Row],[Id]], T_Aop[], 4, 0)</f>
        <v>17</v>
      </c>
      <c r="D1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4">
        <f>VLOOKUP( T_ApifImport[[#This Row],[Id]], T_Aop[], 4, 0)</f>
        <v>18</v>
      </c>
      <c r="D1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4">
        <f>VLOOKUP( T_ApifImport[[#This Row],[Id]], T_Aop[], 4, 0)</f>
        <v>19</v>
      </c>
      <c r="D2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27464</v>
      </c>
      <c r="E2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6282</v>
      </c>
      <c r="F20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21182</v>
      </c>
      <c r="G20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21182</v>
      </c>
      <c r="H2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4">
        <f>VLOOKUP( T_ApifImport[[#This Row],[Id]], T_Aop[], 4, 0)</f>
        <v>20</v>
      </c>
      <c r="D2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4">
        <f>VLOOKUP( T_ApifImport[[#This Row],[Id]], T_Aop[], 4, 0)</f>
        <v>21</v>
      </c>
      <c r="D2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169788715</v>
      </c>
      <c r="E2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56439</v>
      </c>
      <c r="F2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169732276</v>
      </c>
      <c r="G2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95066742</v>
      </c>
      <c r="H2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4">
        <f>VLOOKUP( T_ApifImport[[#This Row],[Id]], T_Aop[], 4, 0)</f>
        <v>22</v>
      </c>
      <c r="D2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4">
        <f>VLOOKUP( T_ApifImport[[#This Row],[Id]], T_Aop[], 4, 0)</f>
        <v>23</v>
      </c>
      <c r="D2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169520533</v>
      </c>
      <c r="E2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169520533</v>
      </c>
      <c r="G24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88772757</v>
      </c>
      <c r="H2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4">
        <f>VLOOKUP( T_ApifImport[[#This Row],[Id]], T_Aop[], 4, 0)</f>
        <v>24</v>
      </c>
      <c r="D2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4">
        <f>VLOOKUP( T_ApifImport[[#This Row],[Id]], T_Aop[], 4, 0)</f>
        <v>25</v>
      </c>
      <c r="D2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8192</v>
      </c>
      <c r="E2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5344</v>
      </c>
      <c r="F26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2848</v>
      </c>
      <c r="G26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11016</v>
      </c>
      <c r="H2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4">
        <f>VLOOKUP( T_ApifImport[[#This Row],[Id]], T_Aop[], 4, 0)</f>
        <v>26</v>
      </c>
      <c r="D2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4">
        <f>VLOOKUP( T_ApifImport[[#This Row],[Id]], T_Aop[], 4, 0)</f>
        <v>27</v>
      </c>
      <c r="D2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26600</v>
      </c>
      <c r="E2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20341</v>
      </c>
      <c r="F28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6259</v>
      </c>
      <c r="G28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5788</v>
      </c>
      <c r="H2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4">
        <f>VLOOKUP( T_ApifImport[[#This Row],[Id]], T_Aop[], 4, 0)</f>
        <v>28</v>
      </c>
      <c r="D2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45371</v>
      </c>
      <c r="E2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45371</v>
      </c>
      <c r="G29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54557</v>
      </c>
      <c r="H2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4">
        <f>VLOOKUP( T_ApifImport[[#This Row],[Id]], T_Aop[], 4, 0)</f>
        <v>29</v>
      </c>
      <c r="D3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188019</v>
      </c>
      <c r="E3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30754</v>
      </c>
      <c r="F30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157265</v>
      </c>
      <c r="G30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6222624</v>
      </c>
      <c r="H3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4">
        <f>VLOOKUP( T_ApifImport[[#This Row],[Id]], T_Aop[], 4, 0)</f>
        <v>30</v>
      </c>
      <c r="D3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667969</v>
      </c>
      <c r="E3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667969</v>
      </c>
      <c r="G31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268641</v>
      </c>
      <c r="H3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4">
        <f>VLOOKUP( T_ApifImport[[#This Row],[Id]], T_Aop[], 4, 0)</f>
        <v>31</v>
      </c>
      <c r="D3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234429115</v>
      </c>
      <c r="E3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66215442</v>
      </c>
      <c r="F3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168213673</v>
      </c>
      <c r="G3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239943955</v>
      </c>
      <c r="H3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4">
        <f>VLOOKUP( T_ApifImport[[#This Row],[Id]], T_Aop[], 4, 0)</f>
        <v>32</v>
      </c>
      <c r="D3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25879086</v>
      </c>
      <c r="E3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3162020</v>
      </c>
      <c r="F33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22717066</v>
      </c>
      <c r="G33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14441244</v>
      </c>
      <c r="H3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4">
        <f>VLOOKUP( T_ApifImport[[#This Row],[Id]], T_Aop[], 4, 0)</f>
        <v>33</v>
      </c>
      <c r="D3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23060280</v>
      </c>
      <c r="E3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3047777</v>
      </c>
      <c r="F34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20012503</v>
      </c>
      <c r="G34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13167507</v>
      </c>
      <c r="H3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4">
        <f>VLOOKUP( T_ApifImport[[#This Row],[Id]], T_Aop[], 4, 0)</f>
        <v>34</v>
      </c>
      <c r="D3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4">
        <f>VLOOKUP( T_ApifImport[[#This Row],[Id]], T_Aop[], 4, 0)</f>
        <v>35</v>
      </c>
      <c r="D3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4">
        <f>VLOOKUP( T_ApifImport[[#This Row],[Id]], T_Aop[], 4, 0)</f>
        <v>36</v>
      </c>
      <c r="D3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1211884</v>
      </c>
      <c r="E3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114243</v>
      </c>
      <c r="F37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1097641</v>
      </c>
      <c r="G37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292841</v>
      </c>
      <c r="H3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4">
        <f>VLOOKUP( T_ApifImport[[#This Row],[Id]], T_Aop[], 4, 0)</f>
        <v>37</v>
      </c>
      <c r="D3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27298</v>
      </c>
      <c r="E3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27298</v>
      </c>
      <c r="G38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47786</v>
      </c>
      <c r="H3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4">
        <f>VLOOKUP( T_ApifImport[[#This Row],[Id]], T_Aop[], 4, 0)</f>
        <v>38</v>
      </c>
      <c r="D3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1579624</v>
      </c>
      <c r="E3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1579624</v>
      </c>
      <c r="G39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933110</v>
      </c>
      <c r="H3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4">
        <f>VLOOKUP( T_ApifImport[[#This Row],[Id]], T_Aop[], 4, 0)</f>
        <v>39</v>
      </c>
      <c r="D4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208550029</v>
      </c>
      <c r="E4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63053422</v>
      </c>
      <c r="F40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145496607</v>
      </c>
      <c r="G40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225502711</v>
      </c>
      <c r="H4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4">
        <f>VLOOKUP( T_ApifImport[[#This Row],[Id]], T_Aop[], 4, 0)</f>
        <v>40</v>
      </c>
      <c r="D4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150911619</v>
      </c>
      <c r="E4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63053422</v>
      </c>
      <c r="F41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87858197</v>
      </c>
      <c r="G41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72381758</v>
      </c>
      <c r="H4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4">
        <f>VLOOKUP( T_ApifImport[[#This Row],[Id]], T_Aop[], 4, 0)</f>
        <v>41</v>
      </c>
      <c r="D4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12453728</v>
      </c>
      <c r="E4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12453728</v>
      </c>
      <c r="G4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9319811</v>
      </c>
      <c r="H4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4">
        <f>VLOOKUP( T_ApifImport[[#This Row],[Id]], T_Aop[], 4, 0)</f>
        <v>42</v>
      </c>
      <c r="D4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74907896</v>
      </c>
      <c r="E4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7252671</v>
      </c>
      <c r="F43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67655225</v>
      </c>
      <c r="G43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60998352</v>
      </c>
      <c r="H4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4">
        <f>VLOOKUP( T_ApifImport[[#This Row],[Id]], T_Aop[], 4, 0)</f>
        <v>43</v>
      </c>
      <c r="D4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5085652</v>
      </c>
      <c r="E4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491807</v>
      </c>
      <c r="F44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4593845</v>
      </c>
      <c r="G44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788199</v>
      </c>
      <c r="H4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4">
        <f>VLOOKUP( T_ApifImport[[#This Row],[Id]], T_Aop[], 4, 0)</f>
        <v>44</v>
      </c>
      <c r="D4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54733396</v>
      </c>
      <c r="E4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54600170</v>
      </c>
      <c r="F45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133226</v>
      </c>
      <c r="G45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193806</v>
      </c>
      <c r="H4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4">
        <f>VLOOKUP( T_ApifImport[[#This Row],[Id]], T_Aop[], 4, 0)</f>
        <v>45</v>
      </c>
      <c r="D4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122739</v>
      </c>
      <c r="E4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122739</v>
      </c>
      <c r="F46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</v>
      </c>
      <c r="H4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4">
        <f>VLOOKUP( T_ApifImport[[#This Row],[Id]], T_Aop[], 4, 0)</f>
        <v>46</v>
      </c>
      <c r="D4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3608208</v>
      </c>
      <c r="E4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586035</v>
      </c>
      <c r="F47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3022173</v>
      </c>
      <c r="G47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1081586</v>
      </c>
      <c r="H4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4">
        <f>VLOOKUP( T_ApifImport[[#This Row],[Id]], T_Aop[], 4, 0)</f>
        <v>47</v>
      </c>
      <c r="D4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8266018</v>
      </c>
      <c r="E4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8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8266018</v>
      </c>
      <c r="G48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62108774</v>
      </c>
      <c r="H4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4">
        <f>VLOOKUP( T_ApifImport[[#This Row],[Id]], T_Aop[], 4, 0)</f>
        <v>48</v>
      </c>
      <c r="D4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2933745</v>
      </c>
      <c r="E4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9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2933745</v>
      </c>
      <c r="G49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4">
        <f>VLOOKUP( T_ApifImport[[#This Row],[Id]], T_Aop[], 4, 0)</f>
        <v>49</v>
      </c>
      <c r="D5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10000</v>
      </c>
      <c r="E5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0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10000</v>
      </c>
      <c r="G50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4">
        <f>VLOOKUP( T_ApifImport[[#This Row],[Id]], T_Aop[], 4, 0)</f>
        <v>50</v>
      </c>
      <c r="D5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1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4">
        <f>VLOOKUP( T_ApifImport[[#This Row],[Id]], T_Aop[], 4, 0)</f>
        <v>51</v>
      </c>
      <c r="D5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80157</v>
      </c>
      <c r="E5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80157</v>
      </c>
      <c r="G5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82265</v>
      </c>
      <c r="H5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4">
        <f>VLOOKUP( T_ApifImport[[#This Row],[Id]], T_Aop[], 4, 0)</f>
        <v>52</v>
      </c>
      <c r="D5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3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4">
        <f>VLOOKUP( T_ApifImport[[#This Row],[Id]], T_Aop[], 4, 0)</f>
        <v>53</v>
      </c>
      <c r="D5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4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4">
        <f>VLOOKUP( T_ApifImport[[#This Row],[Id]], T_Aop[], 4, 0)</f>
        <v>54</v>
      </c>
      <c r="D5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5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4">
        <f>VLOOKUP( T_ApifImport[[#This Row],[Id]], T_Aop[], 4, 0)</f>
        <v>55</v>
      </c>
      <c r="D5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5242116</v>
      </c>
      <c r="E5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6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5242116</v>
      </c>
      <c r="G56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62026509</v>
      </c>
      <c r="H5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4">
        <f>VLOOKUP( T_ApifImport[[#This Row],[Id]], T_Aop[], 4, 0)</f>
        <v>56</v>
      </c>
      <c r="D5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28491038</v>
      </c>
      <c r="E5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7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28491038</v>
      </c>
      <c r="G57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71465331</v>
      </c>
      <c r="H5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4">
        <f>VLOOKUP( T_ApifImport[[#This Row],[Id]], T_Aop[], 4, 0)</f>
        <v>57</v>
      </c>
      <c r="D5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101569</v>
      </c>
      <c r="E5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8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101569</v>
      </c>
      <c r="G58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100000</v>
      </c>
      <c r="H5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4">
        <f>VLOOKUP( T_ApifImport[[#This Row],[Id]], T_Aop[], 4, 0)</f>
        <v>58</v>
      </c>
      <c r="D5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28389469</v>
      </c>
      <c r="E5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9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28389469</v>
      </c>
      <c r="G59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71365331</v>
      </c>
      <c r="H5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4">
        <f>VLOOKUP( T_ApifImport[[#This Row],[Id]], T_Aop[], 4, 0)</f>
        <v>59</v>
      </c>
      <c r="D6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0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4">
        <f>VLOOKUP( T_ApifImport[[#This Row],[Id]], T_Aop[], 4, 0)</f>
        <v>60</v>
      </c>
      <c r="D6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20881354</v>
      </c>
      <c r="E6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1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20881354</v>
      </c>
      <c r="G61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19546848</v>
      </c>
      <c r="H6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4">
        <f>VLOOKUP( T_ApifImport[[#This Row],[Id]], T_Aop[], 4, 0)</f>
        <v>61</v>
      </c>
      <c r="D6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4">
        <f>VLOOKUP( T_ApifImport[[#This Row],[Id]], T_Aop[], 4, 0)</f>
        <v>62</v>
      </c>
      <c r="D6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2611579506</v>
      </c>
      <c r="E6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1426608234</v>
      </c>
      <c r="F63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1184971272</v>
      </c>
      <c r="G63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973573985</v>
      </c>
      <c r="H6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4">
        <f>VLOOKUP( T_ApifImport[[#This Row],[Id]], T_Aop[], 4, 0)</f>
        <v>63</v>
      </c>
      <c r="D6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4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4">
        <f>VLOOKUP( T_ApifImport[[#This Row],[Id]], T_Aop[], 4, 0)</f>
        <v>64</v>
      </c>
      <c r="D6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2611579506</v>
      </c>
      <c r="E6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1426608234</v>
      </c>
      <c r="F65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1184971272</v>
      </c>
      <c r="G65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973573985</v>
      </c>
      <c r="H6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4">
        <f>VLOOKUP( T_ApifImport[[#This Row],[Id]], T_Aop[], 4, 0)</f>
        <v>65</v>
      </c>
      <c r="D6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392106969</v>
      </c>
      <c r="E6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6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392106969</v>
      </c>
      <c r="G66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250396558</v>
      </c>
      <c r="H6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6">
        <f>VLOOKUP( T_ApifImport[[#This Row],[Id]], T_Aop[], 4, 0)</f>
        <v>66</v>
      </c>
      <c r="D67" s="377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3003686475</v>
      </c>
      <c r="E67" s="377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1426608234</v>
      </c>
      <c r="F67" s="377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1577078241</v>
      </c>
      <c r="G67" s="377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1223970543</v>
      </c>
      <c r="H67" s="377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77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77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77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6">
        <f>VLOOKUP( T_ApifImport[[#This Row],[Id]], T_Aop[], 4, 0)</f>
        <v>101</v>
      </c>
      <c r="D68" s="377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686655009</v>
      </c>
      <c r="E68" s="377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661714620</v>
      </c>
      <c r="F68" s="377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77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77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77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77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77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4">
        <f>VLOOKUP( T_ApifImport[[#This Row],[Id]], T_Aop[], 4, 0)</f>
        <v>102</v>
      </c>
      <c r="D6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6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491383755</v>
      </c>
      <c r="F6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4">
        <f>VLOOKUP( T_ApifImport[[#This Row],[Id]], T_Aop[], 4, 0)</f>
        <v>103</v>
      </c>
      <c r="D7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7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491383755</v>
      </c>
      <c r="F7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4">
        <f>VLOOKUP( T_ApifImport[[#This Row],[Id]], T_Aop[], 4, 0)</f>
        <v>104</v>
      </c>
      <c r="D7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4">
        <f>VLOOKUP( T_ApifImport[[#This Row],[Id]], T_Aop[], 4, 0)</f>
        <v>105</v>
      </c>
      <c r="D7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4">
        <f>VLOOKUP( T_ApifImport[[#This Row],[Id]], T_Aop[], 4, 0)</f>
        <v>106</v>
      </c>
      <c r="D7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4">
        <f>VLOOKUP( T_ApifImport[[#This Row],[Id]], T_Aop[], 4, 0)</f>
        <v>107</v>
      </c>
      <c r="D7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4">
        <f>VLOOKUP( T_ApifImport[[#This Row],[Id]], T_Aop[], 4, 0)</f>
        <v>108</v>
      </c>
      <c r="D7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4">
        <f>VLOOKUP( T_ApifImport[[#This Row],[Id]], T_Aop[], 4, 0)</f>
        <v>109</v>
      </c>
      <c r="D7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4">
        <f>VLOOKUP( T_ApifImport[[#This Row],[Id]], T_Aop[], 4, 0)</f>
        <v>110</v>
      </c>
      <c r="D7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4">
        <f>VLOOKUP( T_ApifImport[[#This Row],[Id]], T_Aop[], 4, 0)</f>
        <v>111</v>
      </c>
      <c r="D7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4">
        <f>VLOOKUP( T_ApifImport[[#This Row],[Id]], T_Aop[], 4, 0)</f>
        <v>112</v>
      </c>
      <c r="D7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146933266</v>
      </c>
      <c r="E7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146933266</v>
      </c>
      <c r="F7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4">
        <f>VLOOKUP( T_ApifImport[[#This Row],[Id]], T_Aop[], 4, 0)</f>
        <v>113</v>
      </c>
      <c r="D8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49141766</v>
      </c>
      <c r="E8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49141766</v>
      </c>
      <c r="F8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4">
        <f>VLOOKUP( T_ApifImport[[#This Row],[Id]], T_Aop[], 4, 0)</f>
        <v>114</v>
      </c>
      <c r="D8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4">
        <f>VLOOKUP( T_ApifImport[[#This Row],[Id]], T_Aop[], 4, 0)</f>
        <v>115</v>
      </c>
      <c r="D8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97791500</v>
      </c>
      <c r="E8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97791500</v>
      </c>
      <c r="F8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4">
        <f>VLOOKUP( T_ApifImport[[#This Row],[Id]], T_Aop[], 4, 0)</f>
        <v>116</v>
      </c>
      <c r="D8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4">
        <f>VLOOKUP( T_ApifImport[[#This Row],[Id]], T_Aop[], 4, 0)</f>
        <v>117</v>
      </c>
      <c r="D8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4">
        <f>VLOOKUP( T_ApifImport[[#This Row],[Id]], T_Aop[], 4, 0)</f>
        <v>118</v>
      </c>
      <c r="D8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741</v>
      </c>
      <c r="E8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1212</v>
      </c>
      <c r="F8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4">
        <f>VLOOKUP( T_ApifImport[[#This Row],[Id]], T_Aop[], 4, 0)</f>
        <v>119</v>
      </c>
      <c r="D8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63385739</v>
      </c>
      <c r="E8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38309189</v>
      </c>
      <c r="F8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4">
        <f>VLOOKUP( T_ApifImport[[#This Row],[Id]], T_Aop[], 4, 0)</f>
        <v>120</v>
      </c>
      <c r="D8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4">
        <f>VLOOKUP( T_ApifImport[[#This Row],[Id]], T_Aop[], 4, 0)</f>
        <v>121</v>
      </c>
      <c r="D8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63385739</v>
      </c>
      <c r="E8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38309189</v>
      </c>
      <c r="F8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4">
        <f>VLOOKUP( T_ApifImport[[#This Row],[Id]], T_Aop[], 4, 0)</f>
        <v>122</v>
      </c>
      <c r="D8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4">
        <f>VLOOKUP( T_ApifImport[[#This Row],[Id]], T_Aop[], 4, 0)</f>
        <v>123</v>
      </c>
      <c r="D9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15047010</v>
      </c>
      <c r="E9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14910378</v>
      </c>
      <c r="F9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4">
        <f>VLOOKUP( T_ApifImport[[#This Row],[Id]], T_Aop[], 4, 0)</f>
        <v>124</v>
      </c>
      <c r="D9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15047010</v>
      </c>
      <c r="E9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14910378</v>
      </c>
      <c r="F9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4">
        <f>VLOOKUP( T_ApifImport[[#This Row],[Id]], T_Aop[], 4, 0)</f>
        <v>125</v>
      </c>
      <c r="D9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4">
        <f>VLOOKUP( T_ApifImport[[#This Row],[Id]], T_Aop[], 4, 0)</f>
        <v>126</v>
      </c>
      <c r="D9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11617316</v>
      </c>
      <c r="E9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7479219</v>
      </c>
      <c r="F9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4">
        <f>VLOOKUP( T_ApifImport[[#This Row],[Id]], T_Aop[], 4, 0)</f>
        <v>127</v>
      </c>
      <c r="D9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4">
        <f>VLOOKUP( T_ApifImport[[#This Row],[Id]], T_Aop[], 4, 0)</f>
        <v>128</v>
      </c>
      <c r="D9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4">
        <f>VLOOKUP( T_ApifImport[[#This Row],[Id]], T_Aop[], 4, 0)</f>
        <v>129</v>
      </c>
      <c r="D9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4">
        <f>VLOOKUP( T_ApifImport[[#This Row],[Id]], T_Aop[], 4, 0)</f>
        <v>130</v>
      </c>
      <c r="D9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4">
        <f>VLOOKUP( T_ApifImport[[#This Row],[Id]], T_Aop[], 4, 0)</f>
        <v>131</v>
      </c>
      <c r="D9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5664614</v>
      </c>
      <c r="E9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6178375</v>
      </c>
      <c r="F9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4">
        <f>VLOOKUP( T_ApifImport[[#This Row],[Id]], T_Aop[], 4, 0)</f>
        <v>132</v>
      </c>
      <c r="D9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5838918</v>
      </c>
      <c r="E9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1091147</v>
      </c>
      <c r="F9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4">
        <f>VLOOKUP( T_ApifImport[[#This Row],[Id]], T_Aop[], 4, 0)</f>
        <v>133</v>
      </c>
      <c r="D10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52560</v>
      </c>
      <c r="E10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61835</v>
      </c>
      <c r="F10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4">
        <f>VLOOKUP( T_ApifImport[[#This Row],[Id]], T_Aop[], 4, 0)</f>
        <v>134</v>
      </c>
      <c r="D10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61224</v>
      </c>
      <c r="E10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147862</v>
      </c>
      <c r="F10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4">
        <f>VLOOKUP( T_ApifImport[[#This Row],[Id]], T_Aop[], 4, 0)</f>
        <v>135</v>
      </c>
      <c r="D10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486698947</v>
      </c>
      <c r="E10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304380146</v>
      </c>
      <c r="F10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4">
        <f>VLOOKUP( T_ApifImport[[#This Row],[Id]], T_Aop[], 4, 0)</f>
        <v>136</v>
      </c>
      <c r="D10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293132915</v>
      </c>
      <c r="E10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165845532</v>
      </c>
      <c r="F10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4">
        <f>VLOOKUP( T_ApifImport[[#This Row],[Id]], T_Aop[], 4, 0)</f>
        <v>137</v>
      </c>
      <c r="D10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4">
        <f>VLOOKUP( T_ApifImport[[#This Row],[Id]], T_Aop[], 4, 0)</f>
        <v>138</v>
      </c>
      <c r="D10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4">
        <f>VLOOKUP( T_ApifImport[[#This Row],[Id]], T_Aop[], 4, 0)</f>
        <v>139</v>
      </c>
      <c r="D10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4">
        <f>VLOOKUP( T_ApifImport[[#This Row],[Id]], T_Aop[], 4, 0)</f>
        <v>140</v>
      </c>
      <c r="D10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232575955</v>
      </c>
      <c r="E10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165845532</v>
      </c>
      <c r="F10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4">
        <f>VLOOKUP( T_ApifImport[[#This Row],[Id]], T_Aop[], 4, 0)</f>
        <v>141</v>
      </c>
      <c r="D10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50502562</v>
      </c>
      <c r="E10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4">
        <f>VLOOKUP( T_ApifImport[[#This Row],[Id]], T_Aop[], 4, 0)</f>
        <v>142</v>
      </c>
      <c r="D10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4">
        <f>VLOOKUP( T_ApifImport[[#This Row],[Id]], T_Aop[], 4, 0)</f>
        <v>143</v>
      </c>
      <c r="D11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10054398</v>
      </c>
      <c r="E11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4">
        <f>VLOOKUP( T_ApifImport[[#This Row],[Id]], T_Aop[], 4, 0)</f>
        <v>144</v>
      </c>
      <c r="D11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193566032</v>
      </c>
      <c r="E11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138534614</v>
      </c>
      <c r="F11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4">
        <f>VLOOKUP( T_ApifImport[[#This Row],[Id]], T_Aop[], 4, 0)</f>
        <v>145</v>
      </c>
      <c r="D11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85943608</v>
      </c>
      <c r="E11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32113243</v>
      </c>
      <c r="F11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4">
        <f>VLOOKUP( T_ApifImport[[#This Row],[Id]], T_Aop[], 4, 0)</f>
        <v>146</v>
      </c>
      <c r="D11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11758656</v>
      </c>
      <c r="E11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804353</v>
      </c>
      <c r="F11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4">
        <f>VLOOKUP( T_ApifImport[[#This Row],[Id]], T_Aop[], 4, 0)</f>
        <v>147</v>
      </c>
      <c r="D11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65833652</v>
      </c>
      <c r="E11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31308890</v>
      </c>
      <c r="F11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4">
        <f>VLOOKUP( T_ApifImport[[#This Row],[Id]], T_Aop[], 4, 0)</f>
        <v>148</v>
      </c>
      <c r="D11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4">
        <f>VLOOKUP( T_ApifImport[[#This Row],[Id]], T_Aop[], 4, 0)</f>
        <v>149</v>
      </c>
      <c r="D11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8351300</v>
      </c>
      <c r="E11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4">
        <f>VLOOKUP( T_ApifImport[[#This Row],[Id]], T_Aop[], 4, 0)</f>
        <v>150</v>
      </c>
      <c r="D11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64633103</v>
      </c>
      <c r="E11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69826305</v>
      </c>
      <c r="F11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4">
        <f>VLOOKUP( T_ApifImport[[#This Row],[Id]], T_Aop[], 4, 0)</f>
        <v>151</v>
      </c>
      <c r="D11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2075054</v>
      </c>
      <c r="E11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2217775</v>
      </c>
      <c r="F11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4">
        <f>VLOOKUP( T_ApifImport[[#This Row],[Id]], T_Aop[], 4, 0)</f>
        <v>152</v>
      </c>
      <c r="D11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6012909</v>
      </c>
      <c r="E11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4280855</v>
      </c>
      <c r="F11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4">
        <f>VLOOKUP( T_ApifImport[[#This Row],[Id]], T_Aop[], 4, 0)</f>
        <v>153</v>
      </c>
      <c r="D12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43856026</v>
      </c>
      <c r="E12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54502228</v>
      </c>
      <c r="F12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4">
        <f>VLOOKUP( T_ApifImport[[#This Row],[Id]], T_Aop[], 4, 0)</f>
        <v>154</v>
      </c>
      <c r="D12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12220165</v>
      </c>
      <c r="E12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8647295</v>
      </c>
      <c r="F12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4">
        <f>VLOOKUP( T_ApifImport[[#This Row],[Id]], T_Aop[], 4, 0)</f>
        <v>155</v>
      </c>
      <c r="D12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468949</v>
      </c>
      <c r="E12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178152</v>
      </c>
      <c r="F12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4">
        <f>VLOOKUP( T_ApifImport[[#This Row],[Id]], T_Aop[], 4, 0)</f>
        <v>156</v>
      </c>
      <c r="D12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7902</v>
      </c>
      <c r="E12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169307</v>
      </c>
      <c r="F12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4">
        <f>VLOOKUP( T_ApifImport[[#This Row],[Id]], T_Aop[], 4, 0)</f>
        <v>157</v>
      </c>
      <c r="D12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6383437</v>
      </c>
      <c r="E12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478032</v>
      </c>
      <c r="F12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4">
        <f>VLOOKUP( T_ApifImport[[#This Row],[Id]], T_Aop[], 4, 0)</f>
        <v>158</v>
      </c>
      <c r="D12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6342766</v>
      </c>
      <c r="E12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10176053</v>
      </c>
      <c r="F12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4">
        <f>VLOOKUP( T_ApifImport[[#This Row],[Id]], T_Aop[], 4, 0)</f>
        <v>159</v>
      </c>
      <c r="D12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3493222</v>
      </c>
      <c r="E12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3433799</v>
      </c>
      <c r="F12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4">
        <f>VLOOKUP( T_ApifImport[[#This Row],[Id]], T_Aop[], 4, 0)</f>
        <v>160</v>
      </c>
      <c r="D12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169275</v>
      </c>
      <c r="E12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257798</v>
      </c>
      <c r="F12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4">
        <f>VLOOKUP( T_ApifImport[[#This Row],[Id]], T_Aop[], 4, 0)</f>
        <v>161</v>
      </c>
      <c r="D12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21698</v>
      </c>
      <c r="E12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366094</v>
      </c>
      <c r="F12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4">
        <f>VLOOKUP( T_ApifImport[[#This Row],[Id]], T_Aop[], 4, 0)</f>
        <v>162</v>
      </c>
      <c r="D12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26571021</v>
      </c>
      <c r="E12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21713983</v>
      </c>
      <c r="F12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4">
        <f>VLOOKUP( T_ApifImport[[#This Row],[Id]], T_Aop[], 4, 0)</f>
        <v>163</v>
      </c>
      <c r="D13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4">
        <f>VLOOKUP( T_ApifImport[[#This Row],[Id]], T_Aop[], 4, 0)</f>
        <v>164</v>
      </c>
      <c r="D13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1184971272</v>
      </c>
      <c r="E13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973573985</v>
      </c>
      <c r="F13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4">
        <f>VLOOKUP( T_ApifImport[[#This Row],[Id]], T_Aop[], 4, 0)</f>
        <v>165</v>
      </c>
      <c r="D13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392106969</v>
      </c>
      <c r="E13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250396558</v>
      </c>
      <c r="F13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4">
        <f>VLOOKUP( T_ApifImport[[#This Row],[Id]], T_Aop[], 4, 0)</f>
        <v>166</v>
      </c>
      <c r="D13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1577078241</v>
      </c>
      <c r="E13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1223970543</v>
      </c>
      <c r="F13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4">
        <f>VLOOKUP( T_ApifImport[[#This Row],[Id]], T_Aop[], 4, 0)</f>
        <v>201</v>
      </c>
      <c r="D13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350403321</v>
      </c>
      <c r="E13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327768045</v>
      </c>
      <c r="F13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4">
        <f>VLOOKUP( T_ApifImport[[#This Row],[Id]], T_Aop[], 4, 0)</f>
        <v>202</v>
      </c>
      <c r="D13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1999279</v>
      </c>
      <c r="E13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1627337</v>
      </c>
      <c r="F13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4">
        <f>VLOOKUP( T_ApifImport[[#This Row],[Id]], T_Aop[], 4, 0)</f>
        <v>203</v>
      </c>
      <c r="D13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1198812</v>
      </c>
      <c r="E13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917887</v>
      </c>
      <c r="F13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4">
        <f>VLOOKUP( T_ApifImport[[#This Row],[Id]], T_Aop[], 4, 0)</f>
        <v>204</v>
      </c>
      <c r="D13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800467</v>
      </c>
      <c r="E13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709450</v>
      </c>
      <c r="F13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4">
        <f>VLOOKUP( T_ApifImport[[#This Row],[Id]], T_Aop[], 4, 0)</f>
        <v>205</v>
      </c>
      <c r="D13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4">
        <f>VLOOKUP( T_ApifImport[[#This Row],[Id]], T_Aop[], 4, 0)</f>
        <v>206</v>
      </c>
      <c r="D13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344927658</v>
      </c>
      <c r="E13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323377842</v>
      </c>
      <c r="F13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4">
        <f>VLOOKUP( T_ApifImport[[#This Row],[Id]], T_Aop[], 4, 0)</f>
        <v>207</v>
      </c>
      <c r="D14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23802656</v>
      </c>
      <c r="E14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19526617</v>
      </c>
      <c r="F14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4">
        <f>VLOOKUP( T_ApifImport[[#This Row],[Id]], T_Aop[], 4, 0)</f>
        <v>208</v>
      </c>
      <c r="D14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309616561</v>
      </c>
      <c r="E14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295946205</v>
      </c>
      <c r="F14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4">
        <f>VLOOKUP( T_ApifImport[[#This Row],[Id]], T_Aop[], 4, 0)</f>
        <v>209</v>
      </c>
      <c r="D14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11508441</v>
      </c>
      <c r="E14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7905020</v>
      </c>
      <c r="F14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4">
        <f>VLOOKUP( T_ApifImport[[#This Row],[Id]], T_Aop[], 4, 0)</f>
        <v>210</v>
      </c>
      <c r="D14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226493</v>
      </c>
      <c r="E14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2515</v>
      </c>
      <c r="F14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4">
        <f>VLOOKUP( T_ApifImport[[#This Row],[Id]], T_Aop[], 4, 0)</f>
        <v>211</v>
      </c>
      <c r="D14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4">
        <f>VLOOKUP( T_ApifImport[[#This Row],[Id]], T_Aop[], 4, 0)</f>
        <v>212</v>
      </c>
      <c r="D14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4">
        <f>VLOOKUP( T_ApifImport[[#This Row],[Id]], T_Aop[], 4, 0)</f>
        <v>213</v>
      </c>
      <c r="D14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4">
        <f>VLOOKUP( T_ApifImport[[#This Row],[Id]], T_Aop[], 4, 0)</f>
        <v>214</v>
      </c>
      <c r="D14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4">
        <f>VLOOKUP( T_ApifImport[[#This Row],[Id]], T_Aop[], 4, 0)</f>
        <v>215</v>
      </c>
      <c r="D14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3249891</v>
      </c>
      <c r="E14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2760351</v>
      </c>
      <c r="F14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4">
        <f>VLOOKUP( T_ApifImport[[#This Row],[Id]], T_Aop[], 4, 0)</f>
        <v>216</v>
      </c>
      <c r="D14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310888664</v>
      </c>
      <c r="E14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286303096</v>
      </c>
      <c r="F14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4">
        <f>VLOOKUP( T_ApifImport[[#This Row],[Id]], T_Aop[], 4, 0)</f>
        <v>217</v>
      </c>
      <c r="D15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3766307</v>
      </c>
      <c r="E15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2613400</v>
      </c>
      <c r="F15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4">
        <f>VLOOKUP( T_ApifImport[[#This Row],[Id]], T_Aop[], 4, 0)</f>
        <v>218</v>
      </c>
      <c r="D15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45057758</v>
      </c>
      <c r="E15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45555355</v>
      </c>
      <c r="F15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4">
        <f>VLOOKUP( T_ApifImport[[#This Row],[Id]], T_Aop[], 4, 0)</f>
        <v>219</v>
      </c>
      <c r="D15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62968315</v>
      </c>
      <c r="E15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59636196</v>
      </c>
      <c r="F15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4">
        <f>VLOOKUP( T_ApifImport[[#This Row],[Id]], T_Aop[], 4, 0)</f>
        <v>220</v>
      </c>
      <c r="D15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55794184</v>
      </c>
      <c r="E15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52960519</v>
      </c>
      <c r="F15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4">
        <f>VLOOKUP( T_ApifImport[[#This Row],[Id]], T_Aop[], 4, 0)</f>
        <v>221</v>
      </c>
      <c r="D15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7174131</v>
      </c>
      <c r="E15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6675677</v>
      </c>
      <c r="F15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4">
        <f>VLOOKUP( T_ApifImport[[#This Row],[Id]], T_Aop[], 4, 0)</f>
        <v>222</v>
      </c>
      <c r="D15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87053056</v>
      </c>
      <c r="E15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86117514</v>
      </c>
      <c r="F15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4">
        <f>VLOOKUP( T_ApifImport[[#This Row],[Id]], T_Aop[], 4, 0)</f>
        <v>223</v>
      </c>
      <c r="D15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93772666</v>
      </c>
      <c r="E15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76649427</v>
      </c>
      <c r="F15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4">
        <f>VLOOKUP( T_ApifImport[[#This Row],[Id]], T_Aop[], 4, 0)</f>
        <v>224</v>
      </c>
      <c r="D15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93772666</v>
      </c>
      <c r="E15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76559463</v>
      </c>
      <c r="F15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4">
        <f>VLOOKUP( T_ApifImport[[#This Row],[Id]], T_Aop[], 4, 0)</f>
        <v>225</v>
      </c>
      <c r="D15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5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89964</v>
      </c>
      <c r="F15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4">
        <f>VLOOKUP( T_ApifImport[[#This Row],[Id]], T_Aop[], 4, 0)</f>
        <v>226</v>
      </c>
      <c r="D15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15228076</v>
      </c>
      <c r="E15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12737601</v>
      </c>
      <c r="F15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4">
        <f>VLOOKUP( T_ApifImport[[#This Row],[Id]], T_Aop[], 4, 0)</f>
        <v>227</v>
      </c>
      <c r="D16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2981897</v>
      </c>
      <c r="E16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2931437</v>
      </c>
      <c r="F16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4">
        <f>VLOOKUP( T_ApifImport[[#This Row],[Id]], T_Aop[], 4, 0)</f>
        <v>228</v>
      </c>
      <c r="D16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60589</v>
      </c>
      <c r="E16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62166</v>
      </c>
      <c r="F16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4">
        <f>VLOOKUP( T_ApifImport[[#This Row],[Id]], T_Aop[], 4, 0)</f>
        <v>229</v>
      </c>
      <c r="D16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39514657</v>
      </c>
      <c r="E16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41464949</v>
      </c>
      <c r="F16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4">
        <f>VLOOKUP( T_ApifImport[[#This Row],[Id]], T_Aop[], 4, 0)</f>
        <v>230</v>
      </c>
      <c r="D16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4">
        <f>VLOOKUP( T_ApifImport[[#This Row],[Id]], T_Aop[], 4, 0)</f>
        <v>231</v>
      </c>
      <c r="D16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849507</v>
      </c>
      <c r="E16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1609600</v>
      </c>
      <c r="F16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4">
        <f>VLOOKUP( T_ApifImport[[#This Row],[Id]], T_Aop[], 4, 0)</f>
        <v>232</v>
      </c>
      <c r="D16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4">
        <f>VLOOKUP( T_ApifImport[[#This Row],[Id]], T_Aop[], 4, 0)</f>
        <v>233</v>
      </c>
      <c r="D16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730478</v>
      </c>
      <c r="E16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1212204</v>
      </c>
      <c r="F16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4">
        <f>VLOOKUP( T_ApifImport[[#This Row],[Id]], T_Aop[], 4, 0)</f>
        <v>234</v>
      </c>
      <c r="D16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117577</v>
      </c>
      <c r="E16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227416</v>
      </c>
      <c r="F16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4">
        <f>VLOOKUP( T_ApifImport[[#This Row],[Id]], T_Aop[], 4, 0)</f>
        <v>235</v>
      </c>
      <c r="D16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4">
        <f>VLOOKUP( T_ApifImport[[#This Row],[Id]], T_Aop[], 4, 0)</f>
        <v>236</v>
      </c>
      <c r="D16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4">
        <f>VLOOKUP( T_ApifImport[[#This Row],[Id]], T_Aop[], 4, 0)</f>
        <v>237</v>
      </c>
      <c r="D17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1452</v>
      </c>
      <c r="E17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169980</v>
      </c>
      <c r="F17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4">
        <f>VLOOKUP( T_ApifImport[[#This Row],[Id]], T_Aop[], 4, 0)</f>
        <v>238</v>
      </c>
      <c r="D17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5179711</v>
      </c>
      <c r="E17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1020859</v>
      </c>
      <c r="F17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4">
        <f>VLOOKUP( T_ApifImport[[#This Row],[Id]], T_Aop[], 4, 0)</f>
        <v>239</v>
      </c>
      <c r="D17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4">
        <f>VLOOKUP( T_ApifImport[[#This Row],[Id]], T_Aop[], 4, 0)</f>
        <v>240</v>
      </c>
      <c r="D17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4852442</v>
      </c>
      <c r="E17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644616</v>
      </c>
      <c r="F17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4">
        <f>VLOOKUP( T_ApifImport[[#This Row],[Id]], T_Aop[], 4, 0)</f>
        <v>241</v>
      </c>
      <c r="D17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327269</v>
      </c>
      <c r="E17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376243</v>
      </c>
      <c r="F17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4">
        <f>VLOOKUP( T_ApifImport[[#This Row],[Id]], T_Aop[], 4, 0)</f>
        <v>242</v>
      </c>
      <c r="D17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4">
        <f>VLOOKUP( T_ApifImport[[#This Row],[Id]], T_Aop[], 4, 0)</f>
        <v>243</v>
      </c>
      <c r="D17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4">
        <f>VLOOKUP( T_ApifImport[[#This Row],[Id]], T_Aop[], 4, 0)</f>
        <v>244</v>
      </c>
      <c r="D17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35184453</v>
      </c>
      <c r="E17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42053690</v>
      </c>
      <c r="F17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4">
        <f>VLOOKUP( T_ApifImport[[#This Row],[Id]], T_Aop[], 4, 0)</f>
        <v>245</v>
      </c>
      <c r="D17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4">
        <f>VLOOKUP( T_ApifImport[[#This Row],[Id]], T_Aop[], 4, 0)</f>
        <v>246</v>
      </c>
      <c r="D17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36142836</v>
      </c>
      <c r="E17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10496593</v>
      </c>
      <c r="F17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4">
        <f>VLOOKUP( T_ApifImport[[#This Row],[Id]], T_Aop[], 4, 0)</f>
        <v>247</v>
      </c>
      <c r="D18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260205</v>
      </c>
      <c r="E18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251552</v>
      </c>
      <c r="F18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4">
        <f>VLOOKUP( T_ApifImport[[#This Row],[Id]], T_Aop[], 4, 0)</f>
        <v>248</v>
      </c>
      <c r="D18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4">
        <f>VLOOKUP( T_ApifImport[[#This Row],[Id]], T_Aop[], 4, 0)</f>
        <v>249</v>
      </c>
      <c r="D18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4">
        <f>VLOOKUP( T_ApifImport[[#This Row],[Id]], T_Aop[], 4, 0)</f>
        <v>250</v>
      </c>
      <c r="D18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4">
        <f>VLOOKUP( T_ApifImport[[#This Row],[Id]], T_Aop[], 4, 0)</f>
        <v>251</v>
      </c>
      <c r="D18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4">
        <f>VLOOKUP( T_ApifImport[[#This Row],[Id]], T_Aop[], 4, 0)</f>
        <v>252</v>
      </c>
      <c r="D18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4">
        <f>VLOOKUP( T_ApifImport[[#This Row],[Id]], T_Aop[], 4, 0)</f>
        <v>253</v>
      </c>
      <c r="D18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9809</v>
      </c>
      <c r="E18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4">
        <f>VLOOKUP( T_ApifImport[[#This Row],[Id]], T_Aop[], 4, 0)</f>
        <v>254</v>
      </c>
      <c r="D18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14014</v>
      </c>
      <c r="E18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8295</v>
      </c>
      <c r="F18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4">
        <f>VLOOKUP( T_ApifImport[[#This Row],[Id]], T_Aop[], 4, 0)</f>
        <v>255</v>
      </c>
      <c r="D18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4">
        <f>VLOOKUP( T_ApifImport[[#This Row],[Id]], T_Aop[], 4, 0)</f>
        <v>256</v>
      </c>
      <c r="D18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35858808</v>
      </c>
      <c r="E18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10236746</v>
      </c>
      <c r="F18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4">
        <f>VLOOKUP( T_ApifImport[[#This Row],[Id]], T_Aop[], 4, 0)</f>
        <v>257</v>
      </c>
      <c r="D19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4298967</v>
      </c>
      <c r="E19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3687723</v>
      </c>
      <c r="F19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4">
        <f>VLOOKUP( T_ApifImport[[#This Row],[Id]], T_Aop[], 4, 0)</f>
        <v>258</v>
      </c>
      <c r="D19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140763</v>
      </c>
      <c r="E19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17992</v>
      </c>
      <c r="F19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4">
        <f>VLOOKUP( T_ApifImport[[#This Row],[Id]], T_Aop[], 4, 0)</f>
        <v>259</v>
      </c>
      <c r="D19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4">
        <f>VLOOKUP( T_ApifImport[[#This Row],[Id]], T_Aop[], 4, 0)</f>
        <v>260</v>
      </c>
      <c r="D19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4">
        <f>VLOOKUP( T_ApifImport[[#This Row],[Id]], T_Aop[], 4, 0)</f>
        <v>261</v>
      </c>
      <c r="D19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4">
        <f>VLOOKUP( T_ApifImport[[#This Row],[Id]], T_Aop[], 4, 0)</f>
        <v>262</v>
      </c>
      <c r="D19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4">
        <f>VLOOKUP( T_ApifImport[[#This Row],[Id]], T_Aop[], 4, 0)</f>
        <v>263</v>
      </c>
      <c r="D19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4">
        <f>VLOOKUP( T_ApifImport[[#This Row],[Id]], T_Aop[], 4, 0)</f>
        <v>264</v>
      </c>
      <c r="D19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428487</v>
      </c>
      <c r="E19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957</v>
      </c>
      <c r="F19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4">
        <f>VLOOKUP( T_ApifImport[[#This Row],[Id]], T_Aop[], 4, 0)</f>
        <v>265</v>
      </c>
      <c r="D19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4">
        <f>VLOOKUP( T_ApifImport[[#This Row],[Id]], T_Aop[], 4, 0)</f>
        <v>266</v>
      </c>
      <c r="D19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2086248</v>
      </c>
      <c r="E19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3144252</v>
      </c>
      <c r="F19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4">
        <f>VLOOKUP( T_ApifImport[[#This Row],[Id]], T_Aop[], 4, 0)</f>
        <v>267</v>
      </c>
      <c r="D20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1643469</v>
      </c>
      <c r="E20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524522</v>
      </c>
      <c r="F20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4">
        <f>VLOOKUP( T_ApifImport[[#This Row],[Id]], T_Aop[], 4, 0)</f>
        <v>268</v>
      </c>
      <c r="D20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31843869</v>
      </c>
      <c r="E20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6808870</v>
      </c>
      <c r="F20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4">
        <f>VLOOKUP( T_ApifImport[[#This Row],[Id]], T_Aop[], 4, 0)</f>
        <v>269</v>
      </c>
      <c r="D20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4">
        <f>VLOOKUP( T_ApifImport[[#This Row],[Id]], T_Aop[], 4, 0)</f>
        <v>270</v>
      </c>
      <c r="D20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1453</v>
      </c>
      <c r="E20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4">
        <f>VLOOKUP( T_ApifImport[[#This Row],[Id]], T_Aop[], 4, 0)</f>
        <v>271</v>
      </c>
      <c r="D20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4">
        <f>VLOOKUP( T_ApifImport[[#This Row],[Id]], T_Aop[], 4, 0)</f>
        <v>272</v>
      </c>
      <c r="D20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4">
        <f>VLOOKUP( T_ApifImport[[#This Row],[Id]], T_Aop[], 4, 0)</f>
        <v>273</v>
      </c>
      <c r="D20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4">
        <f>VLOOKUP( T_ApifImport[[#This Row],[Id]], T_Aop[], 4, 0)</f>
        <v>274</v>
      </c>
      <c r="D20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4">
        <f>VLOOKUP( T_ApifImport[[#This Row],[Id]], T_Aop[], 4, 0)</f>
        <v>275</v>
      </c>
      <c r="D20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4">
        <f>VLOOKUP( T_ApifImport[[#This Row],[Id]], T_Aop[], 4, 0)</f>
        <v>276</v>
      </c>
      <c r="D20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1453</v>
      </c>
      <c r="E20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4">
        <f>VLOOKUP( T_ApifImport[[#This Row],[Id]], T_Aop[], 4, 0)</f>
        <v>277</v>
      </c>
      <c r="D21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4">
        <f>VLOOKUP( T_ApifImport[[#This Row],[Id]], T_Aop[], 4, 0)</f>
        <v>278</v>
      </c>
      <c r="D21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4">
        <f>VLOOKUP( T_ApifImport[[#This Row],[Id]], T_Aop[], 4, 0)</f>
        <v>279</v>
      </c>
      <c r="D21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4">
        <f>VLOOKUP( T_ApifImport[[#This Row],[Id]], T_Aop[], 4, 0)</f>
        <v>280</v>
      </c>
      <c r="D21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635</v>
      </c>
      <c r="E21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4">
        <f>VLOOKUP( T_ApifImport[[#This Row],[Id]], T_Aop[], 4, 0)</f>
        <v>281</v>
      </c>
      <c r="D21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4">
        <f>VLOOKUP( T_ApifImport[[#This Row],[Id]], T_Aop[], 4, 0)</f>
        <v>282</v>
      </c>
      <c r="D21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4">
        <f>VLOOKUP( T_ApifImport[[#This Row],[Id]], T_Aop[], 4, 0)</f>
        <v>283</v>
      </c>
      <c r="D21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4">
        <f>VLOOKUP( T_ApifImport[[#This Row],[Id]], T_Aop[], 4, 0)</f>
        <v>284</v>
      </c>
      <c r="D21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4">
        <f>VLOOKUP( T_ApifImport[[#This Row],[Id]], T_Aop[], 4, 0)</f>
        <v>285</v>
      </c>
      <c r="D21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4">
        <f>VLOOKUP( T_ApifImport[[#This Row],[Id]], T_Aop[], 4, 0)</f>
        <v>286</v>
      </c>
      <c r="D21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635</v>
      </c>
      <c r="E21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4">
        <f>VLOOKUP( T_ApifImport[[#This Row],[Id]], T_Aop[], 4, 0)</f>
        <v>287</v>
      </c>
      <c r="D22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4">
        <f>VLOOKUP( T_ApifImport[[#This Row],[Id]], T_Aop[], 4, 0)</f>
        <v>288</v>
      </c>
      <c r="D22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4">
        <f>VLOOKUP( T_ApifImport[[#This Row],[Id]], T_Aop[], 4, 0)</f>
        <v>289</v>
      </c>
      <c r="D22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4">
        <f>VLOOKUP( T_ApifImport[[#This Row],[Id]], T_Aop[], 4, 0)</f>
        <v>290</v>
      </c>
      <c r="D22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818</v>
      </c>
      <c r="E22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4">
        <f>VLOOKUP( T_ApifImport[[#This Row],[Id]], T_Aop[], 4, 0)</f>
        <v>291</v>
      </c>
      <c r="D22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4">
        <f>VLOOKUP( T_ApifImport[[#This Row],[Id]], T_Aop[], 4, 0)</f>
        <v>292</v>
      </c>
      <c r="D22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4">
        <f>VLOOKUP( T_ApifImport[[#This Row],[Id]], T_Aop[], 4, 0)</f>
        <v>293</v>
      </c>
      <c r="D22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4">
        <f>VLOOKUP( T_ApifImport[[#This Row],[Id]], T_Aop[], 4, 0)</f>
        <v>294</v>
      </c>
      <c r="D22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67029140</v>
      </c>
      <c r="E22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48862560</v>
      </c>
      <c r="F22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4">
        <f>VLOOKUP( T_ApifImport[[#This Row],[Id]], T_Aop[], 4, 0)</f>
        <v>295</v>
      </c>
      <c r="D22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4">
        <f>VLOOKUP( T_ApifImport[[#This Row],[Id]], T_Aop[], 4, 0)</f>
        <v>296</v>
      </c>
      <c r="D22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4039119</v>
      </c>
      <c r="E22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4498494</v>
      </c>
      <c r="F22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4">
        <f>VLOOKUP( T_ApifImport[[#This Row],[Id]], T_Aop[], 4, 0)</f>
        <v>297</v>
      </c>
      <c r="D23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33593</v>
      </c>
      <c r="E23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118842</v>
      </c>
      <c r="F23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4">
        <f>VLOOKUP( T_ApifImport[[#This Row],[Id]], T_Aop[], 4, 0)</f>
        <v>298</v>
      </c>
      <c r="D23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429311</v>
      </c>
      <c r="E23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78266</v>
      </c>
      <c r="F23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4">
        <f>VLOOKUP( T_ApifImport[[#This Row],[Id]], T_Aop[], 4, 0)</f>
        <v>299</v>
      </c>
      <c r="D23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63385739</v>
      </c>
      <c r="E23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44323490</v>
      </c>
      <c r="F23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4">
        <f>VLOOKUP( T_ApifImport[[#This Row],[Id]], T_Aop[], 4, 0)</f>
        <v>300</v>
      </c>
      <c r="D23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4">
        <f>VLOOKUP( T_ApifImport[[#This Row],[Id]], T_Aop[], 4, 0)</f>
        <v>301</v>
      </c>
      <c r="D23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387397117</v>
      </c>
      <c r="E23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339874238</v>
      </c>
      <c r="F23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4">
        <f>VLOOKUP( T_ApifImport[[#This Row],[Id]], T_Aop[], 4, 0)</f>
        <v>302</v>
      </c>
      <c r="D23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320367977</v>
      </c>
      <c r="E23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291011678</v>
      </c>
      <c r="F23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4">
        <f>VLOOKUP( T_ApifImport[[#This Row],[Id]], T_Aop[], 4, 0)</f>
        <v>303</v>
      </c>
      <c r="D23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4">
        <f>VLOOKUP( T_ApifImport[[#This Row],[Id]], T_Aop[], 4, 0)</f>
        <v>304</v>
      </c>
      <c r="D23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4">
        <f>VLOOKUP( T_ApifImport[[#This Row],[Id]], T_Aop[], 4, 0)</f>
        <v>305</v>
      </c>
      <c r="D23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4">
        <f>VLOOKUP( T_ApifImport[[#This Row],[Id]], T_Aop[], 4, 0)</f>
        <v>306</v>
      </c>
      <c r="D23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0.129</v>
      </c>
      <c r="E23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0.0902</v>
      </c>
      <c r="F23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4">
        <f>VLOOKUP( T_ApifImport[[#This Row],[Id]], T_Aop[], 4, 0)</f>
        <v>307</v>
      </c>
      <c r="D24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4">
        <f>VLOOKUP( T_ApifImport[[#This Row],[Id]], T_Aop[], 4, 0)</f>
        <v>308</v>
      </c>
      <c r="D24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2493</v>
      </c>
      <c r="E24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2242</v>
      </c>
      <c r="F24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4">
        <f>VLOOKUP( T_ApifImport[[#This Row],[Id]], T_Aop[], 4, 0)</f>
        <v>309</v>
      </c>
      <c r="D24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2491</v>
      </c>
      <c r="E24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2245</v>
      </c>
      <c r="F24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4">
        <f>VLOOKUP( T_ApifImport[[#This Row],[Id]], T_Aop[], 4, 0)</f>
        <v>400</v>
      </c>
      <c r="D24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63385739</v>
      </c>
      <c r="E24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44323490</v>
      </c>
      <c r="F24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4">
        <f>VLOOKUP( T_ApifImport[[#This Row],[Id]], T_Aop[], 4, 0)</f>
        <v>401</v>
      </c>
      <c r="D24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471</v>
      </c>
      <c r="E24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4">
        <f>VLOOKUP( T_ApifImport[[#This Row],[Id]], T_Aop[], 4, 0)</f>
        <v>402</v>
      </c>
      <c r="D24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4">
        <f>VLOOKUP( T_ApifImport[[#This Row],[Id]], T_Aop[], 4, 0)</f>
        <v>403</v>
      </c>
      <c r="D24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471</v>
      </c>
      <c r="E24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4">
        <f>VLOOKUP( T_ApifImport[[#This Row],[Id]], T_Aop[], 4, 0)</f>
        <v>404</v>
      </c>
      <c r="D24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4">
        <f>VLOOKUP( T_ApifImport[[#This Row],[Id]], T_Aop[], 4, 0)</f>
        <v>405</v>
      </c>
      <c r="D24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4">
        <f>VLOOKUP( T_ApifImport[[#This Row],[Id]], T_Aop[], 4, 0)</f>
        <v>406</v>
      </c>
      <c r="D24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4">
        <f>VLOOKUP( T_ApifImport[[#This Row],[Id]], T_Aop[], 4, 0)</f>
        <v>407</v>
      </c>
      <c r="D25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4">
        <f>VLOOKUP( T_ApifImport[[#This Row],[Id]], T_Aop[], 4, 0)</f>
        <v>408</v>
      </c>
      <c r="D25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4">
        <f>VLOOKUP( T_ApifImport[[#This Row],[Id]], T_Aop[], 4, 0)</f>
        <v>409</v>
      </c>
      <c r="D25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4">
        <f>VLOOKUP( T_ApifImport[[#This Row],[Id]], T_Aop[], 4, 0)</f>
        <v>410</v>
      </c>
      <c r="D25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4">
        <f>VLOOKUP( T_ApifImport[[#This Row],[Id]], T_Aop[], 4, 0)</f>
        <v>411</v>
      </c>
      <c r="D25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4">
        <f>VLOOKUP( T_ApifImport[[#This Row],[Id]], T_Aop[], 4, 0)</f>
        <v>412</v>
      </c>
      <c r="D25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4">
        <f>VLOOKUP( T_ApifImport[[#This Row],[Id]], T_Aop[], 4, 0)</f>
        <v>413</v>
      </c>
      <c r="D25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4">
        <f>VLOOKUP( T_ApifImport[[#This Row],[Id]], T_Aop[], 4, 0)</f>
        <v>414</v>
      </c>
      <c r="D25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471</v>
      </c>
      <c r="E25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4">
        <f>VLOOKUP( T_ApifImport[[#This Row],[Id]], T_Aop[], 4, 0)</f>
        <v>415</v>
      </c>
      <c r="D25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4">
        <f>VLOOKUP( T_ApifImport[[#This Row],[Id]], T_Aop[], 4, 0)</f>
        <v>416</v>
      </c>
      <c r="D25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471</v>
      </c>
      <c r="E25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4">
        <f>VLOOKUP( T_ApifImport[[#This Row],[Id]], T_Aop[], 4, 0)</f>
        <v>417</v>
      </c>
      <c r="D26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63386210</v>
      </c>
      <c r="E26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44323490</v>
      </c>
      <c r="F26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4">
        <f>VLOOKUP( T_ApifImport[[#This Row],[Id]], T_Aop[], 4, 0)</f>
        <v>418</v>
      </c>
      <c r="D26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4">
        <f>VLOOKUP( T_ApifImport[[#This Row],[Id]], T_Aop[], 4, 0)</f>
        <v>501</v>
      </c>
      <c r="D26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350878695</v>
      </c>
      <c r="E26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325777682</v>
      </c>
      <c r="F26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4">
        <f>VLOOKUP( T_ApifImport[[#This Row],[Id]], T_Aop[], 4, 0)</f>
        <v>502</v>
      </c>
      <c r="D26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348440873</v>
      </c>
      <c r="E26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324575568</v>
      </c>
      <c r="F26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4">
        <f>VLOOKUP( T_ApifImport[[#This Row],[Id]], T_Aop[], 4, 0)</f>
        <v>503</v>
      </c>
      <c r="D26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4">
        <f>VLOOKUP( T_ApifImport[[#This Row],[Id]], T_Aop[], 4, 0)</f>
        <v>504</v>
      </c>
      <c r="D26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2437822</v>
      </c>
      <c r="E26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1202114</v>
      </c>
      <c r="F26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4">
        <f>VLOOKUP( T_ApifImport[[#This Row],[Id]], T_Aop[], 4, 0)</f>
        <v>505</v>
      </c>
      <c r="D26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236520057</v>
      </c>
      <c r="E26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217293370</v>
      </c>
      <c r="F26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4">
        <f>VLOOKUP( T_ApifImport[[#This Row],[Id]], T_Aop[], 4, 0)</f>
        <v>506</v>
      </c>
      <c r="D26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163296042</v>
      </c>
      <c r="E26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153189441</v>
      </c>
      <c r="F26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4">
        <f>VLOOKUP( T_ApifImport[[#This Row],[Id]], T_Aop[], 4, 0)</f>
        <v>507</v>
      </c>
      <c r="D26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58065410</v>
      </c>
      <c r="E26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54988759</v>
      </c>
      <c r="F26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4">
        <f>VLOOKUP( T_ApifImport[[#This Row],[Id]], T_Aop[], 4, 0)</f>
        <v>508</v>
      </c>
      <c r="D26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4723612</v>
      </c>
      <c r="E26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614507</v>
      </c>
      <c r="F26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4">
        <f>VLOOKUP( T_ApifImport[[#This Row],[Id]], T_Aop[], 4, 0)</f>
        <v>509</v>
      </c>
      <c r="D27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5843398</v>
      </c>
      <c r="E27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3911628</v>
      </c>
      <c r="F27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4">
        <f>VLOOKUP( T_ApifImport[[#This Row],[Id]], T_Aop[], 4, 0)</f>
        <v>510</v>
      </c>
      <c r="D27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4591595</v>
      </c>
      <c r="E27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4589035</v>
      </c>
      <c r="F27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4">
        <f>VLOOKUP( T_ApifImport[[#This Row],[Id]], T_Aop[], 4, 0)</f>
        <v>511</v>
      </c>
      <c r="D27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114358638</v>
      </c>
      <c r="E27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108484312</v>
      </c>
      <c r="F27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4">
        <f>VLOOKUP( T_ApifImport[[#This Row],[Id]], T_Aop[], 4, 0)</f>
        <v>512</v>
      </c>
      <c r="D27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4">
        <f>VLOOKUP( T_ApifImport[[#This Row],[Id]], T_Aop[], 4, 0)</f>
        <v>513</v>
      </c>
      <c r="D27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63920938</v>
      </c>
      <c r="E27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25591201</v>
      </c>
      <c r="F27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4">
        <f>VLOOKUP( T_ApifImport[[#This Row],[Id]], T_Aop[], 4, 0)</f>
        <v>514</v>
      </c>
      <c r="D27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56786501</v>
      </c>
      <c r="E27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4">
        <f>VLOOKUP( T_ApifImport[[#This Row],[Id]], T_Aop[], 4, 0)</f>
        <v>515</v>
      </c>
      <c r="D27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4">
        <f>VLOOKUP( T_ApifImport[[#This Row],[Id]], T_Aop[], 4, 0)</f>
        <v>516</v>
      </c>
      <c r="D27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260205</v>
      </c>
      <c r="E27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251552</v>
      </c>
      <c r="F27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4">
        <f>VLOOKUP( T_ApifImport[[#This Row],[Id]], T_Aop[], 4, 0)</f>
        <v>517</v>
      </c>
      <c r="D27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869383</v>
      </c>
      <c r="E27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1365177</v>
      </c>
      <c r="F27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4">
        <f>VLOOKUP( T_ApifImport[[#This Row],[Id]], T_Aop[], 4, 0)</f>
        <v>518</v>
      </c>
      <c r="D27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4">
        <f>VLOOKUP( T_ApifImport[[#This Row],[Id]], T_Aop[], 4, 0)</f>
        <v>519</v>
      </c>
      <c r="D28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6004849</v>
      </c>
      <c r="E28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23974472</v>
      </c>
      <c r="F28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4">
        <f>VLOOKUP( T_ApifImport[[#This Row],[Id]], T_Aop[], 4, 0)</f>
        <v>520</v>
      </c>
      <c r="D28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247632716</v>
      </c>
      <c r="E28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164706556</v>
      </c>
      <c r="F28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4">
        <f>VLOOKUP( T_ApifImport[[#This Row],[Id]], T_Aop[], 4, 0)</f>
        <v>521</v>
      </c>
      <c r="D28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54007555</v>
      </c>
      <c r="F28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4">
        <f>VLOOKUP( T_ApifImport[[#This Row],[Id]], T_Aop[], 4, 0)</f>
        <v>522</v>
      </c>
      <c r="D28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198138697</v>
      </c>
      <c r="E28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4">
        <f>VLOOKUP( T_ApifImport[[#This Row],[Id]], T_Aop[], 4, 0)</f>
        <v>523</v>
      </c>
      <c r="D28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49494019</v>
      </c>
      <c r="E28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110699001</v>
      </c>
      <c r="F28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4">
        <f>VLOOKUP( T_ApifImport[[#This Row],[Id]], T_Aop[], 4, 0)</f>
        <v>524</v>
      </c>
      <c r="D28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4">
        <f>VLOOKUP( T_ApifImport[[#This Row],[Id]], T_Aop[], 4, 0)</f>
        <v>525</v>
      </c>
      <c r="D28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4">
        <f>VLOOKUP( T_ApifImport[[#This Row],[Id]], T_Aop[], 4, 0)</f>
        <v>526</v>
      </c>
      <c r="D28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183711778</v>
      </c>
      <c r="E28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139115355</v>
      </c>
      <c r="F28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4">
        <f>VLOOKUP( T_ApifImport[[#This Row],[Id]], T_Aop[], 4, 0)</f>
        <v>527</v>
      </c>
      <c r="D28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118323131</v>
      </c>
      <c r="E28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103966610</v>
      </c>
      <c r="F28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4">
        <f>VLOOKUP( T_ApifImport[[#This Row],[Id]], T_Aop[], 4, 0)</f>
        <v>528</v>
      </c>
      <c r="D28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4">
        <f>VLOOKUP( T_ApifImport[[#This Row],[Id]], T_Aop[], 4, 0)</f>
        <v>529</v>
      </c>
      <c r="D29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104564475</v>
      </c>
      <c r="E29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97864844</v>
      </c>
      <c r="F29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4">
        <f>VLOOKUP( T_ApifImport[[#This Row],[Id]], T_Aop[], 4, 0)</f>
        <v>530</v>
      </c>
      <c r="D29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13758656</v>
      </c>
      <c r="E29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6101766</v>
      </c>
      <c r="F29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4">
        <f>VLOOKUP( T_ApifImport[[#This Row],[Id]], T_Aop[], 4, 0)</f>
        <v>531</v>
      </c>
      <c r="D29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4">
        <f>VLOOKUP( T_ApifImport[[#This Row],[Id]], T_Aop[], 4, 0)</f>
        <v>532</v>
      </c>
      <c r="D29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91944284</v>
      </c>
      <c r="E29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65715959</v>
      </c>
      <c r="F29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4">
        <f>VLOOKUP( T_ApifImport[[#This Row],[Id]], T_Aop[], 4, 0)</f>
        <v>533</v>
      </c>
      <c r="D29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4">
        <f>VLOOKUP( T_ApifImport[[#This Row],[Id]], T_Aop[], 4, 0)</f>
        <v>534</v>
      </c>
      <c r="D29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28780540</v>
      </c>
      <c r="E29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18742661</v>
      </c>
      <c r="F29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4">
        <f>VLOOKUP( T_ApifImport[[#This Row],[Id]], T_Aop[], 4, 0)</f>
        <v>535</v>
      </c>
      <c r="D29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2000000</v>
      </c>
      <c r="E29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5197382</v>
      </c>
      <c r="F29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4">
        <f>VLOOKUP( T_ApifImport[[#This Row],[Id]], T_Aop[], 4, 0)</f>
        <v>536</v>
      </c>
      <c r="D29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4">
        <f>VLOOKUP( T_ApifImport[[#This Row],[Id]], T_Aop[], 4, 0)</f>
        <v>537</v>
      </c>
      <c r="D29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48467366</v>
      </c>
      <c r="E29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41775916</v>
      </c>
      <c r="F29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4">
        <f>VLOOKUP( T_ApifImport[[#This Row],[Id]], T_Aop[], 4, 0)</f>
        <v>538</v>
      </c>
      <c r="D29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12696378</v>
      </c>
      <c r="E29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4">
        <f>VLOOKUP( T_ApifImport[[#This Row],[Id]], T_Aop[], 4, 0)</f>
        <v>539</v>
      </c>
      <c r="D30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26378847</v>
      </c>
      <c r="E30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38250651</v>
      </c>
      <c r="F30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4">
        <f>VLOOKUP( T_ApifImport[[#This Row],[Id]], T_Aop[], 4, 0)</f>
        <v>540</v>
      </c>
      <c r="D30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4">
        <f>VLOOKUP( T_ApifImport[[#This Row],[Id]], T_Aop[], 4, 0)</f>
        <v>541</v>
      </c>
      <c r="D30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533122764</v>
      </c>
      <c r="E30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455335493</v>
      </c>
      <c r="F30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4">
        <f>VLOOKUP( T_ApifImport[[#This Row],[Id]], T_Aop[], 4, 0)</f>
        <v>542</v>
      </c>
      <c r="D30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576097057</v>
      </c>
      <c r="E30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447715885</v>
      </c>
      <c r="F30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4">
        <f>VLOOKUP( T_ApifImport[[#This Row],[Id]], T_Aop[], 4, 0)</f>
        <v>543</v>
      </c>
      <c r="D30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7619608</v>
      </c>
      <c r="F30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4">
        <f>VLOOKUP( T_ApifImport[[#This Row],[Id]], T_Aop[], 4, 0)</f>
        <v>544</v>
      </c>
      <c r="D30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42974293</v>
      </c>
      <c r="E30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4">
        <f>VLOOKUP( T_ApifImport[[#This Row],[Id]], T_Aop[], 4, 0)</f>
        <v>545</v>
      </c>
      <c r="D30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71465331</v>
      </c>
      <c r="E30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25049349</v>
      </c>
      <c r="F30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4">
        <f>VLOOKUP( T_ApifImport[[#This Row],[Id]], T_Aop[], 4, 0)</f>
        <v>546</v>
      </c>
      <c r="D30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4">
        <f>VLOOKUP( T_ApifImport[[#This Row],[Id]], T_Aop[], 4, 0)</f>
        <v>547</v>
      </c>
      <c r="D30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4">
        <f>VLOOKUP( T_ApifImport[[#This Row],[Id]], T_Aop[], 4, 0)</f>
        <v>548</v>
      </c>
      <c r="D30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28491038</v>
      </c>
      <c r="E30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32668957</v>
      </c>
      <c r="F30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4">
        <f>VLOOKUP( T_ApifImport[[#This Row],[Id]], T_Aop[], 4, 0)</f>
        <v>601</v>
      </c>
      <c r="D31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4">
        <f>VLOOKUP( T_ApifImport[[#This Row],[Id]], T_Aop[], 4, 0)</f>
        <v>602</v>
      </c>
      <c r="D31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357795025</v>
      </c>
      <c r="E31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334641604</v>
      </c>
      <c r="F31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4">
        <f>VLOOKUP( T_ApifImport[[#This Row],[Id]], T_Aop[], 4, 0)</f>
        <v>603</v>
      </c>
      <c r="D31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22117562</v>
      </c>
      <c r="E31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23559289</v>
      </c>
      <c r="F31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4">
        <f>VLOOKUP( T_ApifImport[[#This Row],[Id]], T_Aop[], 4, 0)</f>
        <v>604</v>
      </c>
      <c r="D31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5318657</v>
      </c>
      <c r="E31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4928778</v>
      </c>
      <c r="F31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4">
        <f>VLOOKUP( T_ApifImport[[#This Row],[Id]], T_Aop[], 4, 0)</f>
        <v>605</v>
      </c>
      <c r="D31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123732840</v>
      </c>
      <c r="E31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196578049</v>
      </c>
      <c r="F31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4">
        <f>VLOOKUP( T_ApifImport[[#This Row],[Id]], T_Aop[], 4, 0)</f>
        <v>606</v>
      </c>
      <c r="D31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78684499</v>
      </c>
      <c r="E31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59451010</v>
      </c>
      <c r="F31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4">
        <f>VLOOKUP( T_ApifImport[[#This Row],[Id]], T_Aop[], 4, 0)</f>
        <v>607</v>
      </c>
      <c r="D31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418055</v>
      </c>
      <c r="E31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458838</v>
      </c>
      <c r="F31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4">
        <f>VLOOKUP( T_ApifImport[[#This Row],[Id]], T_Aop[], 4, 0)</f>
        <v>608</v>
      </c>
      <c r="D31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303570</v>
      </c>
      <c r="E31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220894</v>
      </c>
      <c r="F31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4">
        <f>VLOOKUP( T_ApifImport[[#This Row],[Id]], T_Aop[], 4, 0)</f>
        <v>609</v>
      </c>
      <c r="D31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489872</v>
      </c>
      <c r="E31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478430</v>
      </c>
      <c r="F31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4">
        <f>VLOOKUP( T_ApifImport[[#This Row],[Id]], T_Aop[], 4, 0)</f>
        <v>610</v>
      </c>
      <c r="D31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7025</v>
      </c>
      <c r="E31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10125</v>
      </c>
      <c r="F31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4">
        <f>VLOOKUP( T_ApifImport[[#This Row],[Id]], T_Aop[], 4, 0)</f>
        <v>611</v>
      </c>
      <c r="D32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4">
        <f>VLOOKUP( T_ApifImport[[#This Row],[Id]], T_Aop[], 4, 0)</f>
        <v>612</v>
      </c>
      <c r="D32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4">
        <f>VLOOKUP( T_ApifImport[[#This Row],[Id]], T_Aop[], 4, 0)</f>
        <v>613</v>
      </c>
      <c r="D32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288713188</v>
      </c>
      <c r="E32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272356557</v>
      </c>
      <c r="F32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4">
        <f>VLOOKUP( T_ApifImport[[#This Row],[Id]], T_Aop[], 4, 0)</f>
        <v>614</v>
      </c>
      <c r="D32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15979692</v>
      </c>
      <c r="E32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18957292</v>
      </c>
      <c r="F32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4">
        <f>VLOOKUP( T_ApifImport[[#This Row],[Id]], T_Aop[], 4, 0)</f>
        <v>615</v>
      </c>
      <c r="D32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4923681</v>
      </c>
      <c r="E32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4632356</v>
      </c>
      <c r="F32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4">
        <f>VLOOKUP( T_ApifImport[[#This Row],[Id]], T_Aop[], 4, 0)</f>
        <v>616</v>
      </c>
      <c r="D32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4">
        <f>VLOOKUP( T_ApifImport[[#This Row],[Id]], T_Aop[], 4, 0)</f>
        <v>617</v>
      </c>
      <c r="D32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4">
        <f>VLOOKUP( T_ApifImport[[#This Row],[Id]], T_Aop[], 4, 0)</f>
        <v>618</v>
      </c>
      <c r="D32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4">
        <f>VLOOKUP( T_ApifImport[[#This Row],[Id]], T_Aop[], 4, 0)</f>
        <v>619</v>
      </c>
      <c r="D32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3249891</v>
      </c>
      <c r="E32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2760351</v>
      </c>
      <c r="F32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4">
        <f>VLOOKUP( T_ApifImport[[#This Row],[Id]], T_Aop[], 4, 0)</f>
        <v>620</v>
      </c>
      <c r="D32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22473</v>
      </c>
      <c r="E32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50068</v>
      </c>
      <c r="F32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4">
        <f>VLOOKUP( T_ApifImport[[#This Row],[Id]], T_Aop[], 4, 0)</f>
        <v>621</v>
      </c>
      <c r="D33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4">
        <f>VLOOKUP( T_ApifImport[[#This Row],[Id]], T_Aop[], 4, 0)</f>
        <v>622</v>
      </c>
      <c r="D33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4">
        <f>VLOOKUP( T_ApifImport[[#This Row],[Id]], T_Aop[], 4, 0)</f>
        <v>623</v>
      </c>
      <c r="D33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1719188</v>
      </c>
      <c r="E33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1716900</v>
      </c>
      <c r="F33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4">
        <f>VLOOKUP( T_ApifImport[[#This Row],[Id]], T_Aop[], 4, 0)</f>
        <v>624</v>
      </c>
      <c r="D33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9275</v>
      </c>
      <c r="E33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9276</v>
      </c>
      <c r="F33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4">
        <f>VLOOKUP( T_ApifImport[[#This Row],[Id]], T_Aop[], 4, 0)</f>
        <v>625</v>
      </c>
      <c r="D33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4">
        <f>VLOOKUP( T_ApifImport[[#This Row],[Id]], T_Aop[], 4, 0)</f>
        <v>626</v>
      </c>
      <c r="D33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4">
        <f>VLOOKUP( T_ApifImport[[#This Row],[Id]], T_Aop[], 4, 0)</f>
        <v>627</v>
      </c>
      <c r="D33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4">
        <f>VLOOKUP( T_ApifImport[[#This Row],[Id]], T_Aop[], 4, 0)</f>
        <v>628</v>
      </c>
      <c r="D33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1498955</v>
      </c>
      <c r="E33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984107</v>
      </c>
      <c r="F33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4">
        <f>VLOOKUP( T_ApifImport[[#This Row],[Id]], T_Aop[], 4, 0)</f>
        <v>629</v>
      </c>
      <c r="D33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36992343</v>
      </c>
      <c r="E33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12106193</v>
      </c>
      <c r="F33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4">
        <f>VLOOKUP( T_ApifImport[[#This Row],[Id]], T_Aop[], 4, 0)</f>
        <v>630</v>
      </c>
      <c r="D33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4">
        <f>VLOOKUP( T_ApifImport[[#This Row],[Id]], T_Aop[], 4, 0)</f>
        <v>631</v>
      </c>
      <c r="D34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260205</v>
      </c>
      <c r="E34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251552</v>
      </c>
      <c r="F34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4">
        <f>VLOOKUP( T_ApifImport[[#This Row],[Id]], T_Aop[], 4, 0)</f>
        <v>632</v>
      </c>
      <c r="D34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4">
        <f>VLOOKUP( T_ApifImport[[#This Row],[Id]], T_Aop[], 4, 0)</f>
        <v>633</v>
      </c>
      <c r="D34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45057758</v>
      </c>
      <c r="E34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45555355</v>
      </c>
      <c r="F34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4">
        <f>VLOOKUP( T_ApifImport[[#This Row],[Id]], T_Aop[], 4, 0)</f>
        <v>634</v>
      </c>
      <c r="D34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5487154</v>
      </c>
      <c r="E34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4933674</v>
      </c>
      <c r="F34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4">
        <f>VLOOKUP( T_ApifImport[[#This Row],[Id]], T_Aop[], 4, 0)</f>
        <v>635</v>
      </c>
      <c r="D34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62968315</v>
      </c>
      <c r="E34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59636196</v>
      </c>
      <c r="F34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4">
        <f>VLOOKUP( T_ApifImport[[#This Row],[Id]], T_Aop[], 4, 0)</f>
        <v>636</v>
      </c>
      <c r="D34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260313</v>
      </c>
      <c r="E34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272661</v>
      </c>
      <c r="F34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4">
        <f>VLOOKUP( T_ApifImport[[#This Row],[Id]], T_Aop[], 4, 0)</f>
        <v>637</v>
      </c>
      <c r="D34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544799</v>
      </c>
      <c r="E34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498956</v>
      </c>
      <c r="F34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4">
        <f>VLOOKUP( T_ApifImport[[#This Row],[Id]], T_Aop[], 4, 0)</f>
        <v>638</v>
      </c>
      <c r="D34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177204</v>
      </c>
      <c r="E34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173139</v>
      </c>
      <c r="F34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4">
        <f>VLOOKUP( T_ApifImport[[#This Row],[Id]], T_Aop[], 4, 0)</f>
        <v>639</v>
      </c>
      <c r="D34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87053056</v>
      </c>
      <c r="E34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86117514</v>
      </c>
      <c r="F34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4">
        <f>VLOOKUP( T_ApifImport[[#This Row],[Id]], T_Aop[], 4, 0)</f>
        <v>640</v>
      </c>
      <c r="D34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28080077</v>
      </c>
      <c r="E34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27314535</v>
      </c>
      <c r="F34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4">
        <f>VLOOKUP( T_ApifImport[[#This Row],[Id]], T_Aop[], 4, 0)</f>
        <v>641</v>
      </c>
      <c r="D35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4164906</v>
      </c>
      <c r="E35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3833961</v>
      </c>
      <c r="F35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4">
        <f>VLOOKUP( T_ApifImport[[#This Row],[Id]], T_Aop[], 4, 0)</f>
        <v>642</v>
      </c>
      <c r="D35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14964477</v>
      </c>
      <c r="E35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15385170</v>
      </c>
      <c r="F35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4">
        <f>VLOOKUP( T_ApifImport[[#This Row],[Id]], T_Aop[], 4, 0)</f>
        <v>643</v>
      </c>
      <c r="D35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4">
        <f>VLOOKUP( T_ApifImport[[#This Row],[Id]], T_Aop[], 4, 0)</f>
        <v>644</v>
      </c>
      <c r="D35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1427907</v>
      </c>
      <c r="E35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11642121</v>
      </c>
      <c r="F35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4">
        <f>VLOOKUP( T_ApifImport[[#This Row],[Id]], T_Aop[], 4, 0)</f>
        <v>645</v>
      </c>
      <c r="D35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9001926</v>
      </c>
      <c r="E35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9194925</v>
      </c>
      <c r="F35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4">
        <f>VLOOKUP( T_ApifImport[[#This Row],[Id]], T_Aop[], 4, 0)</f>
        <v>646</v>
      </c>
      <c r="D35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4">
        <f>VLOOKUP( T_ApifImport[[#This Row],[Id]], T_Aop[], 4, 0)</f>
        <v>647</v>
      </c>
      <c r="D35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29413763</v>
      </c>
      <c r="E35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18746802</v>
      </c>
      <c r="F35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4">
        <f>VLOOKUP( T_ApifImport[[#This Row],[Id]], T_Aop[], 4, 0)</f>
        <v>648</v>
      </c>
      <c r="D35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4">
        <f>VLOOKUP( T_ApifImport[[#This Row],[Id]], T_Aop[], 4, 0)</f>
        <v>649</v>
      </c>
      <c r="D35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18209973</v>
      </c>
      <c r="E35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15669038</v>
      </c>
      <c r="F35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4">
        <f>VLOOKUP( T_ApifImport[[#This Row],[Id]], T_Aop[], 4, 0)</f>
        <v>650</v>
      </c>
      <c r="D35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3219552</v>
      </c>
      <c r="E35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3338135</v>
      </c>
      <c r="F35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4">
        <f>VLOOKUP( T_ApifImport[[#This Row],[Id]], T_Aop[], 4, 0)</f>
        <v>651</v>
      </c>
      <c r="D36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182735</v>
      </c>
      <c r="E36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317561</v>
      </c>
      <c r="F36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4">
        <f>VLOOKUP( T_ApifImport[[#This Row],[Id]], T_Aop[], 4, 0)</f>
        <v>652</v>
      </c>
      <c r="D36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62467</v>
      </c>
      <c r="E36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41225</v>
      </c>
      <c r="F36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4">
        <f>VLOOKUP( T_ApifImport[[#This Row],[Id]], T_Aop[], 4, 0)</f>
        <v>653</v>
      </c>
      <c r="D36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240211</v>
      </c>
      <c r="E36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175856</v>
      </c>
      <c r="F36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4">
        <f>VLOOKUP( T_ApifImport[[#This Row],[Id]], T_Aop[], 4, 0)</f>
        <v>654</v>
      </c>
      <c r="D36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580966</v>
      </c>
      <c r="E36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592809</v>
      </c>
      <c r="F36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4">
        <f>VLOOKUP( T_ApifImport[[#This Row],[Id]], T_Aop[], 4, 0)</f>
        <v>655</v>
      </c>
      <c r="D36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421327</v>
      </c>
      <c r="E36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200438</v>
      </c>
      <c r="F36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4">
        <f>VLOOKUP( T_ApifImport[[#This Row],[Id]], T_Aop[], 4, 0)</f>
        <v>656</v>
      </c>
      <c r="D36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7842315</v>
      </c>
      <c r="E36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5639199</v>
      </c>
      <c r="F36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4">
        <f>VLOOKUP( T_ApifImport[[#This Row],[Id]], T_Aop[], 4, 0)</f>
        <v>657</v>
      </c>
      <c r="D36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4">
        <f>VLOOKUP( T_ApifImport[[#This Row],[Id]], T_Aop[], 4, 0)</f>
        <v>658</v>
      </c>
      <c r="D36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2981897</v>
      </c>
      <c r="E36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2931437</v>
      </c>
      <c r="F36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4">
        <f>VLOOKUP( T_ApifImport[[#This Row],[Id]], T_Aop[], 4, 0)</f>
        <v>659</v>
      </c>
      <c r="D36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2923705</v>
      </c>
      <c r="E36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2791164</v>
      </c>
      <c r="F36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4">
        <f>VLOOKUP( T_ApifImport[[#This Row],[Id]], T_Aop[], 4, 0)</f>
        <v>660</v>
      </c>
      <c r="D36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4">
        <f>VLOOKUP( T_ApifImport[[#This Row],[Id]], T_Aop[], 4, 0)</f>
        <v>661</v>
      </c>
      <c r="D37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65508129</v>
      </c>
      <c r="E37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59728085</v>
      </c>
      <c r="F370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4">
        <f>VLOOKUP( T_ApifImport[[#This Row],[Id]], T_Aop[], 4, 0)</f>
        <v>662</v>
      </c>
      <c r="D37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40013638</v>
      </c>
      <c r="E37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41838655</v>
      </c>
      <c r="F371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4">
        <f>VLOOKUP( T_ApifImport[[#This Row],[Id]], T_Aop[], 4, 0)</f>
        <v>663</v>
      </c>
      <c r="D37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3493222</v>
      </c>
      <c r="E37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2527741</v>
      </c>
      <c r="F372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4">
        <f>VLOOKUP( T_ApifImport[[#This Row],[Id]], T_Aop[], 4, 0)</f>
        <v>664</v>
      </c>
      <c r="D37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176266</v>
      </c>
      <c r="F373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4">
        <f>VLOOKUP( T_ApifImport[[#This Row],[Id]], T_Aop[], 4, 0)</f>
        <v>665</v>
      </c>
      <c r="D37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2904128</v>
      </c>
      <c r="E37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2389594</v>
      </c>
      <c r="F374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4">
        <f>VLOOKUP( T_ApifImport[[#This Row],[Id]], T_Aop[], 4, 0)</f>
        <v>666</v>
      </c>
      <c r="D37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2904128</v>
      </c>
      <c r="E37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2389594</v>
      </c>
      <c r="F375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4">
        <f>VLOOKUP( T_ApifImport[[#This Row],[Id]], T_Aop[], 4, 0)</f>
        <v>667</v>
      </c>
      <c r="D37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6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4">
        <f>VLOOKUP( T_ApifImport[[#This Row],[Id]], T_Aop[], 4, 0)</f>
        <v>668</v>
      </c>
      <c r="D37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7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4">
        <f>VLOOKUP( T_ApifImport[[#This Row],[Id]], T_Aop[], 4, 0)</f>
        <v>669</v>
      </c>
      <c r="D37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8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4">
        <f>VLOOKUP( T_ApifImport[[#This Row],[Id]], T_Aop[], 4, 0)</f>
        <v>670</v>
      </c>
      <c r="D37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3110478</v>
      </c>
      <c r="E37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2919894</v>
      </c>
      <c r="F379" s="375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5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5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5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5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5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4">
        <f>VLOOKUP( T_ApifImport[[#This Row],[Id]], T_Aop[], 4, 0)</f>
        <v>901</v>
      </c>
      <c r="D38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38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0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-569</v>
      </c>
      <c r="G380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380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22517048</v>
      </c>
      <c r="I380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660833500</v>
      </c>
      <c r="J380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660833500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4">
        <f>VLOOKUP( T_ApifImport[[#This Row],[Id]], T_Aop[], 4, 0)</f>
        <v>902</v>
      </c>
      <c r="D38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1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4">
        <f>VLOOKUP( T_ApifImport[[#This Row],[Id]], T_Aop[], 4, 0)</f>
        <v>903</v>
      </c>
      <c r="D38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4">
        <f>VLOOKUP( T_ApifImport[[#This Row],[Id]], T_Aop[], 4, 0)</f>
        <v>904</v>
      </c>
      <c r="D38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38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3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-569</v>
      </c>
      <c r="G383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383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22517048</v>
      </c>
      <c r="I383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660833500</v>
      </c>
      <c r="J383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660833500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4">
        <f>VLOOKUP( T_ApifImport[[#This Row],[Id]], T_Aop[], 4, 0)</f>
        <v>905</v>
      </c>
      <c r="D38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4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-2797098</v>
      </c>
      <c r="I384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-2797098</v>
      </c>
      <c r="J384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-2797098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4">
        <f>VLOOKUP( T_ApifImport[[#This Row],[Id]], T_Aop[], 4, 0)</f>
        <v>906</v>
      </c>
      <c r="D38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5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-643</v>
      </c>
      <c r="G385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-643</v>
      </c>
      <c r="J385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-643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4">
        <f>VLOOKUP( T_ApifImport[[#This Row],[Id]], T_Aop[], 4, 0)</f>
        <v>907</v>
      </c>
      <c r="D38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6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4">
        <f>VLOOKUP( T_ApifImport[[#This Row],[Id]], T_Aop[], 4, 0)</f>
        <v>908</v>
      </c>
      <c r="D38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7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60880880</v>
      </c>
      <c r="I387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60880880</v>
      </c>
      <c r="J387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60880880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4">
        <f>VLOOKUP( T_ApifImport[[#This Row],[Id]], T_Aop[], 4, 0)</f>
        <v>909</v>
      </c>
      <c r="D38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8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4">
        <f>VLOOKUP( T_ApifImport[[#This Row],[Id]], T_Aop[], 4, 0)</f>
        <v>910</v>
      </c>
      <c r="D38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9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57202019</v>
      </c>
      <c r="I389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57202019</v>
      </c>
      <c r="J389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57202019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4">
        <f>VLOOKUP( T_ApifImport[[#This Row],[Id]], T_Aop[], 4, 0)</f>
        <v>911</v>
      </c>
      <c r="D39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0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4">
        <f>VLOOKUP( T_ApifImport[[#This Row],[Id]], T_Aop[], 4, 0)</f>
        <v>912</v>
      </c>
      <c r="D39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39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1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-1212</v>
      </c>
      <c r="G391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391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23398811</v>
      </c>
      <c r="I391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661714620</v>
      </c>
      <c r="J391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661714620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4">
        <f>VLOOKUP( T_ApifImport[[#This Row],[Id]], T_Aop[], 4, 0)</f>
        <v>913</v>
      </c>
      <c r="D39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4">
        <f>VLOOKUP( T_ApifImport[[#This Row],[Id]], T_Aop[], 4, 0)</f>
        <v>914</v>
      </c>
      <c r="D393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3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3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4">
        <f>VLOOKUP( T_ApifImport[[#This Row],[Id]], T_Aop[], 4, 0)</f>
        <v>915</v>
      </c>
      <c r="D394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394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4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-1212</v>
      </c>
      <c r="G394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394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23398811</v>
      </c>
      <c r="I394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661714620</v>
      </c>
      <c r="J394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661714620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4">
        <f>VLOOKUP( T_ApifImport[[#This Row],[Id]], T_Aop[], 4, 0)</f>
        <v>916</v>
      </c>
      <c r="D395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5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5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4">
        <f>VLOOKUP( T_ApifImport[[#This Row],[Id]], T_Aop[], 4, 0)</f>
        <v>917</v>
      </c>
      <c r="D396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6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6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471</v>
      </c>
      <c r="G396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471</v>
      </c>
      <c r="J396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471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4">
        <f>VLOOKUP( T_ApifImport[[#This Row],[Id]], T_Aop[], 4, 0)</f>
        <v>918</v>
      </c>
      <c r="D397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7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7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4">
        <f>VLOOKUP( T_ApifImport[[#This Row],[Id]], T_Aop[], 4, 0)</f>
        <v>919</v>
      </c>
      <c r="D398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8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8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63385739</v>
      </c>
      <c r="I398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63385739</v>
      </c>
      <c r="J398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63385739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4">
        <f>VLOOKUP( T_ApifImport[[#This Row],[Id]], T_Aop[], 4, 0)</f>
        <v>920</v>
      </c>
      <c r="D399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9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9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4">
        <f>VLOOKUP( T_ApifImport[[#This Row],[Id]], T_Aop[], 4, 0)</f>
        <v>921</v>
      </c>
      <c r="D400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0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0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38445821</v>
      </c>
      <c r="I400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38445821</v>
      </c>
      <c r="J400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38445821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4">
        <f>VLOOKUP( T_ApifImport[[#This Row],[Id]], T_Aop[], 4, 0)</f>
        <v>922</v>
      </c>
      <c r="D401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1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1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4">
        <f>VLOOKUP( T_ApifImport[[#This Row],[Id]], T_Aop[], 4, 0)</f>
        <v>923</v>
      </c>
      <c r="D402" s="375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402" s="375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2" s="375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-741</v>
      </c>
      <c r="G402" s="375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402" s="375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48338729</v>
      </c>
      <c r="I402" s="375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686655009</v>
      </c>
      <c r="J402" s="375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5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686655009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pageSetup paperSize="9" orientation="portrait" verticalDpi="0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workbookViewId="0">
      <pane ySplit="6" topLeftCell="A8" activePane="bottomLeft" state="frozen"/>
      <selection pane="bottomLeft" activeCell="J8" sqref="J8:L10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Изaбeритe jeзик | Choose language</v>
      </c>
      <c r="C5"/>
      <c r="Y5" s="8">
        <f>COUNTIF(Y8:Y116, FALSE)</f>
        <v>1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Извjeштajни пeриoд:</v>
      </c>
      <c r="D7" s="127" t="str">
        <f>Objasnjenja_Dan</f>
        <v>Дан</v>
      </c>
      <c r="E7" s="127"/>
      <c r="F7" s="127"/>
      <c r="G7" s="127" t="str">
        <f>Objasnjenja_Mjesec</f>
        <v>Мјесец</v>
      </c>
      <c r="H7" s="127"/>
      <c r="I7" s="127"/>
      <c r="J7" s="127" t="str">
        <f>Objasnjenja_Godina</f>
        <v>Година</v>
      </c>
      <c r="K7" s="127"/>
      <c r="L7" s="127"/>
      <c r="M7" s="127"/>
    </row>
    <row r="8" spans="2:31" ht="15" customHeight="1" x14ac:dyDescent="0.2">
      <c r="B8" s="126" t="str">
        <f>Osnovno_Pocetak_perioda</f>
        <v>Пoчeтaк извjeштajнoг пeриoдa:</v>
      </c>
      <c r="D8" s="398">
        <v>1</v>
      </c>
      <c r="E8" s="398"/>
      <c r="F8" s="60"/>
      <c r="G8" s="398">
        <v>1</v>
      </c>
      <c r="H8" s="398"/>
      <c r="I8" s="60"/>
      <c r="J8" s="401">
        <v>2019</v>
      </c>
      <c r="K8" s="402"/>
      <c r="L8" s="403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01.01.2019.</v>
      </c>
      <c r="AB8" s="133" t="str">
        <f>IF(Y8, IF( Z8, AA8, Kontrola_Neispravno), Kontrola_Obavezno)</f>
        <v>01.01.2019.</v>
      </c>
    </row>
    <row r="9" spans="2:31" ht="4.5" customHeight="1" x14ac:dyDescent="0.2">
      <c r="B9" s="126"/>
      <c r="J9" s="404"/>
      <c r="K9" s="405"/>
      <c r="L9" s="406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Крaj извjeштajнoг пeриoдa:</v>
      </c>
      <c r="D10" s="399">
        <v>30</v>
      </c>
      <c r="E10" s="400"/>
      <c r="F10" s="60"/>
      <c r="G10" s="399">
        <v>9</v>
      </c>
      <c r="H10" s="400"/>
      <c r="I10" s="60"/>
      <c r="J10" s="407"/>
      <c r="K10" s="408"/>
      <c r="L10" s="409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30.09.2019.</v>
      </c>
      <c r="AB10" s="133" t="str">
        <f>IF(Y10, IF( Z10, AA10, Kontrola_Neispravno), Kontrola_Obavezno)</f>
        <v>30.09.2019.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Врста извјештаја: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Tрeћи квaртaл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Tрeћи квaртaл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Пoдaци у зaглaвљу: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Maтични брoj:</v>
      </c>
      <c r="D15" s="124">
        <v>1</v>
      </c>
      <c r="E15" s="124">
        <v>7</v>
      </c>
      <c r="F15" s="124">
        <v>7</v>
      </c>
      <c r="G15" s="124">
        <v>2</v>
      </c>
      <c r="H15" s="124">
        <v>9</v>
      </c>
      <c r="I15" s="124">
        <v>0</v>
      </c>
      <c r="J15" s="124">
        <v>2</v>
      </c>
      <c r="K15" s="124"/>
      <c r="Y15" s="16" t="b">
        <f>LEN(AA15) &gt;= 7</f>
        <v>1</v>
      </c>
      <c r="Z15" s="16" t="b">
        <v>1</v>
      </c>
      <c r="AA15" s="137" t="str">
        <f>CONCATENATE( D15, E15, F15, G15, H15, I15, J15, K15)</f>
        <v>1772902</v>
      </c>
      <c r="AB15" s="133" t="str">
        <f>IF(Y15, IF( Z15, AA15, Kontrola_Neispravno), Kontrola_Obavezno)</f>
        <v>1772902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Шифрa дjeлaтн.</v>
      </c>
      <c r="D17" s="124">
        <v>6</v>
      </c>
      <c r="E17" s="124">
        <v>1</v>
      </c>
      <c r="F17" s="128" t="s">
        <v>734</v>
      </c>
      <c r="G17" s="124">
        <v>1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61.10</v>
      </c>
      <c r="AB17" s="133" t="str">
        <f>IF(Y17, IF( Z17, AA17, Kontrola_Neispravno), Kontrola_Obavezno)</f>
        <v>61.10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410" t="str">
        <f>Zaglavlje_Naziv_preduzeca</f>
        <v>Нaзив приврeднoг друштвa, зaдругe, другoг прaвнoг лицa или прeдузeтникa:</v>
      </c>
      <c r="Y19" s="16"/>
      <c r="Z19" s="16"/>
      <c r="AA19" s="137"/>
      <c r="AB19" s="134"/>
    </row>
    <row r="20" spans="2:31" ht="22.5" customHeight="1" x14ac:dyDescent="0.2">
      <c r="B20" s="410"/>
      <c r="D20" s="411" t="s">
        <v>2049</v>
      </c>
      <c r="E20" s="411"/>
      <c r="F20" s="411"/>
      <c r="G20" s="411"/>
      <c r="H20" s="411"/>
      <c r="I20" s="411"/>
      <c r="J20" s="411"/>
      <c r="K20" s="411"/>
      <c r="L20" s="411"/>
      <c r="M20" s="411"/>
      <c r="N20" s="411"/>
      <c r="O20" s="411"/>
      <c r="P20" s="411"/>
      <c r="Q20" s="411"/>
      <c r="R20" s="411"/>
      <c r="S20" s="411"/>
      <c r="T20" s="411"/>
      <c r="U20" s="411"/>
      <c r="V20" s="411"/>
      <c r="Y20" s="16" t="b">
        <f>LEN(AA20) &gt; 0</f>
        <v>1</v>
      </c>
      <c r="Z20" s="16" t="b">
        <v>1</v>
      </c>
      <c r="AA20" s="137" t="str">
        <f>CONCATENATE( D20)</f>
        <v>"Мтел" а.д.</v>
      </c>
      <c r="AB20" s="135" t="str">
        <f>IF(Y20, IF( Z20, AA20, Kontrola_Neispravno), Kontrola_Obavezno)</f>
        <v>"Мтел" а.д.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Сjeдиштe:</v>
      </c>
      <c r="D22" s="417" t="s">
        <v>2050</v>
      </c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7"/>
      <c r="R22" s="417"/>
      <c r="S22" s="417"/>
      <c r="T22" s="417"/>
      <c r="U22" s="417"/>
      <c r="V22" s="417"/>
      <c r="Y22" s="16" t="b">
        <f>LEN(AA22) &gt; 0</f>
        <v>1</v>
      </c>
      <c r="Z22" s="16" t="b">
        <v>1</v>
      </c>
      <c r="AA22" s="137" t="str">
        <f>CONCATENATE( D22)</f>
        <v>Бања Лука</v>
      </c>
      <c r="AB22" s="133" t="str">
        <f>IF(Y22, IF( Z22, AA22, Kontrola_Neispravno), Kontrola_Obavezno)</f>
        <v>Бања Лука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JИБ:</v>
      </c>
      <c r="D24" s="124">
        <v>4</v>
      </c>
      <c r="E24" s="192">
        <v>4</v>
      </c>
      <c r="F24" s="193">
        <v>0</v>
      </c>
      <c r="G24" s="124">
        <v>0</v>
      </c>
      <c r="H24" s="192">
        <v>9</v>
      </c>
      <c r="I24" s="193">
        <v>6</v>
      </c>
      <c r="J24" s="124">
        <v>4</v>
      </c>
      <c r="K24" s="192">
        <v>0</v>
      </c>
      <c r="L24" s="193">
        <v>0</v>
      </c>
      <c r="M24" s="192">
        <v>0</v>
      </c>
      <c r="N24" s="193">
        <v>0</v>
      </c>
      <c r="O24" s="192">
        <v>0</v>
      </c>
      <c r="P24" s="193">
        <v>2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2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4400964000002</v>
      </c>
      <c r="AB24" s="133" t="str">
        <f>IF(Y24, IF( Z24, AA24, Kontrola_Neispravno), Kontrola_Obavezno)</f>
        <v>4400964000002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Рaчуни у бaнци: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Глaвни рaчун:</v>
      </c>
      <c r="D27" s="380">
        <v>5</v>
      </c>
      <c r="E27" s="380">
        <v>6</v>
      </c>
      <c r="F27" s="380">
        <v>2</v>
      </c>
      <c r="G27" s="125" t="s">
        <v>733</v>
      </c>
      <c r="H27" s="380">
        <v>0</v>
      </c>
      <c r="I27" s="380">
        <v>9</v>
      </c>
      <c r="J27" s="380">
        <v>9</v>
      </c>
      <c r="K27" s="125" t="s">
        <v>733</v>
      </c>
      <c r="L27" s="380">
        <v>0</v>
      </c>
      <c r="M27" s="380">
        <v>0</v>
      </c>
      <c r="N27" s="380">
        <v>0</v>
      </c>
      <c r="O27" s="380">
        <v>0</v>
      </c>
      <c r="P27" s="380">
        <v>4</v>
      </c>
      <c r="Q27" s="380">
        <v>0</v>
      </c>
      <c r="R27" s="380">
        <v>5</v>
      </c>
      <c r="S27" s="380">
        <v>7</v>
      </c>
      <c r="T27" s="60" t="s">
        <v>733</v>
      </c>
      <c r="U27" s="380">
        <v>6</v>
      </c>
      <c r="V27" s="380">
        <v>0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5620990000405760</v>
      </c>
      <c r="AB27" s="133" t="str">
        <f>IF(Y27, IF( Z27, CONCATENATE( D27, E27, F27, G27, H27, I27, J27, K27, L27, M27, N27, O27, P27, Q27, R27, S27, T27, U27, V27), Kontrola_Neispravno), Kontrola_Obavezno)</f>
        <v>562-099-00004057-60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380">
        <v>5</v>
      </c>
      <c r="E29" s="380">
        <v>5</v>
      </c>
      <c r="F29" s="380">
        <v>1</v>
      </c>
      <c r="G29" s="125" t="s">
        <v>733</v>
      </c>
      <c r="H29" s="380">
        <v>0</v>
      </c>
      <c r="I29" s="380">
        <v>0</v>
      </c>
      <c r="J29" s="380">
        <v>1</v>
      </c>
      <c r="K29" s="125" t="s">
        <v>733</v>
      </c>
      <c r="L29" s="380">
        <v>0</v>
      </c>
      <c r="M29" s="380">
        <v>0</v>
      </c>
      <c r="N29" s="380">
        <v>0</v>
      </c>
      <c r="O29" s="380">
        <v>0</v>
      </c>
      <c r="P29" s="380">
        <v>0</v>
      </c>
      <c r="Q29" s="380">
        <v>0</v>
      </c>
      <c r="R29" s="380">
        <v>2</v>
      </c>
      <c r="S29" s="380">
        <v>7</v>
      </c>
      <c r="T29" s="60" t="s">
        <v>733</v>
      </c>
      <c r="U29" s="380">
        <v>4</v>
      </c>
      <c r="V29" s="380">
        <v>5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5510010000002745</v>
      </c>
      <c r="AB29" s="133" t="str">
        <f>IF( LEN(AA29) = 0, "", IF( AND( LEN(AA29) = 16, Z29), CONCATENATE( D29, E29, F29, G29, H29, I29, J29, K29, L29, M29, N29, O29, P29, Q29, R29, S29, T29, U29, V29), Kontrola_Neispravno))</f>
        <v>551-001-00000027-45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380">
        <v>1</v>
      </c>
      <c r="E31" s="380">
        <v>5</v>
      </c>
      <c r="F31" s="380">
        <v>4</v>
      </c>
      <c r="G31" s="125" t="s">
        <v>733</v>
      </c>
      <c r="H31" s="380">
        <v>9</v>
      </c>
      <c r="I31" s="380">
        <v>2</v>
      </c>
      <c r="J31" s="380">
        <v>1</v>
      </c>
      <c r="K31" s="125" t="s">
        <v>733</v>
      </c>
      <c r="L31" s="380">
        <v>2</v>
      </c>
      <c r="M31" s="380">
        <v>0</v>
      </c>
      <c r="N31" s="380">
        <v>0</v>
      </c>
      <c r="O31" s="380">
        <v>0</v>
      </c>
      <c r="P31" s="380">
        <v>7</v>
      </c>
      <c r="Q31" s="380">
        <v>3</v>
      </c>
      <c r="R31" s="380">
        <v>3</v>
      </c>
      <c r="S31" s="380">
        <v>5</v>
      </c>
      <c r="T31" s="60" t="s">
        <v>733</v>
      </c>
      <c r="U31" s="380">
        <v>3</v>
      </c>
      <c r="V31" s="380">
        <v>8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1549212000733538</v>
      </c>
      <c r="AB31" s="133" t="str">
        <f>IF( LEN(AA31) = 0, "", IF( AND( LEN(AA31) = 16, Z31), CONCATENATE( D31, E31, F31, G31, H31, I31, J31, K31, L31, M31, N31, O31, P31, Q31, R31, S31, T31, U31, V31), Kontrola_Neispravno))</f>
        <v>154-921-20007335-38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380">
        <v>5</v>
      </c>
      <c r="E33" s="380">
        <v>7</v>
      </c>
      <c r="F33" s="380">
        <v>1</v>
      </c>
      <c r="G33" s="125" t="s">
        <v>733</v>
      </c>
      <c r="H33" s="380">
        <v>0</v>
      </c>
      <c r="I33" s="380">
        <v>1</v>
      </c>
      <c r="J33" s="380">
        <v>0</v>
      </c>
      <c r="K33" s="125" t="s">
        <v>733</v>
      </c>
      <c r="L33" s="380">
        <v>0</v>
      </c>
      <c r="M33" s="380">
        <v>0</v>
      </c>
      <c r="N33" s="380">
        <v>0</v>
      </c>
      <c r="O33" s="380">
        <v>0</v>
      </c>
      <c r="P33" s="380">
        <v>0</v>
      </c>
      <c r="Q33" s="380">
        <v>9</v>
      </c>
      <c r="R33" s="380">
        <v>8</v>
      </c>
      <c r="S33" s="380">
        <v>1</v>
      </c>
      <c r="T33" s="60" t="s">
        <v>733</v>
      </c>
      <c r="U33" s="380">
        <v>3</v>
      </c>
      <c r="V33" s="380">
        <v>1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5710100000098131</v>
      </c>
      <c r="AB33" s="133" t="str">
        <f>IF( LEN(AA33) = 0, "", IF( AND( LEN(AA33) = 16, Z33), CONCATENATE( D33, E33, F33, G33, H33, I33, J33, K33, L33, M33, N33, O33, P33, Q33, R33, S33, T33, U33, V33), Kontrola_Neispravno))</f>
        <v>571-010-00000981-31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Пoдaци испoд извjeштaja: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У</v>
      </c>
      <c r="D40" s="415" t="s">
        <v>2051</v>
      </c>
      <c r="E40" s="416"/>
      <c r="F40" s="416"/>
      <c r="G40" s="416"/>
      <c r="H40" s="416"/>
      <c r="I40" s="416"/>
      <c r="J40" s="416"/>
      <c r="K40" s="416"/>
      <c r="L40" s="416"/>
      <c r="M40" s="416"/>
      <c r="N40" s="416"/>
      <c r="O40" s="416"/>
      <c r="P40" s="416"/>
      <c r="Q40" s="416"/>
      <c r="R40" s="416"/>
      <c r="S40" s="416"/>
      <c r="T40" s="416"/>
      <c r="U40" s="416"/>
      <c r="V40" s="416"/>
      <c r="Y40" s="16" t="b">
        <f>LEN(AA40) &gt; 0</f>
        <v>1</v>
      </c>
      <c r="Z40" s="16" t="b">
        <v>1</v>
      </c>
      <c r="AA40" s="137" t="str">
        <f>CONCATENATE( D40)</f>
        <v>Бањој Луци</v>
      </c>
      <c r="AB40" s="135" t="str">
        <f>IF(Y40, IF( Z40, AA40, Kontrola_Neispravno), Kontrola_Obavezno)</f>
        <v>Бањој Луци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Дан</v>
      </c>
      <c r="E42" s="127"/>
      <c r="F42" s="127"/>
      <c r="G42" s="127" t="str">
        <f>Objasnjenja_Mjesec</f>
        <v>Мјесец</v>
      </c>
      <c r="H42" s="127"/>
      <c r="I42" s="127"/>
      <c r="J42" s="127" t="str">
        <f>Objasnjenja_Godina</f>
        <v>Година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Датум:</v>
      </c>
      <c r="D43" s="412">
        <v>31</v>
      </c>
      <c r="E43" s="414"/>
      <c r="F43" s="60"/>
      <c r="G43" s="412">
        <v>10</v>
      </c>
      <c r="H43" s="414"/>
      <c r="I43" s="60"/>
      <c r="J43" s="412">
        <v>2019</v>
      </c>
      <c r="K43" s="413"/>
      <c r="L43" s="414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31.10.2019.</v>
      </c>
      <c r="AB43" s="135" t="str">
        <f>IF(Y43, IF( Z43, AA43, Kontrola_Neispravno), Kontrola_Obavezno)</f>
        <v>31.10.2019.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Лицe сa лицeнцoм:</v>
      </c>
      <c r="D45" s="415" t="s">
        <v>2052</v>
      </c>
      <c r="E45" s="416"/>
      <c r="F45" s="416"/>
      <c r="G45" s="416"/>
      <c r="H45" s="416"/>
      <c r="I45" s="416"/>
      <c r="J45" s="416"/>
      <c r="K45" s="416"/>
      <c r="L45" s="416"/>
      <c r="M45" s="416"/>
      <c r="N45" s="416"/>
      <c r="O45" s="416"/>
      <c r="P45" s="416"/>
      <c r="Q45" s="416"/>
      <c r="R45" s="416"/>
      <c r="S45" s="416"/>
      <c r="T45" s="416"/>
      <c r="U45" s="416"/>
      <c r="V45" s="416"/>
      <c r="Y45" s="16" t="b">
        <f>LEN(AA45) &gt; 0</f>
        <v>1</v>
      </c>
      <c r="Z45" s="16" t="b">
        <v>1</v>
      </c>
      <c r="AA45" s="137" t="str">
        <f>CONCATENATE( D45)</f>
        <v>Весна Гудураш</v>
      </c>
      <c r="AB45" s="135" t="str">
        <f>IF(Y45, IF( Z45, AA45, Kontrola_Neispravno), Kontrola_Obavezno)</f>
        <v>Весна Гудураш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Број лиценце:</v>
      </c>
      <c r="D47" s="418" t="s">
        <v>2059</v>
      </c>
      <c r="E47" s="416"/>
      <c r="F47" s="416"/>
      <c r="G47" s="416"/>
      <c r="H47" s="416"/>
      <c r="I47" s="416"/>
      <c r="J47" s="416"/>
      <c r="K47" s="416"/>
      <c r="L47" s="416"/>
      <c r="M47" s="416"/>
      <c r="N47" s="416"/>
      <c r="O47" s="416"/>
      <c r="P47" s="416"/>
      <c r="Q47" s="416"/>
      <c r="R47" s="416"/>
      <c r="S47" s="416"/>
      <c r="T47" s="416"/>
      <c r="U47" s="416"/>
      <c r="V47" s="416"/>
      <c r="Y47" s="16" t="b">
        <f>LEN(AA47) &gt; 0</f>
        <v>1</v>
      </c>
      <c r="Z47" s="16" t="b">
        <v>1</v>
      </c>
      <c r="AA47" s="137" t="str">
        <f>CONCATENATE( D47)</f>
        <v>СР-0456/19</v>
      </c>
      <c r="AB47" s="135" t="str">
        <f>IF(Y47, IF( Z47, AA47, Kontrola_Neispravno), Kontrola_Obavezno)</f>
        <v>СР-0456/19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Лице овлашћено за заступање:</v>
      </c>
      <c r="D49" s="415" t="s">
        <v>2053</v>
      </c>
      <c r="E49" s="416"/>
      <c r="F49" s="416"/>
      <c r="G49" s="416"/>
      <c r="H49" s="416"/>
      <c r="I49" s="416"/>
      <c r="J49" s="416"/>
      <c r="K49" s="416"/>
      <c r="L49" s="416"/>
      <c r="M49" s="416"/>
      <c r="N49" s="416"/>
      <c r="O49" s="416"/>
      <c r="P49" s="416"/>
      <c r="Q49" s="416"/>
      <c r="R49" s="416"/>
      <c r="S49" s="416"/>
      <c r="T49" s="416"/>
      <c r="U49" s="416"/>
      <c r="V49" s="416"/>
      <c r="Y49" s="16" t="b">
        <f>LEN(AA49) &gt; 0</f>
        <v>1</v>
      </c>
      <c r="Z49" s="16" t="b">
        <v>1</v>
      </c>
      <c r="AA49" s="137" t="str">
        <f>CONCATENATE( D49)</f>
        <v>Марко Лопичић</v>
      </c>
      <c r="AB49" s="135" t="str">
        <f>IF(Y49, IF( Z49, AA49, Kontrola_Neispravno), Kontrola_Obavezno)</f>
        <v>Марко Лопичић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Aдрeсa и брoj:</v>
      </c>
      <c r="D52" s="415" t="s">
        <v>2054</v>
      </c>
      <c r="E52" s="416"/>
      <c r="F52" s="416"/>
      <c r="G52" s="416"/>
      <c r="H52" s="416"/>
      <c r="I52" s="416"/>
      <c r="J52" s="416"/>
      <c r="K52" s="416"/>
      <c r="L52" s="416"/>
      <c r="M52" s="416"/>
      <c r="N52" s="416"/>
      <c r="O52" s="416"/>
      <c r="P52" s="416"/>
      <c r="Q52" s="416"/>
      <c r="R52" s="416"/>
      <c r="S52" s="416"/>
      <c r="T52" s="416"/>
      <c r="U52" s="416"/>
      <c r="V52" s="416"/>
      <c r="Y52" s="16" t="b">
        <f>LEN(AA52) &gt; 0</f>
        <v>1</v>
      </c>
      <c r="Z52" s="16" t="b">
        <v>1</v>
      </c>
      <c r="AA52" s="137" t="str">
        <f>CONCATENATE( D52)</f>
        <v>Вука Караџића 2</v>
      </c>
      <c r="AB52" s="135" t="str">
        <f>IF(Y52, IF( Z52, AA52, Kontrola_Neispravno), Kontrola_Obavezno)</f>
        <v>Вука Караџића 2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Интeрнeт aдрeсa:</v>
      </c>
      <c r="D54" s="415" t="s">
        <v>2055</v>
      </c>
      <c r="E54" s="416"/>
      <c r="F54" s="416"/>
      <c r="G54" s="416"/>
      <c r="H54" s="416"/>
      <c r="I54" s="416"/>
      <c r="J54" s="416"/>
      <c r="K54" s="416"/>
      <c r="L54" s="416"/>
      <c r="M54" s="416"/>
      <c r="N54" s="416"/>
      <c r="O54" s="416"/>
      <c r="P54" s="416"/>
      <c r="Q54" s="416"/>
      <c r="R54" s="416"/>
      <c r="S54" s="416"/>
      <c r="T54" s="416"/>
      <c r="U54" s="416"/>
      <c r="V54" s="416"/>
      <c r="Y54" s="16" t="b">
        <f>LEN(AA54) &gt;= 0</f>
        <v>1</v>
      </c>
      <c r="Z54" s="16" t="b">
        <v>1</v>
      </c>
      <c r="AA54" s="137" t="str">
        <f>CONCATENATE( D54)</f>
        <v>www.mtel.ba</v>
      </c>
      <c r="AB54" s="135" t="str">
        <f>IF(Y54, IF( Z54, AA54, Kontrola_Neispravno), Kontrola_Obavezno)</f>
        <v>www.mtel.ba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Aдрeсa e-пoштe (email):</v>
      </c>
      <c r="D56" s="415" t="s">
        <v>2056</v>
      </c>
      <c r="E56" s="416"/>
      <c r="F56" s="416"/>
      <c r="G56" s="416"/>
      <c r="H56" s="416"/>
      <c r="I56" s="416"/>
      <c r="J56" s="416"/>
      <c r="K56" s="416"/>
      <c r="L56" s="416"/>
      <c r="M56" s="416"/>
      <c r="N56" s="416"/>
      <c r="O56" s="416"/>
      <c r="P56" s="416"/>
      <c r="Q56" s="416"/>
      <c r="R56" s="416"/>
      <c r="S56" s="416"/>
      <c r="T56" s="416"/>
      <c r="U56" s="416"/>
      <c r="V56" s="416"/>
      <c r="Y56" s="16" t="b">
        <f>LEN(AA56) &gt; 0</f>
        <v>1</v>
      </c>
      <c r="Z56" s="16" t="b">
        <v>1</v>
      </c>
      <c r="AA56" s="137" t="str">
        <f>CONCATENATE(D56)</f>
        <v>Vesna.Guduras@mtel.ba</v>
      </c>
      <c r="AB56" s="135" t="str">
        <f>IF(Y56, IF( Z56, AA56, Kontrola_Neispravno), Kontrola_Obavezno)</f>
        <v>Vesna.Guduras@mtel.ba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Teлeфoн:</v>
      </c>
      <c r="D58" s="380">
        <v>0</v>
      </c>
      <c r="E58" s="380">
        <v>5</v>
      </c>
      <c r="F58" s="380">
        <v>1</v>
      </c>
      <c r="G58" s="60" t="s">
        <v>733</v>
      </c>
      <c r="H58" s="380">
        <v>2</v>
      </c>
      <c r="I58" s="380">
        <v>1</v>
      </c>
      <c r="J58" s="380">
        <v>6</v>
      </c>
      <c r="K58" s="60" t="s">
        <v>733</v>
      </c>
      <c r="L58" s="380">
        <v>7</v>
      </c>
      <c r="M58" s="380">
        <v>3</v>
      </c>
      <c r="N58" s="380">
        <v>4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051-216-734</v>
      </c>
      <c r="AB58" s="135" t="str">
        <f>IF(Y58, IF( Z58, AA58, Kontrola_Neispravno), Kontrola_Obavezno)</f>
        <v>051-216-734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Фaкс:</v>
      </c>
      <c r="D60" s="380">
        <v>0</v>
      </c>
      <c r="E60" s="380">
        <v>5</v>
      </c>
      <c r="F60" s="380">
        <v>1</v>
      </c>
      <c r="G60" s="60" t="s">
        <v>733</v>
      </c>
      <c r="H60" s="380">
        <v>2</v>
      </c>
      <c r="I60" s="380">
        <v>1</v>
      </c>
      <c r="J60" s="380">
        <v>3</v>
      </c>
      <c r="K60" s="60" t="s">
        <v>733</v>
      </c>
      <c r="L60" s="380">
        <v>9</v>
      </c>
      <c r="M60" s="380">
        <v>4</v>
      </c>
      <c r="N60" s="380">
        <v>8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051-213-948</v>
      </c>
      <c r="AB60" s="135" t="str">
        <f>IF(Y60, IF( Z60, AA60, Kontrola_Neispravno), Kontrola_Obavezno)</f>
        <v>051-213-948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Рeвидирaн извjeштaj:</v>
      </c>
      <c r="D62" s="143"/>
      <c r="E62" s="144"/>
      <c r="Y62" s="353" t="b">
        <v>0</v>
      </c>
      <c r="Z62" s="16"/>
      <c r="AA62" s="137"/>
    </row>
    <row r="63" spans="2:28" ht="4.5" customHeight="1" x14ac:dyDescent="0.2">
      <c r="B63" s="145"/>
      <c r="D63"/>
      <c r="E63"/>
      <c r="Y63" s="354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410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410"/>
      <c r="C70" s="9"/>
      <c r="D70" s="419"/>
      <c r="E70" s="419"/>
      <c r="F70" s="419"/>
      <c r="G70" s="419"/>
      <c r="H70" s="419"/>
      <c r="I70" s="419"/>
      <c r="J70" s="419"/>
      <c r="K70" s="419"/>
      <c r="L70" s="419"/>
      <c r="M70" s="419"/>
      <c r="N70" s="419"/>
      <c r="O70" s="419"/>
      <c r="P70" s="419"/>
      <c r="Q70" s="419"/>
      <c r="R70" s="419"/>
      <c r="S70" s="419"/>
      <c r="T70" s="419"/>
      <c r="U70" s="419"/>
      <c r="V70" s="419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19"/>
      <c r="E72" s="419"/>
      <c r="F72" s="419"/>
      <c r="G72" s="419"/>
      <c r="H72" s="419"/>
      <c r="I72" s="419"/>
      <c r="J72" s="419"/>
      <c r="K72" s="419"/>
      <c r="L72" s="419"/>
      <c r="M72" s="419"/>
      <c r="N72" s="419"/>
      <c r="O72" s="419"/>
      <c r="P72" s="419"/>
      <c r="Q72" s="419"/>
      <c r="R72" s="419"/>
      <c r="S72" s="419"/>
      <c r="T72" s="419"/>
      <c r="U72" s="419"/>
      <c r="V72" s="419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2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Кoнсoлидoвaн извjeштaj:</v>
      </c>
      <c r="D76" s="143"/>
      <c r="E76" s="144"/>
      <c r="F76"/>
      <c r="Y76" s="140" t="b">
        <v>1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>Предузећe консолидације 1:</v>
      </c>
    </row>
    <row r="79" spans="1:28" ht="15" customHeight="1" x14ac:dyDescent="0.2">
      <c r="A79" s="9"/>
      <c r="B79" s="126" t="str">
        <f>IF( Konsolidovan_izvjestaj, Zaglavlje_MB, "")</f>
        <v>Maтични брoj:</v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410" t="str">
        <f>IF( Konsolidovan_izvjestaj, Zaglavlje_Naziv_preduzeca, "")</f>
        <v>Нaзив приврeднoг друштвa, зaдругe, другoг прaвнoг лицa или прeдузeтникa:</v>
      </c>
      <c r="Y81"/>
      <c r="Z81"/>
      <c r="AA81"/>
    </row>
    <row r="82" spans="1:27" ht="15" customHeight="1" x14ac:dyDescent="0.2">
      <c r="A82" s="9"/>
      <c r="B82" s="410"/>
      <c r="D82" s="416" t="s">
        <v>2057</v>
      </c>
      <c r="E82" s="416"/>
      <c r="F82" s="416"/>
      <c r="G82" s="416"/>
      <c r="H82" s="416"/>
      <c r="I82" s="416"/>
      <c r="J82" s="416"/>
      <c r="K82" s="416"/>
      <c r="L82" s="416"/>
      <c r="M82" s="416"/>
      <c r="N82" s="416"/>
      <c r="O82" s="416"/>
      <c r="P82" s="416"/>
      <c r="Q82" s="416"/>
      <c r="R82" s="416"/>
      <c r="S82" s="416"/>
      <c r="T82" s="416"/>
      <c r="U82" s="416"/>
      <c r="V82" s="416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>Сjeдиштe:</v>
      </c>
      <c r="D84" s="415" t="s">
        <v>2058</v>
      </c>
      <c r="E84" s="416"/>
      <c r="F84" s="416"/>
      <c r="G84" s="416"/>
      <c r="H84" s="416"/>
      <c r="I84" s="416"/>
      <c r="J84" s="416"/>
      <c r="K84" s="416"/>
      <c r="L84" s="416"/>
      <c r="M84" s="416"/>
      <c r="N84" s="416"/>
      <c r="O84" s="416"/>
      <c r="P84" s="416"/>
      <c r="Q84" s="416"/>
      <c r="R84" s="416"/>
      <c r="S84" s="416"/>
      <c r="T84" s="416"/>
      <c r="U84" s="416"/>
      <c r="V84" s="416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>JИБ:</v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>Предузећe консолидације 2:</v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>Maтични брoj:</v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410" t="str">
        <f>IF( Konsolidovan_izvjestaj, Zaglavlje_Naziv_preduzeca, "")</f>
        <v>Нaзив приврeднoг друштвa, зaдругe, другoг прaвнoг лицa или прeдузeтникa:</v>
      </c>
    </row>
    <row r="92" spans="1:27" ht="15" customHeight="1" x14ac:dyDescent="0.2">
      <c r="A92" s="9"/>
      <c r="B92" s="410"/>
      <c r="D92" s="420" t="s">
        <v>2060</v>
      </c>
      <c r="E92" s="416"/>
      <c r="F92" s="416"/>
      <c r="G92" s="416"/>
      <c r="H92" s="416"/>
      <c r="I92" s="416"/>
      <c r="J92" s="416"/>
      <c r="K92" s="416"/>
      <c r="L92" s="416"/>
      <c r="M92" s="416"/>
      <c r="N92" s="416"/>
      <c r="O92" s="416"/>
      <c r="P92" s="416"/>
      <c r="Q92" s="416"/>
      <c r="R92" s="416"/>
      <c r="S92" s="416"/>
      <c r="T92" s="416"/>
      <c r="U92" s="416"/>
      <c r="V92" s="416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>Сjeдиштe:</v>
      </c>
      <c r="D94" s="420" t="s">
        <v>2050</v>
      </c>
      <c r="E94" s="416"/>
      <c r="F94" s="416"/>
      <c r="G94" s="416"/>
      <c r="H94" s="416"/>
      <c r="I94" s="416"/>
      <c r="J94" s="416"/>
      <c r="K94" s="416"/>
      <c r="L94" s="416"/>
      <c r="M94" s="416"/>
      <c r="N94" s="416"/>
      <c r="O94" s="416"/>
      <c r="P94" s="416"/>
      <c r="Q94" s="416"/>
      <c r="R94" s="416"/>
      <c r="S94" s="416"/>
      <c r="T94" s="416"/>
      <c r="U94" s="416"/>
      <c r="V94" s="416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>JИБ:</v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>Предузећe консолидације 3:</v>
      </c>
    </row>
    <row r="99" spans="1:32" ht="15" customHeight="1" x14ac:dyDescent="0.2">
      <c r="A99" s="9"/>
      <c r="B99" s="126" t="str">
        <f>IF( Konsolidovan_izvjestaj, Zaglavlje_MB, "")</f>
        <v>Maтични брoj:</v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410" t="str">
        <f>IF( Konsolidovan_izvjestaj, Zaglavlje_Naziv_preduzeca, "")</f>
        <v>Нaзив приврeднoг друштвa, зaдругe, другoг прaвнoг лицa или прeдузeтникa:</v>
      </c>
    </row>
    <row r="102" spans="1:32" ht="15" customHeight="1" x14ac:dyDescent="0.2">
      <c r="A102" s="9"/>
      <c r="B102" s="410"/>
      <c r="D102" s="420" t="s">
        <v>2061</v>
      </c>
      <c r="E102" s="416"/>
      <c r="F102" s="416"/>
      <c r="G102" s="416"/>
      <c r="H102" s="416"/>
      <c r="I102" s="416"/>
      <c r="J102" s="416"/>
      <c r="K102" s="416"/>
      <c r="L102" s="416"/>
      <c r="M102" s="416"/>
      <c r="N102" s="416"/>
      <c r="O102" s="416"/>
      <c r="P102" s="416"/>
      <c r="Q102" s="416"/>
      <c r="R102" s="416"/>
      <c r="S102" s="416"/>
      <c r="T102" s="416"/>
      <c r="U102" s="416"/>
      <c r="V102" s="416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>Сjeдиштe:</v>
      </c>
      <c r="D104" s="420" t="s">
        <v>2062</v>
      </c>
      <c r="E104" s="416"/>
      <c r="F104" s="416"/>
      <c r="G104" s="416"/>
      <c r="H104" s="416"/>
      <c r="I104" s="416"/>
      <c r="J104" s="416"/>
      <c r="K104" s="416"/>
      <c r="L104" s="416"/>
      <c r="M104" s="416"/>
      <c r="N104" s="416"/>
      <c r="O104" s="416"/>
      <c r="P104" s="416"/>
      <c r="Q104" s="416"/>
      <c r="R104" s="416"/>
      <c r="S104" s="416"/>
      <c r="T104" s="416"/>
      <c r="U104" s="416"/>
      <c r="V104" s="416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>JИБ:</v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>Предузећe консолидације 4:</v>
      </c>
    </row>
    <row r="109" spans="1:32" ht="15" customHeight="1" x14ac:dyDescent="0.2">
      <c r="B109" s="126" t="str">
        <f>IF( Konsolidovan_izvjestaj, Zaglavlje_MB, "")</f>
        <v>Maтични брoj:</v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410" t="str">
        <f>IF( Konsolidovan_izvjestaj, Zaglavlje_Naziv_preduzeca, "")</f>
        <v>Нaзив приврeднoг друштвa, зaдругe, другoг прaвнoг лицa или прeдузeтникa:</v>
      </c>
    </row>
    <row r="112" spans="1:32" ht="15" customHeight="1" x14ac:dyDescent="0.2">
      <c r="B112" s="410"/>
      <c r="D112" s="421" t="s">
        <v>2063</v>
      </c>
      <c r="E112" s="417"/>
      <c r="F112" s="417"/>
      <c r="G112" s="417"/>
      <c r="H112" s="417"/>
      <c r="I112" s="417"/>
      <c r="J112" s="417"/>
      <c r="K112" s="417"/>
      <c r="L112" s="417"/>
      <c r="M112" s="417"/>
      <c r="N112" s="417"/>
      <c r="O112" s="417"/>
      <c r="P112" s="417"/>
      <c r="Q112" s="417"/>
      <c r="R112" s="417"/>
      <c r="S112" s="417"/>
      <c r="T112" s="417"/>
      <c r="U112" s="417"/>
      <c r="V112" s="417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>Сjeдиштe:</v>
      </c>
      <c r="D114" s="421" t="s">
        <v>2064</v>
      </c>
      <c r="E114" s="417"/>
      <c r="F114" s="417"/>
      <c r="G114" s="417"/>
      <c r="H114" s="417"/>
      <c r="I114" s="417"/>
      <c r="J114" s="417"/>
      <c r="K114" s="417"/>
      <c r="L114" s="417"/>
      <c r="M114" s="417"/>
      <c r="N114" s="417"/>
      <c r="O114" s="417"/>
      <c r="P114" s="417"/>
      <c r="Q114" s="417"/>
      <c r="R114" s="417"/>
      <c r="S114" s="417"/>
      <c r="T114" s="417"/>
      <c r="U114" s="417"/>
      <c r="V114" s="417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>JИБ:</v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>Предузећe консолидације 5:</v>
      </c>
    </row>
    <row r="119" spans="2:32" ht="15" customHeight="1" x14ac:dyDescent="0.2">
      <c r="B119" s="126" t="str">
        <f>IF( Konsolidovan_izvjestaj, Zaglavlje_MB, "")</f>
        <v>Maтични брoj:</v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410" t="str">
        <f>IF( Konsolidovan_izvjestaj, Zaglavlje_Naziv_preduzeca, "")</f>
        <v>Нaзив приврeднoг друштвa, зaдругe, другoг прaвнoг лицa или прeдузeтникa:</v>
      </c>
    </row>
    <row r="122" spans="2:32" ht="15" customHeight="1" x14ac:dyDescent="0.2">
      <c r="B122" s="410"/>
      <c r="D122" s="417"/>
      <c r="E122" s="417"/>
      <c r="F122" s="417"/>
      <c r="G122" s="417"/>
      <c r="H122" s="417"/>
      <c r="I122" s="417"/>
      <c r="J122" s="417"/>
      <c r="K122" s="417"/>
      <c r="L122" s="417"/>
      <c r="M122" s="417"/>
      <c r="N122" s="417"/>
      <c r="O122" s="417"/>
      <c r="P122" s="417"/>
      <c r="Q122" s="417"/>
      <c r="R122" s="417"/>
      <c r="S122" s="417"/>
      <c r="T122" s="417"/>
      <c r="U122" s="417"/>
      <c r="V122" s="417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>Сjeдиштe:</v>
      </c>
      <c r="D124" s="417"/>
      <c r="E124" s="417"/>
      <c r="F124" s="417"/>
      <c r="G124" s="417"/>
      <c r="H124" s="417"/>
      <c r="I124" s="417"/>
      <c r="J124" s="417"/>
      <c r="K124" s="417"/>
      <c r="L124" s="417"/>
      <c r="M124" s="417"/>
      <c r="N124" s="417"/>
      <c r="O124" s="417"/>
      <c r="P124" s="417"/>
      <c r="Q124" s="417"/>
      <c r="R124" s="417"/>
      <c r="S124" s="417"/>
      <c r="T124" s="417"/>
      <c r="U124" s="417"/>
      <c r="V124" s="417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>JИБ:</v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112" priority="87" stopIfTrue="1">
      <formula>$O$14 &gt; 0</formula>
    </cfRule>
  </conditionalFormatting>
  <conditionalFormatting sqref="D17:E17 D35:F35 D37:F37 D24:P24 L35:S35 H35:J35 L37:S37 H37:J37 D15:K15 D74:P74 D67:K67 D79:K79 D89:K89 D99:K99 D109:K109 D119:K119 D86:P86 D96:P96 D106:P106 D116:P116 D126:P126">
    <cfRule type="expression" dxfId="111" priority="72" stopIfTrue="1">
      <formula>$AC$3 &gt; 0</formula>
    </cfRule>
  </conditionalFormatting>
  <conditionalFormatting sqref="G17:I17">
    <cfRule type="expression" dxfId="110" priority="70" stopIfTrue="1">
      <formula>$AC$3 &gt; 0</formula>
    </cfRule>
  </conditionalFormatting>
  <conditionalFormatting sqref="U35:V35">
    <cfRule type="expression" dxfId="109" priority="65" stopIfTrue="1">
      <formula>$AC$3 &gt; 0</formula>
    </cfRule>
  </conditionalFormatting>
  <conditionalFormatting sqref="U37:V37">
    <cfRule type="expression" dxfId="108" priority="64" stopIfTrue="1">
      <formula>$AC$3 &gt; 0</formula>
    </cfRule>
  </conditionalFormatting>
  <conditionalFormatting sqref="D27:F27">
    <cfRule type="expression" dxfId="107" priority="22" stopIfTrue="1">
      <formula>$AC$3 &gt; 0</formula>
    </cfRule>
  </conditionalFormatting>
  <conditionalFormatting sqref="H27:J27">
    <cfRule type="expression" dxfId="106" priority="21" stopIfTrue="1">
      <formula>$AC$3 &gt; 0</formula>
    </cfRule>
  </conditionalFormatting>
  <conditionalFormatting sqref="L27:S27">
    <cfRule type="expression" dxfId="105" priority="20" stopIfTrue="1">
      <formula>$AC$3 &gt; 0</formula>
    </cfRule>
  </conditionalFormatting>
  <conditionalFormatting sqref="U27:V27">
    <cfRule type="expression" dxfId="104" priority="19" stopIfTrue="1">
      <formula>$AC$3 &gt; 0</formula>
    </cfRule>
  </conditionalFormatting>
  <conditionalFormatting sqref="D29:F29">
    <cfRule type="expression" dxfId="103" priority="18" stopIfTrue="1">
      <formula>$AC$3 &gt; 0</formula>
    </cfRule>
  </conditionalFormatting>
  <conditionalFormatting sqref="H29:J29">
    <cfRule type="expression" dxfId="102" priority="17" stopIfTrue="1">
      <formula>$AC$3 &gt; 0</formula>
    </cfRule>
  </conditionalFormatting>
  <conditionalFormatting sqref="L29:S29">
    <cfRule type="expression" dxfId="101" priority="16" stopIfTrue="1">
      <formula>$AC$3 &gt; 0</formula>
    </cfRule>
  </conditionalFormatting>
  <conditionalFormatting sqref="U29:V29">
    <cfRule type="expression" dxfId="100" priority="15" stopIfTrue="1">
      <formula>$AC$3 &gt; 0</formula>
    </cfRule>
  </conditionalFormatting>
  <conditionalFormatting sqref="D31:F31">
    <cfRule type="expression" dxfId="99" priority="14" stopIfTrue="1">
      <formula>$AC$3 &gt; 0</formula>
    </cfRule>
  </conditionalFormatting>
  <conditionalFormatting sqref="H31:J31">
    <cfRule type="expression" dxfId="98" priority="13" stopIfTrue="1">
      <formula>$AC$3 &gt; 0</formula>
    </cfRule>
  </conditionalFormatting>
  <conditionalFormatting sqref="L31:S31">
    <cfRule type="expression" dxfId="97" priority="12" stopIfTrue="1">
      <formula>$AC$3 &gt; 0</formula>
    </cfRule>
  </conditionalFormatting>
  <conditionalFormatting sqref="U31:V31">
    <cfRule type="expression" dxfId="96" priority="11" stopIfTrue="1">
      <formula>$AC$3 &gt; 0</formula>
    </cfRule>
  </conditionalFormatting>
  <conditionalFormatting sqref="D33:F33">
    <cfRule type="expression" dxfId="95" priority="10" stopIfTrue="1">
      <formula>$AC$3 &gt; 0</formula>
    </cfRule>
  </conditionalFormatting>
  <conditionalFormatting sqref="H33:J33">
    <cfRule type="expression" dxfId="94" priority="9" stopIfTrue="1">
      <formula>$AC$3 &gt; 0</formula>
    </cfRule>
  </conditionalFormatting>
  <conditionalFormatting sqref="L33:S33">
    <cfRule type="expression" dxfId="93" priority="8" stopIfTrue="1">
      <formula>$AC$3 &gt; 0</formula>
    </cfRule>
  </conditionalFormatting>
  <conditionalFormatting sqref="U33:V33">
    <cfRule type="expression" dxfId="92" priority="7" stopIfTrue="1">
      <formula>$AC$3 &gt; 0</formula>
    </cfRule>
  </conditionalFormatting>
  <conditionalFormatting sqref="D58:F58">
    <cfRule type="expression" dxfId="91" priority="6" stopIfTrue="1">
      <formula>$AC$3 &gt; 0</formula>
    </cfRule>
  </conditionalFormatting>
  <conditionalFormatting sqref="H58:J58">
    <cfRule type="expression" dxfId="90" priority="5" stopIfTrue="1">
      <formula>$AC$3 &gt; 0</formula>
    </cfRule>
  </conditionalFormatting>
  <conditionalFormatting sqref="L58:N58">
    <cfRule type="expression" dxfId="89" priority="4" stopIfTrue="1">
      <formula>$AC$3 &gt; 0</formula>
    </cfRule>
  </conditionalFormatting>
  <conditionalFormatting sqref="D60:F60">
    <cfRule type="expression" dxfId="88" priority="3" stopIfTrue="1">
      <formula>$AC$3 &gt; 0</formula>
    </cfRule>
  </conditionalFormatting>
  <conditionalFormatting sqref="H60:J60">
    <cfRule type="expression" dxfId="87" priority="2" stopIfTrue="1">
      <formula>$AC$3 &gt; 0</formula>
    </cfRule>
  </conditionalFormatting>
  <conditionalFormatting sqref="L60:N60">
    <cfRule type="expression" dxfId="86" priority="1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zoomScaleNormal="100" workbookViewId="0"/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Maтични брoj:</v>
      </c>
      <c r="D5" s="471" t="str">
        <f>Podatak_MB</f>
        <v>1772902</v>
      </c>
      <c r="E5" s="471"/>
      <c r="F5" s="173"/>
      <c r="G5" s="173"/>
      <c r="H5" s="173"/>
      <c r="I5" s="173"/>
      <c r="J5" s="173"/>
      <c r="K5" s="174" t="str">
        <f>Zaglavlje_Ziro_racun</f>
        <v>Пословни рачуни:</v>
      </c>
      <c r="L5" s="469" t="str">
        <f>Podatak_Ziro_racun_1</f>
        <v>562-099-00004057-60</v>
      </c>
      <c r="M5" s="469"/>
    </row>
    <row r="6" spans="1:13" x14ac:dyDescent="0.2">
      <c r="A6" s="15"/>
      <c r="B6" s="15"/>
      <c r="C6" s="172" t="str">
        <f>Zaglavlje_Sifra_djelatnosti</f>
        <v>Шифрa дjeлaтн.</v>
      </c>
      <c r="D6" s="471" t="str">
        <f>Podatak_Sifra_djelatnosti</f>
        <v>61.10</v>
      </c>
      <c r="E6" s="471"/>
      <c r="F6" s="175"/>
      <c r="G6" s="173"/>
      <c r="H6" s="173"/>
      <c r="I6" s="173"/>
      <c r="J6" s="173"/>
      <c r="K6" s="173"/>
      <c r="L6" s="469" t="str">
        <f>Podatak_Ziro_racun_2</f>
        <v>551-001-00000027-45</v>
      </c>
      <c r="M6" s="469"/>
    </row>
    <row r="7" spans="1:13" x14ac:dyDescent="0.2">
      <c r="A7" s="18"/>
      <c r="B7" s="18"/>
      <c r="C7" s="462" t="str">
        <f>Zaglavlje_Naziv_preduzeca</f>
        <v>Нaзив приврeднoг друштвa, зaдругe, другoг прaвнoг лицa или прeдузeтникa:</v>
      </c>
      <c r="D7" s="462"/>
      <c r="E7" s="462"/>
      <c r="F7" s="176"/>
      <c r="G7" s="173"/>
      <c r="H7" s="173"/>
      <c r="I7" s="173"/>
      <c r="J7" s="173"/>
      <c r="K7" s="173"/>
      <c r="L7" s="469" t="str">
        <f>Podatak_Ziro_racun_3</f>
        <v>154-921-20007335-38</v>
      </c>
      <c r="M7" s="469"/>
    </row>
    <row r="8" spans="1:13" x14ac:dyDescent="0.2">
      <c r="A8" s="18"/>
      <c r="B8" s="18"/>
      <c r="C8" s="462"/>
      <c r="D8" s="462"/>
      <c r="E8" s="462"/>
      <c r="F8" s="176"/>
      <c r="G8" s="173"/>
      <c r="H8" s="173"/>
      <c r="I8" s="173"/>
      <c r="J8" s="173"/>
      <c r="K8" s="173"/>
      <c r="L8" s="469" t="str">
        <f>Podatak_Ziro_racun_4</f>
        <v>571-010-00000981-31</v>
      </c>
      <c r="M8" s="469"/>
    </row>
    <row r="9" spans="1:13" x14ac:dyDescent="0.2">
      <c r="A9" s="15"/>
      <c r="B9" s="15"/>
      <c r="C9" s="475" t="str">
        <f>Podatak_Naziv_preduzeca</f>
        <v>"Мтел" а.д.</v>
      </c>
      <c r="D9" s="475"/>
      <c r="E9" s="475"/>
      <c r="F9" s="475"/>
      <c r="G9" s="173"/>
      <c r="H9" s="173"/>
      <c r="I9" s="173"/>
      <c r="J9" s="173"/>
      <c r="K9" s="173"/>
      <c r="L9" s="469" t="str">
        <f>Podatak_Ziro_racun_5</f>
        <v/>
      </c>
      <c r="M9" s="469"/>
    </row>
    <row r="10" spans="1:13" x14ac:dyDescent="0.2">
      <c r="A10" s="15"/>
      <c r="B10" s="15"/>
      <c r="C10" s="172" t="str">
        <f>Zaglavlje_Sjediste</f>
        <v>Сjeдиштe:</v>
      </c>
      <c r="D10" s="471" t="str">
        <f>Podatak_Sjediste</f>
        <v>Бања Лука</v>
      </c>
      <c r="E10" s="471"/>
      <c r="F10" s="172"/>
      <c r="G10" s="173"/>
      <c r="H10" s="173"/>
      <c r="I10" s="173"/>
      <c r="J10" s="173"/>
      <c r="K10" s="173"/>
      <c r="L10" s="469" t="str">
        <f>Podatak_Ziro_racun_6</f>
        <v/>
      </c>
      <c r="M10" s="469"/>
    </row>
    <row r="11" spans="1:13" x14ac:dyDescent="0.2">
      <c r="C11" s="172" t="str">
        <f>Zaglavlje_JIB</f>
        <v>JИБ:</v>
      </c>
      <c r="D11" s="471" t="str">
        <f>Podatak_JIB</f>
        <v>4400964000002</v>
      </c>
      <c r="E11" s="471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76" t="str">
        <f>IF( Id_Konsolidovani, Nazivi_bilansa_Konsolidovani_naziv &amp; LOWER( Nazivi_bilansa_BS), Nazivi_bilansa_BS)</f>
        <v>Кoнсoлидoвaни билaнс стaњa</v>
      </c>
      <c r="D12" s="476"/>
      <c r="E12" s="476"/>
      <c r="F12" s="476"/>
      <c r="G12" s="476"/>
      <c r="H12" s="476"/>
      <c r="I12" s="476"/>
      <c r="J12" s="476"/>
      <c r="K12" s="476"/>
      <c r="L12" s="476"/>
      <c r="M12" s="476"/>
    </row>
    <row r="13" spans="1:13" x14ac:dyDescent="0.2">
      <c r="C13" s="473" t="str">
        <f>Nazivi_bilansa_BS1</f>
        <v>(Извjeштaj o финaнсиjскoм пoлoжajу)</v>
      </c>
      <c r="D13" s="473"/>
      <c r="E13" s="473"/>
      <c r="F13" s="473"/>
      <c r="G13" s="473"/>
      <c r="H13" s="473"/>
      <c r="I13" s="473"/>
      <c r="J13" s="473"/>
      <c r="K13" s="473"/>
      <c r="L13" s="473"/>
      <c r="M13" s="473"/>
    </row>
    <row r="14" spans="1:13" x14ac:dyDescent="0.2">
      <c r="C14" s="473" t="str">
        <f>Datumi_Datum_BS</f>
        <v>нa дaн 30.09.2019. гoдинe</v>
      </c>
      <c r="D14" s="473"/>
      <c r="E14" s="473"/>
      <c r="F14" s="473"/>
      <c r="G14" s="473"/>
      <c r="H14" s="473"/>
      <c r="I14" s="473"/>
      <c r="J14" s="473"/>
      <c r="K14" s="473"/>
      <c r="L14" s="473"/>
      <c r="M14" s="473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у кoнвeртибилним мaркaмa -</v>
      </c>
    </row>
    <row r="16" spans="1:13" x14ac:dyDescent="0.2">
      <c r="C16" s="424" t="str">
        <f>Tabele_zaglavlje_Grupa_racuna</f>
        <v>Групa рaчунa, рaчун</v>
      </c>
      <c r="D16" s="463" t="str">
        <f>Tabele_zaglavlje_Pozicija</f>
        <v>ПОЗИЦИЈА</v>
      </c>
      <c r="E16" s="464"/>
      <c r="F16" s="464"/>
      <c r="G16" s="464"/>
      <c r="H16" s="465"/>
      <c r="I16" s="426" t="str">
        <f>Tabele_zaglavlje_Oznaka_aop</f>
        <v>Oзнaкa зa AOП</v>
      </c>
      <c r="J16" s="472" t="str">
        <f>Tabele_zaglavlje_BS_iznos_tekuca</f>
        <v>Изнoс нa дaн билaнсa тeкућe гoдинe</v>
      </c>
      <c r="K16" s="472"/>
      <c r="L16" s="472"/>
      <c r="M16" s="470" t="str">
        <f>Tabele_zaglavlje_BS_iznos_prethodna</f>
        <v>Изнoс нa дaн билaнсa прeтхoднe гoдинe (ПС)</v>
      </c>
    </row>
    <row r="17" spans="2:15" ht="38.25" customHeight="1" x14ac:dyDescent="0.2">
      <c r="C17" s="425"/>
      <c r="D17" s="466"/>
      <c r="E17" s="467"/>
      <c r="F17" s="467"/>
      <c r="G17" s="467"/>
      <c r="H17" s="468"/>
      <c r="I17" s="427"/>
      <c r="J17" s="24" t="str">
        <f>Tabele_zaglavlje_BS_bruto</f>
        <v>Брутo</v>
      </c>
      <c r="K17" s="25" t="str">
        <f>Tabele_zaglavlje_BS_ispravka</f>
        <v>Испрaвкa вриjeднoсти</v>
      </c>
      <c r="L17" s="25" t="str">
        <f>Tabele_zaglavlje_BS_neto</f>
        <v>Нeтo (4-5)</v>
      </c>
      <c r="M17" s="451"/>
      <c r="O17" s="185" t="s">
        <v>824</v>
      </c>
    </row>
    <row r="18" spans="2:15" x14ac:dyDescent="0.2">
      <c r="B18" s="17" t="s">
        <v>408</v>
      </c>
      <c r="C18" s="26">
        <v>1</v>
      </c>
      <c r="D18" s="422">
        <v>2</v>
      </c>
      <c r="E18" s="438"/>
      <c r="F18" s="438"/>
      <c r="G18" s="438"/>
      <c r="H18" s="423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74" t="str">
        <f>VLOOKUP( $B19, T_Aop[], 6, 1)</f>
        <v>АКТИВА</v>
      </c>
      <c r="E19" s="474"/>
      <c r="F19" s="474"/>
      <c r="G19" s="474"/>
      <c r="H19" s="474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47" t="str">
        <f>VLOOKUP( $B20, T_Aop[], 6, 1)</f>
        <v xml:space="preserve">  А. СТАЛНА СРЕДСТВА (002 + 008 + 015 + 021 + 030)</v>
      </c>
      <c r="E20" s="448"/>
      <c r="F20" s="448"/>
      <c r="G20" s="448"/>
      <c r="H20" s="449"/>
      <c r="I20" s="235">
        <f>VLOOKUP( $B20, T_Aop[], 4, 1)</f>
        <v>1</v>
      </c>
      <c r="J20" s="32">
        <f>SUBTOTAL( 9, J21:J49)</f>
        <v>2377150391</v>
      </c>
      <c r="K20" s="32">
        <f>SUBTOTAL( 9, K21:K49)</f>
        <v>1360392792</v>
      </c>
      <c r="L20" s="33">
        <f>SUM(J20,-K20)</f>
        <v>1016757599</v>
      </c>
      <c r="M20" s="34">
        <f>SUBTOTAL( 9, M21:M49)</f>
        <v>733630030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39" t="str">
        <f>VLOOKUP( $B21, T_Aop[], 6, 1)</f>
        <v xml:space="preserve">    I - НЕМАТЕРИЈАЛНА СРЕДСТВА (003 до 007)</v>
      </c>
      <c r="E21" s="440"/>
      <c r="F21" s="440"/>
      <c r="G21" s="440"/>
      <c r="H21" s="441"/>
      <c r="I21" s="237">
        <f>VLOOKUP( $B21, T_Aop[], 4, 1)</f>
        <v>2</v>
      </c>
      <c r="J21" s="35">
        <f>SUBTOTAL(9,J22:J26)</f>
        <v>458820861</v>
      </c>
      <c r="K21" s="35">
        <f>SUBTOTAL(9,K22:K26)</f>
        <v>231609842</v>
      </c>
      <c r="L21" s="36">
        <f t="shared" ref="L21:L84" si="0">SUM(J21,-K21)</f>
        <v>227211019</v>
      </c>
      <c r="M21" s="37">
        <f>SUBTOTAL(9,M22:M26)</f>
        <v>69196427</v>
      </c>
      <c r="O21" s="60"/>
    </row>
    <row r="22" spans="2:15" x14ac:dyDescent="0.2">
      <c r="B22" s="17">
        <v>4</v>
      </c>
      <c r="C22" s="168" t="str">
        <f>VLOOKUP( $B22, T_Aop[], 5, 1)</f>
        <v>010, дио 019</v>
      </c>
      <c r="D22" s="429" t="str">
        <f>VLOOKUP( $B22, T_Aop[], 6, 1)</f>
        <v xml:space="preserve">      1. Улагања у развој</v>
      </c>
      <c r="E22" s="430"/>
      <c r="F22" s="430"/>
      <c r="G22" s="430"/>
      <c r="H22" s="431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дио 019</v>
      </c>
      <c r="D23" s="432" t="str">
        <f>VLOOKUP( $B23, T_Aop[], 6, 1)</f>
        <v xml:space="preserve">      2. Концесије, патенти, лиценце и остала права</v>
      </c>
      <c r="E23" s="433"/>
      <c r="F23" s="433"/>
      <c r="G23" s="433"/>
      <c r="H23" s="434"/>
      <c r="I23" s="167">
        <f>VLOOKUP( $B23, T_Aop[], 4, 1)</f>
        <v>4</v>
      </c>
      <c r="J23" s="217">
        <v>226512213</v>
      </c>
      <c r="K23" s="217">
        <v>148586058</v>
      </c>
      <c r="L23" s="202">
        <f t="shared" si="0"/>
        <v>77926155</v>
      </c>
      <c r="M23" s="381">
        <v>17192529</v>
      </c>
      <c r="O23" s="60"/>
    </row>
    <row r="24" spans="2:15" x14ac:dyDescent="0.2">
      <c r="B24" s="17">
        <v>6</v>
      </c>
      <c r="C24" s="168" t="str">
        <f>VLOOKUP( $B24, T_Aop[], 5, 1)</f>
        <v>012, дио 019</v>
      </c>
      <c r="D24" s="429" t="str">
        <f>VLOOKUP( $B24, T_Aop[], 6, 1)</f>
        <v xml:space="preserve">      3. Goodwill</v>
      </c>
      <c r="E24" s="430"/>
      <c r="F24" s="430"/>
      <c r="G24" s="430"/>
      <c r="H24" s="431"/>
      <c r="I24" s="169">
        <f>VLOOKUP( $B24, T_Aop[], 4, 1)</f>
        <v>5</v>
      </c>
      <c r="J24" s="215">
        <v>49589351</v>
      </c>
      <c r="K24" s="215"/>
      <c r="L24" s="203">
        <f t="shared" si="0"/>
        <v>49589351</v>
      </c>
      <c r="M24" s="382">
        <v>10339849</v>
      </c>
      <c r="O24" s="60"/>
    </row>
    <row r="25" spans="2:15" x14ac:dyDescent="0.2">
      <c r="B25" s="17">
        <v>7</v>
      </c>
      <c r="C25" s="166" t="str">
        <f>VLOOKUP( $B25, T_Aop[], 5, 1)</f>
        <v>014, дио 019</v>
      </c>
      <c r="D25" s="432" t="str">
        <f>VLOOKUP( $B25, T_Aop[], 6, 1)</f>
        <v xml:space="preserve">      4. Остала нематеријална средства</v>
      </c>
      <c r="E25" s="433"/>
      <c r="F25" s="433"/>
      <c r="G25" s="433"/>
      <c r="H25" s="434"/>
      <c r="I25" s="167">
        <f>VLOOKUP( $B25, T_Aop[], 4, 1)</f>
        <v>6</v>
      </c>
      <c r="J25" s="217">
        <v>162713450</v>
      </c>
      <c r="K25" s="217">
        <v>83023784</v>
      </c>
      <c r="L25" s="202">
        <f t="shared" si="0"/>
        <v>79689666</v>
      </c>
      <c r="M25" s="381">
        <v>18903926</v>
      </c>
      <c r="O25" s="60"/>
    </row>
    <row r="26" spans="2:15" x14ac:dyDescent="0.2">
      <c r="B26" s="17">
        <v>8</v>
      </c>
      <c r="C26" s="168" t="str">
        <f>VLOOKUP( $B26, T_Aop[], 5, 1)</f>
        <v>015, 016, дио 019</v>
      </c>
      <c r="D26" s="429" t="str">
        <f>VLOOKUP( $B26, T_Aop[], 6, 1)</f>
        <v xml:space="preserve">      5. Аванси и нематеријална средства у припреми</v>
      </c>
      <c r="E26" s="430"/>
      <c r="F26" s="430"/>
      <c r="G26" s="430"/>
      <c r="H26" s="431"/>
      <c r="I26" s="169">
        <f>VLOOKUP( $B26, T_Aop[], 4, 1)</f>
        <v>7</v>
      </c>
      <c r="J26" s="215">
        <v>20005847</v>
      </c>
      <c r="K26" s="215"/>
      <c r="L26" s="203">
        <f t="shared" si="0"/>
        <v>20005847</v>
      </c>
      <c r="M26" s="382">
        <v>22760123</v>
      </c>
      <c r="O26" s="60"/>
    </row>
    <row r="27" spans="2:15" x14ac:dyDescent="0.2">
      <c r="B27" s="17">
        <v>9</v>
      </c>
      <c r="C27" s="236" t="str">
        <f>VLOOKUP( $B27, T_Aop[], 5, 1)</f>
        <v>02</v>
      </c>
      <c r="D27" s="439" t="str">
        <f>VLOOKUP( $B27, T_Aop[], 6, 1)</f>
        <v xml:space="preserve">    II - НЕКРЕТНИНЕ, ПОСТРОЈЕЊА, ОПРЕМА И ИНВЕСТИЦИОНЕ НЕКРЕТНИНЕ (009 до 014)</v>
      </c>
      <c r="E27" s="440"/>
      <c r="F27" s="440"/>
      <c r="G27" s="440"/>
      <c r="H27" s="441"/>
      <c r="I27" s="237">
        <f>VLOOKUP( $B27, T_Aop[], 4, 1)</f>
        <v>8</v>
      </c>
      <c r="J27" s="35">
        <f>SUBTOTAL(9,J28:J33)</f>
        <v>1747845382</v>
      </c>
      <c r="K27" s="35">
        <f>SUBTOTAL(9,K28:K33)</f>
        <v>1128720229</v>
      </c>
      <c r="L27" s="35">
        <f t="shared" si="0"/>
        <v>619125153</v>
      </c>
      <c r="M27" s="37">
        <f>SUBTOTAL(9,M28:M33)</f>
        <v>569077038</v>
      </c>
      <c r="O27" s="60"/>
    </row>
    <row r="28" spans="2:15" x14ac:dyDescent="0.2">
      <c r="B28" s="17">
        <v>10</v>
      </c>
      <c r="C28" s="168" t="str">
        <f>VLOOKUP( $B28, T_Aop[], 5, 1)</f>
        <v>020, дио 029</v>
      </c>
      <c r="D28" s="429" t="str">
        <f>VLOOKUP( $B28, T_Aop[], 6, 1)</f>
        <v xml:space="preserve">      1. Земљиште</v>
      </c>
      <c r="E28" s="430"/>
      <c r="F28" s="430"/>
      <c r="G28" s="430"/>
      <c r="H28" s="431"/>
      <c r="I28" s="169">
        <f>VLOOKUP( $B28, T_Aop[], 4, 1)</f>
        <v>9</v>
      </c>
      <c r="J28" s="215">
        <v>1794020</v>
      </c>
      <c r="K28" s="215"/>
      <c r="L28" s="203">
        <f t="shared" si="0"/>
        <v>1794020</v>
      </c>
      <c r="M28" s="323">
        <v>1734580</v>
      </c>
      <c r="O28" s="60"/>
    </row>
    <row r="29" spans="2:15" x14ac:dyDescent="0.2">
      <c r="B29" s="17">
        <v>11</v>
      </c>
      <c r="C29" s="166" t="str">
        <f>VLOOKUP( $B29, T_Aop[], 5, 1)</f>
        <v>021, дио 029</v>
      </c>
      <c r="D29" s="432" t="str">
        <f>VLOOKUP( $B29, T_Aop[], 6, 1)</f>
        <v xml:space="preserve">      2. Грађевински објекти</v>
      </c>
      <c r="E29" s="433"/>
      <c r="F29" s="433"/>
      <c r="G29" s="433"/>
      <c r="H29" s="434"/>
      <c r="I29" s="167">
        <f>VLOOKUP( $B29, T_Aop[], 4, 1)</f>
        <v>10</v>
      </c>
      <c r="J29" s="217">
        <v>888572758</v>
      </c>
      <c r="K29" s="217">
        <v>567610366</v>
      </c>
      <c r="L29" s="202">
        <f t="shared" si="0"/>
        <v>320962392</v>
      </c>
      <c r="M29" s="324">
        <v>264251090</v>
      </c>
      <c r="O29" s="60"/>
    </row>
    <row r="30" spans="2:15" x14ac:dyDescent="0.2">
      <c r="B30" s="17">
        <v>12</v>
      </c>
      <c r="C30" s="168" t="str">
        <f>VLOOKUP( $B30, T_Aop[], 5, 1)</f>
        <v>022, дио 029</v>
      </c>
      <c r="D30" s="429" t="str">
        <f>VLOOKUP( $B30, T_Aop[], 6, 1)</f>
        <v xml:space="preserve">      3. Постројења и опрема</v>
      </c>
      <c r="E30" s="430"/>
      <c r="F30" s="430"/>
      <c r="G30" s="430"/>
      <c r="H30" s="431"/>
      <c r="I30" s="169">
        <f>VLOOKUP( $B30, T_Aop[], 4, 1)</f>
        <v>11</v>
      </c>
      <c r="J30" s="215">
        <v>763816759</v>
      </c>
      <c r="K30" s="215">
        <v>558625143</v>
      </c>
      <c r="L30" s="203">
        <f t="shared" si="0"/>
        <v>205191616</v>
      </c>
      <c r="M30" s="323">
        <v>220290860</v>
      </c>
      <c r="O30" s="60"/>
    </row>
    <row r="31" spans="2:15" x14ac:dyDescent="0.2">
      <c r="B31" s="17">
        <v>13</v>
      </c>
      <c r="C31" s="166" t="str">
        <f>VLOOKUP( $B31, T_Aop[], 5, 1)</f>
        <v>023, дио 029</v>
      </c>
      <c r="D31" s="432" t="str">
        <f>VLOOKUP( $B31, T_Aop[], 6, 1)</f>
        <v xml:space="preserve">      4. Инвестиционе некретнине</v>
      </c>
      <c r="E31" s="433"/>
      <c r="F31" s="433"/>
      <c r="G31" s="433"/>
      <c r="H31" s="434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дио 029</v>
      </c>
      <c r="D32" s="429" t="str">
        <f>VLOOKUP( $B32, T_Aop[], 6, 1)</f>
        <v xml:space="preserve">      5. Улагање на туђим некретнинама, постројењима и опреми</v>
      </c>
      <c r="E32" s="430"/>
      <c r="F32" s="430"/>
      <c r="G32" s="430"/>
      <c r="H32" s="431"/>
      <c r="I32" s="169">
        <f>VLOOKUP( $B32, T_Aop[], 4, 1)</f>
        <v>13</v>
      </c>
      <c r="J32" s="215">
        <v>3228552</v>
      </c>
      <c r="K32" s="215">
        <v>2457852</v>
      </c>
      <c r="L32" s="203">
        <f t="shared" si="0"/>
        <v>770700</v>
      </c>
      <c r="M32" s="323">
        <v>952203</v>
      </c>
      <c r="O32" s="60"/>
    </row>
    <row r="33" spans="2:15" x14ac:dyDescent="0.2">
      <c r="B33" s="17">
        <v>15</v>
      </c>
      <c r="C33" s="166" t="str">
        <f>VLOOKUP( $B33, T_Aop[], 5, 1)</f>
        <v>027, 028, дио 029</v>
      </c>
      <c r="D33" s="432" t="str">
        <f>VLOOKUP( $B33, T_Aop[], 6, 1)</f>
        <v xml:space="preserve">      6. Аванси и некретнине, постројења, опрема и инвестиционе некретнине у припреми</v>
      </c>
      <c r="E33" s="433"/>
      <c r="F33" s="433"/>
      <c r="G33" s="433"/>
      <c r="H33" s="434"/>
      <c r="I33" s="167">
        <f>VLOOKUP( $B33, T_Aop[], 4, 1)</f>
        <v>14</v>
      </c>
      <c r="J33" s="217">
        <v>90433293</v>
      </c>
      <c r="K33" s="217">
        <v>26868</v>
      </c>
      <c r="L33" s="202">
        <f t="shared" si="0"/>
        <v>90406425</v>
      </c>
      <c r="M33" s="324">
        <v>81848305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35" t="str">
        <f>VLOOKUP( $B34, T_Aop[], 6, 1)</f>
        <v xml:space="preserve">    III - БИОЛОШКА СРЕДСТВА И СРЕДСТВА КУЛТУРЕ (016 до 020)</v>
      </c>
      <c r="E34" s="436"/>
      <c r="F34" s="436"/>
      <c r="G34" s="436"/>
      <c r="H34" s="437"/>
      <c r="I34" s="239">
        <f>VLOOKUP( $B34, T_Aop[], 4, 1)</f>
        <v>15</v>
      </c>
      <c r="J34" s="33">
        <f>SUBTOTAL(9,J35:J39)</f>
        <v>27464</v>
      </c>
      <c r="K34" s="33">
        <f>SUBTOTAL(9,K35:K39)</f>
        <v>6282</v>
      </c>
      <c r="L34" s="33">
        <f t="shared" si="0"/>
        <v>21182</v>
      </c>
      <c r="M34" s="38">
        <f>SUBTOTAL(9,M35:M39)</f>
        <v>21182</v>
      </c>
      <c r="O34" s="60"/>
    </row>
    <row r="35" spans="2:15" x14ac:dyDescent="0.2">
      <c r="B35" s="17">
        <v>17</v>
      </c>
      <c r="C35" s="166" t="str">
        <f>VLOOKUP( $B35, T_Aop[], 5, 1)</f>
        <v>030, дио 039</v>
      </c>
      <c r="D35" s="432" t="str">
        <f>VLOOKUP( $B35, T_Aop[], 6, 1)</f>
        <v xml:space="preserve">      1. Шуме</v>
      </c>
      <c r="E35" s="433"/>
      <c r="F35" s="433"/>
      <c r="G35" s="433"/>
      <c r="H35" s="434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дио 039</v>
      </c>
      <c r="D36" s="429" t="str">
        <f>VLOOKUP( $B36, T_Aop[], 6, 1)</f>
        <v xml:space="preserve">      2. Вишегодишњи засади</v>
      </c>
      <c r="E36" s="430"/>
      <c r="F36" s="430"/>
      <c r="G36" s="430"/>
      <c r="H36" s="431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дио 039</v>
      </c>
      <c r="D37" s="432" t="str">
        <f>VLOOKUP( $B37, T_Aop[], 6, 1)</f>
        <v xml:space="preserve">      3. Основно стадо</v>
      </c>
      <c r="E37" s="433"/>
      <c r="F37" s="433"/>
      <c r="G37" s="433"/>
      <c r="H37" s="434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дио 039</v>
      </c>
      <c r="D38" s="429" t="str">
        <f>VLOOKUP( $B38, T_Aop[], 6, 1)</f>
        <v xml:space="preserve">      4. Средства културе</v>
      </c>
      <c r="E38" s="430"/>
      <c r="F38" s="430"/>
      <c r="G38" s="430"/>
      <c r="H38" s="431"/>
      <c r="I38" s="169">
        <f>VLOOKUP( $B38, T_Aop[], 4, 1)</f>
        <v>19</v>
      </c>
      <c r="J38" s="215">
        <v>27464</v>
      </c>
      <c r="K38" s="215">
        <v>6282</v>
      </c>
      <c r="L38" s="203">
        <f t="shared" si="0"/>
        <v>21182</v>
      </c>
      <c r="M38" s="323">
        <v>21182</v>
      </c>
      <c r="O38" s="60"/>
    </row>
    <row r="39" spans="2:15" x14ac:dyDescent="0.2">
      <c r="B39" s="17">
        <v>21</v>
      </c>
      <c r="C39" s="166" t="str">
        <f>VLOOKUP( $B39, T_Aop[], 5, 1)</f>
        <v>037, 038, дио 039</v>
      </c>
      <c r="D39" s="432" t="str">
        <f>VLOOKUP( $B39, T_Aop[], 6, 1)</f>
        <v xml:space="preserve">      5. Аванси и биолошка средства и средства културе у припреми</v>
      </c>
      <c r="E39" s="433"/>
      <c r="F39" s="433"/>
      <c r="G39" s="433"/>
      <c r="H39" s="434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35" t="str">
        <f>VLOOKUP( $B40, T_Aop[], 6, 1)</f>
        <v xml:space="preserve">    IV - ДУГОРОЧНИ ФИНАНСИЈСКИ ПЛАСМАНИ (022 до 029)</v>
      </c>
      <c r="E40" s="436"/>
      <c r="F40" s="436"/>
      <c r="G40" s="436"/>
      <c r="H40" s="437"/>
      <c r="I40" s="239">
        <f>VLOOKUP( $B40, T_Aop[], 4, 1)</f>
        <v>21</v>
      </c>
      <c r="J40" s="33">
        <f>SUBTOTAL(9,J41:J48)</f>
        <v>169788715</v>
      </c>
      <c r="K40" s="33">
        <f>SUBTOTAL(9,K41:K48)</f>
        <v>56439</v>
      </c>
      <c r="L40" s="33">
        <f t="shared" si="0"/>
        <v>169732276</v>
      </c>
      <c r="M40" s="38">
        <f>SUBTOTAL(9,M41:M48)</f>
        <v>95066742</v>
      </c>
      <c r="O40" s="60"/>
    </row>
    <row r="41" spans="2:15" x14ac:dyDescent="0.2">
      <c r="B41" s="17">
        <v>23</v>
      </c>
      <c r="C41" s="166" t="str">
        <f>VLOOKUP( $B41, T_Aop[], 5, 1)</f>
        <v>040, дио 049</v>
      </c>
      <c r="D41" s="432" t="str">
        <f>VLOOKUP( $B41, T_Aop[], 6, 1)</f>
        <v xml:space="preserve">      1. Учешће у капиталу зависних правних лица</v>
      </c>
      <c r="E41" s="433"/>
      <c r="F41" s="433"/>
      <c r="G41" s="433"/>
      <c r="H41" s="434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дио 049</v>
      </c>
      <c r="D42" s="429" t="str">
        <f>VLOOKUP( $B42, T_Aop[], 6, 1)</f>
        <v xml:space="preserve">      2. Учешће у капиталу других правних лица</v>
      </c>
      <c r="E42" s="430"/>
      <c r="F42" s="430"/>
      <c r="G42" s="430"/>
      <c r="H42" s="431"/>
      <c r="I42" s="169">
        <f>VLOOKUP( $B42, T_Aop[], 4, 1)</f>
        <v>23</v>
      </c>
      <c r="J42" s="215">
        <v>169520533</v>
      </c>
      <c r="K42" s="215"/>
      <c r="L42" s="203">
        <f t="shared" si="0"/>
        <v>169520533</v>
      </c>
      <c r="M42" s="323">
        <v>88772757</v>
      </c>
      <c r="O42" s="60"/>
    </row>
    <row r="43" spans="2:15" x14ac:dyDescent="0.2">
      <c r="B43" s="17">
        <v>25</v>
      </c>
      <c r="C43" s="166" t="str">
        <f>VLOOKUP( $B43, T_Aop[], 5, 1)</f>
        <v>042, дио 049</v>
      </c>
      <c r="D43" s="432" t="str">
        <f>VLOOKUP( $B43, T_Aop[], 6, 1)</f>
        <v xml:space="preserve">      3. Дугорочни кредити повезаним правним лицима</v>
      </c>
      <c r="E43" s="433"/>
      <c r="F43" s="433"/>
      <c r="G43" s="433"/>
      <c r="H43" s="434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дио 049</v>
      </c>
      <c r="D44" s="429" t="str">
        <f>VLOOKUP( $B44, T_Aop[], 6, 1)</f>
        <v xml:space="preserve">      4. Дугорочни кредити у земљи</v>
      </c>
      <c r="E44" s="430"/>
      <c r="F44" s="430"/>
      <c r="G44" s="430"/>
      <c r="H44" s="431"/>
      <c r="I44" s="169">
        <f>VLOOKUP( $B44, T_Aop[], 4, 1)</f>
        <v>25</v>
      </c>
      <c r="J44" s="215">
        <v>8192</v>
      </c>
      <c r="K44" s="215">
        <v>5344</v>
      </c>
      <c r="L44" s="203">
        <f t="shared" si="0"/>
        <v>2848</v>
      </c>
      <c r="M44" s="323">
        <v>11016</v>
      </c>
      <c r="O44" s="60"/>
    </row>
    <row r="45" spans="2:15" x14ac:dyDescent="0.2">
      <c r="B45" s="17">
        <v>27</v>
      </c>
      <c r="C45" s="166" t="str">
        <f>VLOOKUP( $B45, T_Aop[], 5, 1)</f>
        <v>044, дио 049</v>
      </c>
      <c r="D45" s="432" t="str">
        <f>VLOOKUP( $B45, T_Aop[], 6, 1)</f>
        <v xml:space="preserve">      5. Дугорочни кредити у иностранству</v>
      </c>
      <c r="E45" s="433"/>
      <c r="F45" s="433"/>
      <c r="G45" s="433"/>
      <c r="H45" s="434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дио 049</v>
      </c>
      <c r="D46" s="429" t="str">
        <f>VLOOKUP( $B46, T_Aop[], 6, 1)</f>
        <v xml:space="preserve">      6. Финансијска средства расположива за продају</v>
      </c>
      <c r="E46" s="430"/>
      <c r="F46" s="430"/>
      <c r="G46" s="430"/>
      <c r="H46" s="431"/>
      <c r="I46" s="169">
        <f>VLOOKUP( $B46, T_Aop[], 4, 1)</f>
        <v>27</v>
      </c>
      <c r="J46" s="215">
        <v>26600</v>
      </c>
      <c r="K46" s="215">
        <v>20341</v>
      </c>
      <c r="L46" s="203">
        <f t="shared" si="0"/>
        <v>6259</v>
      </c>
      <c r="M46" s="323">
        <v>5788</v>
      </c>
      <c r="O46" s="60"/>
    </row>
    <row r="47" spans="2:15" x14ac:dyDescent="0.2">
      <c r="B47" s="17">
        <v>29</v>
      </c>
      <c r="C47" s="166" t="str">
        <f>VLOOKUP( $B47, T_Aop[], 5, 1)</f>
        <v>046, дио 049</v>
      </c>
      <c r="D47" s="432" t="str">
        <f>VLOOKUP( $B47, T_Aop[], 6, 1)</f>
        <v xml:space="preserve">      7. Финансијска средства која се држе до рока доспијећа</v>
      </c>
      <c r="E47" s="433"/>
      <c r="F47" s="433"/>
      <c r="G47" s="433"/>
      <c r="H47" s="434"/>
      <c r="I47" s="167">
        <f>VLOOKUP( $B47, T_Aop[], 4, 1)</f>
        <v>28</v>
      </c>
      <c r="J47" s="217">
        <v>45371</v>
      </c>
      <c r="K47" s="217"/>
      <c r="L47" s="202">
        <f t="shared" si="0"/>
        <v>45371</v>
      </c>
      <c r="M47" s="324">
        <v>54557</v>
      </c>
      <c r="O47" s="60"/>
    </row>
    <row r="48" spans="2:15" x14ac:dyDescent="0.2">
      <c r="B48" s="17">
        <v>30</v>
      </c>
      <c r="C48" s="168" t="str">
        <f>VLOOKUP( $B48, T_Aop[], 5, 1)</f>
        <v>048, дио 049</v>
      </c>
      <c r="D48" s="429" t="str">
        <f>VLOOKUP( $B48, T_Aop[], 6, 1)</f>
        <v xml:space="preserve">      8. Остали дугорочни финансијски пласмани</v>
      </c>
      <c r="E48" s="430"/>
      <c r="F48" s="430"/>
      <c r="G48" s="430"/>
      <c r="H48" s="431"/>
      <c r="I48" s="169">
        <f>VLOOKUP( $B48, T_Aop[], 4, 1)</f>
        <v>29</v>
      </c>
      <c r="J48" s="215">
        <v>188019</v>
      </c>
      <c r="K48" s="215">
        <v>30754</v>
      </c>
      <c r="L48" s="203">
        <f t="shared" si="0"/>
        <v>157265</v>
      </c>
      <c r="M48" s="323">
        <v>6222624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39" t="str">
        <f>VLOOKUP( $B49, T_Aop[], 6, 1)</f>
        <v xml:space="preserve">    V - ОДЛОЖЕНА ПОРЕСКА СРЕДСТВА</v>
      </c>
      <c r="E49" s="440"/>
      <c r="F49" s="440"/>
      <c r="G49" s="440"/>
      <c r="H49" s="441"/>
      <c r="I49" s="237">
        <f>VLOOKUP( $B49, T_Aop[], 4, 1)</f>
        <v>30</v>
      </c>
      <c r="J49" s="325">
        <v>667969</v>
      </c>
      <c r="K49" s="325"/>
      <c r="L49" s="35">
        <f t="shared" si="0"/>
        <v>667969</v>
      </c>
      <c r="M49" s="326">
        <v>268641</v>
      </c>
      <c r="O49" s="60"/>
    </row>
    <row r="50" spans="2:15" x14ac:dyDescent="0.2">
      <c r="B50" s="17">
        <v>32</v>
      </c>
      <c r="C50" s="238">
        <f>VLOOKUP( $B50, T_Aop[], 5, 1)</f>
        <v>0</v>
      </c>
      <c r="D50" s="435" t="str">
        <f>VLOOKUP( $B50, T_Aop[], 6, 1)</f>
        <v xml:space="preserve">  Б. ТЕКУЋА СРЕДСТВА (032 + 039 + 061)</v>
      </c>
      <c r="E50" s="436"/>
      <c r="F50" s="436"/>
      <c r="G50" s="436"/>
      <c r="H50" s="437"/>
      <c r="I50" s="239">
        <f>VLOOKUP( $B50, T_Aop[], 4, 1)</f>
        <v>31</v>
      </c>
      <c r="J50" s="33">
        <f>SUBTOTAL( 9, J51:J80)</f>
        <v>234429115</v>
      </c>
      <c r="K50" s="33">
        <f>SUBTOTAL( 9, K51:K80)</f>
        <v>66215442</v>
      </c>
      <c r="L50" s="33">
        <f t="shared" si="0"/>
        <v>168213673</v>
      </c>
      <c r="M50" s="38">
        <f>SUBTOTAL( 9, M51:M80)</f>
        <v>239943955</v>
      </c>
      <c r="O50" s="60"/>
    </row>
    <row r="51" spans="2:15" x14ac:dyDescent="0.2">
      <c r="B51" s="17">
        <v>33</v>
      </c>
      <c r="C51" s="236" t="str">
        <f>VLOOKUP( $B51, T_Aop[], 5, 1)</f>
        <v>10 до 15</v>
      </c>
      <c r="D51" s="439" t="str">
        <f>VLOOKUP( $B51, T_Aop[], 6, 1)</f>
        <v xml:space="preserve">    I - ЗАЛИХЕ, СТАЛНА СРЕДСТВА И СРЕДСТВА ОБУСТАВЉЕНОГ ПОСЛОВАЊА НАМИЈЕЊЕНА ПРОДАЈИ (033 до 038)</v>
      </c>
      <c r="E51" s="440"/>
      <c r="F51" s="440"/>
      <c r="G51" s="440"/>
      <c r="H51" s="441"/>
      <c r="I51" s="237">
        <f>VLOOKUP( $B51, T_Aop[], 4, 1)</f>
        <v>32</v>
      </c>
      <c r="J51" s="35">
        <f>SUBTOTAL(9,J52:J57)</f>
        <v>25879086</v>
      </c>
      <c r="K51" s="35">
        <f>SUBTOTAL(9,K52:K57)</f>
        <v>3162020</v>
      </c>
      <c r="L51" s="35">
        <f t="shared" si="0"/>
        <v>22717066</v>
      </c>
      <c r="M51" s="37">
        <f>SUBTOTAL(9,M52:M57)</f>
        <v>14441244</v>
      </c>
      <c r="O51" s="60"/>
    </row>
    <row r="52" spans="2:15" x14ac:dyDescent="0.2">
      <c r="B52" s="17">
        <v>34</v>
      </c>
      <c r="C52" s="168" t="str">
        <f>VLOOKUP( $B52, T_Aop[], 5, 1)</f>
        <v>100 до 109</v>
      </c>
      <c r="D52" s="429" t="str">
        <f>VLOOKUP( $B52, T_Aop[], 6, 1)</f>
        <v xml:space="preserve">      1. Залихе материјала</v>
      </c>
      <c r="E52" s="430"/>
      <c r="F52" s="430"/>
      <c r="G52" s="430"/>
      <c r="H52" s="431"/>
      <c r="I52" s="169">
        <f>VLOOKUP( $B52, T_Aop[], 4, 1)</f>
        <v>33</v>
      </c>
      <c r="J52" s="215">
        <v>23060280</v>
      </c>
      <c r="K52" s="215">
        <v>3047777</v>
      </c>
      <c r="L52" s="203">
        <f t="shared" si="0"/>
        <v>20012503</v>
      </c>
      <c r="M52" s="323">
        <v>13167507</v>
      </c>
      <c r="O52" s="60"/>
    </row>
    <row r="53" spans="2:15" x14ac:dyDescent="0.2">
      <c r="B53" s="17">
        <v>35</v>
      </c>
      <c r="C53" s="166" t="str">
        <f>VLOOKUP( $B53, T_Aop[], 5, 1)</f>
        <v>110 до 119</v>
      </c>
      <c r="D53" s="432" t="str">
        <f>VLOOKUP( $B53, T_Aop[], 6, 1)</f>
        <v xml:space="preserve">      2. Залихе недовршене производње, полупроизвода и недовршених услуга</v>
      </c>
      <c r="E53" s="433"/>
      <c r="F53" s="433"/>
      <c r="G53" s="433"/>
      <c r="H53" s="434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до 129</v>
      </c>
      <c r="D54" s="429" t="str">
        <f>VLOOKUP( $B54, T_Aop[], 6, 1)</f>
        <v xml:space="preserve">      3. Залихе готових производа</v>
      </c>
      <c r="E54" s="430"/>
      <c r="F54" s="430"/>
      <c r="G54" s="430"/>
      <c r="H54" s="431"/>
      <c r="I54" s="169">
        <f>VLOOKUP( $B54, T_Aop[], 4, 1)</f>
        <v>35</v>
      </c>
      <c r="J54" s="215">
        <v>0</v>
      </c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до 139</v>
      </c>
      <c r="D55" s="432" t="str">
        <f>VLOOKUP( $B55, T_Aop[], 6, 1)</f>
        <v xml:space="preserve">      4. Залихе робе</v>
      </c>
      <c r="E55" s="433"/>
      <c r="F55" s="433"/>
      <c r="G55" s="433"/>
      <c r="H55" s="434"/>
      <c r="I55" s="167">
        <f>VLOOKUP( $B55, T_Aop[], 4, 1)</f>
        <v>36</v>
      </c>
      <c r="J55" s="217">
        <v>1211884</v>
      </c>
      <c r="K55" s="217">
        <v>114243</v>
      </c>
      <c r="L55" s="202">
        <f t="shared" si="0"/>
        <v>1097641</v>
      </c>
      <c r="M55" s="324">
        <v>292841</v>
      </c>
      <c r="O55" s="60"/>
    </row>
    <row r="56" spans="2:15" x14ac:dyDescent="0.2">
      <c r="B56" s="17">
        <v>38</v>
      </c>
      <c r="C56" s="168" t="str">
        <f>VLOOKUP( $B56, T_Aop[], 5, 1)</f>
        <v>140 до 149</v>
      </c>
      <c r="D56" s="429" t="str">
        <f>VLOOKUP( $B56, T_Aop[], 6, 1)</f>
        <v xml:space="preserve">      5. Стална средства и средства обустављеног пословања намијењена продаји</v>
      </c>
      <c r="E56" s="430"/>
      <c r="F56" s="430"/>
      <c r="G56" s="430"/>
      <c r="H56" s="431"/>
      <c r="I56" s="169">
        <f>VLOOKUP( $B56, T_Aop[], 4, 1)</f>
        <v>37</v>
      </c>
      <c r="J56" s="215">
        <v>27298</v>
      </c>
      <c r="K56" s="215">
        <v>0</v>
      </c>
      <c r="L56" s="203">
        <f t="shared" si="0"/>
        <v>27298</v>
      </c>
      <c r="M56" s="323">
        <v>47786</v>
      </c>
      <c r="O56" s="60"/>
    </row>
    <row r="57" spans="2:15" x14ac:dyDescent="0.2">
      <c r="B57" s="17">
        <v>39</v>
      </c>
      <c r="C57" s="166" t="str">
        <f>VLOOKUP( $B57, T_Aop[], 5, 1)</f>
        <v>150 до 159</v>
      </c>
      <c r="D57" s="432" t="str">
        <f>VLOOKUP( $B57, T_Aop[], 6, 1)</f>
        <v xml:space="preserve">      6. Дати аванси</v>
      </c>
      <c r="E57" s="433"/>
      <c r="F57" s="433"/>
      <c r="G57" s="433"/>
      <c r="H57" s="434"/>
      <c r="I57" s="167">
        <f>VLOOKUP( $B57, T_Aop[], 4, 1)</f>
        <v>38</v>
      </c>
      <c r="J57" s="217">
        <v>1579624</v>
      </c>
      <c r="K57" s="217">
        <v>0</v>
      </c>
      <c r="L57" s="202">
        <f t="shared" si="0"/>
        <v>1579624</v>
      </c>
      <c r="M57" s="324">
        <v>933110</v>
      </c>
      <c r="O57" s="60"/>
    </row>
    <row r="58" spans="2:15" x14ac:dyDescent="0.2">
      <c r="B58" s="17">
        <v>40</v>
      </c>
      <c r="C58" s="238">
        <f>VLOOKUP( $B58, T_Aop[], 5, 1)</f>
        <v>0</v>
      </c>
      <c r="D58" s="435" t="str">
        <f>VLOOKUP( $B58, T_Aop[], 6, 1)</f>
        <v xml:space="preserve">    II - КРАТКОРОЧНА ПОТРАЖИВАЊА, КРАТКОРОЧНИ ПЛАСМАНИ И ГОТОВИНА (040 + 047 + 056 + 059 + 060)</v>
      </c>
      <c r="E58" s="436"/>
      <c r="F58" s="436"/>
      <c r="G58" s="436"/>
      <c r="H58" s="437"/>
      <c r="I58" s="239">
        <f>VLOOKUP( $B58, T_Aop[], 4, 1)</f>
        <v>39</v>
      </c>
      <c r="J58" s="33">
        <f>SUBTOTAL(9,J59:J79)</f>
        <v>208550029</v>
      </c>
      <c r="K58" s="33">
        <f>SUBTOTAL(9,K59:K79)</f>
        <v>63053422</v>
      </c>
      <c r="L58" s="33">
        <f t="shared" si="0"/>
        <v>145496607</v>
      </c>
      <c r="M58" s="38">
        <f>SUBTOTAL(9,M59:M79)</f>
        <v>225502711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32" t="str">
        <f>VLOOKUP( $B59, T_Aop[], 6, 1)</f>
        <v xml:space="preserve">      1. Краткорочна потраживања (041 до 046)</v>
      </c>
      <c r="E59" s="433"/>
      <c r="F59" s="433"/>
      <c r="G59" s="433"/>
      <c r="H59" s="434"/>
      <c r="I59" s="167">
        <f>VLOOKUP( $B59, T_Aop[], 4, 1)</f>
        <v>40</v>
      </c>
      <c r="J59" s="202">
        <f>SUBTOTAL(9,J60:J65)</f>
        <v>150911619</v>
      </c>
      <c r="K59" s="202">
        <f>SUBTOTAL(9,K60:K65)</f>
        <v>63053422</v>
      </c>
      <c r="L59" s="202">
        <f t="shared" si="0"/>
        <v>87858197</v>
      </c>
      <c r="M59" s="208">
        <f>SUBTOTAL(9,M60:M65)</f>
        <v>72381758</v>
      </c>
      <c r="O59" s="259"/>
    </row>
    <row r="60" spans="2:15" x14ac:dyDescent="0.2">
      <c r="B60" s="17">
        <v>42</v>
      </c>
      <c r="C60" s="168" t="str">
        <f>VLOOKUP( $B60, T_Aop[], 5, 1)</f>
        <v>200, дио 209</v>
      </c>
      <c r="D60" s="429" t="str">
        <f>VLOOKUP( $B60, T_Aop[], 6, 1)</f>
        <v xml:space="preserve">        а) Купци - повезана правна лица</v>
      </c>
      <c r="E60" s="430"/>
      <c r="F60" s="430"/>
      <c r="G60" s="430"/>
      <c r="H60" s="431"/>
      <c r="I60" s="169">
        <f>VLOOKUP( $B60, T_Aop[], 4, 1)</f>
        <v>41</v>
      </c>
      <c r="J60" s="215">
        <v>12453728</v>
      </c>
      <c r="K60" s="215"/>
      <c r="L60" s="203">
        <f t="shared" si="0"/>
        <v>12453728</v>
      </c>
      <c r="M60" s="323">
        <v>9319811</v>
      </c>
      <c r="O60" s="60"/>
    </row>
    <row r="61" spans="2:15" x14ac:dyDescent="0.2">
      <c r="B61" s="17">
        <v>43</v>
      </c>
      <c r="C61" s="166" t="str">
        <f>VLOOKUP( $B61, T_Aop[], 5, 1)</f>
        <v>201, 202, 203, дио 209</v>
      </c>
      <c r="D61" s="432" t="str">
        <f>VLOOKUP( $B61, T_Aop[], 6, 1)</f>
        <v xml:space="preserve">        б) Купци у земљи</v>
      </c>
      <c r="E61" s="433"/>
      <c r="F61" s="433"/>
      <c r="G61" s="433"/>
      <c r="H61" s="434"/>
      <c r="I61" s="167">
        <f>VLOOKUP( $B61, T_Aop[], 4, 1)</f>
        <v>42</v>
      </c>
      <c r="J61" s="217">
        <v>74907896</v>
      </c>
      <c r="K61" s="217">
        <v>7252671</v>
      </c>
      <c r="L61" s="202">
        <f t="shared" si="0"/>
        <v>67655225</v>
      </c>
      <c r="M61" s="324">
        <v>60998352</v>
      </c>
      <c r="O61" s="60"/>
    </row>
    <row r="62" spans="2:15" x14ac:dyDescent="0.2">
      <c r="B62" s="17">
        <v>44</v>
      </c>
      <c r="C62" s="168" t="str">
        <f>VLOOKUP( $B62, T_Aop[], 5, 1)</f>
        <v>204, дио 209</v>
      </c>
      <c r="D62" s="429" t="str">
        <f>VLOOKUP( $B62, T_Aop[], 6, 1)</f>
        <v xml:space="preserve">        в) Купци из иностранства</v>
      </c>
      <c r="E62" s="430"/>
      <c r="F62" s="430"/>
      <c r="G62" s="430"/>
      <c r="H62" s="431"/>
      <c r="I62" s="169">
        <f>VLOOKUP( $B62, T_Aop[], 4, 1)</f>
        <v>43</v>
      </c>
      <c r="J62" s="215">
        <v>5085652</v>
      </c>
      <c r="K62" s="215">
        <v>491807</v>
      </c>
      <c r="L62" s="203">
        <f t="shared" si="0"/>
        <v>4593845</v>
      </c>
      <c r="M62" s="323">
        <v>788199</v>
      </c>
      <c r="O62" s="60"/>
    </row>
    <row r="63" spans="2:15" x14ac:dyDescent="0.2">
      <c r="B63" s="17">
        <v>45</v>
      </c>
      <c r="C63" s="166" t="str">
        <f>VLOOKUP( $B63, T_Aop[], 5, 1)</f>
        <v>208, дио 209</v>
      </c>
      <c r="D63" s="432" t="str">
        <f>VLOOKUP( $B63, T_Aop[], 6, 1)</f>
        <v xml:space="preserve">        г) Сумњива и спорна потраживања</v>
      </c>
      <c r="E63" s="433"/>
      <c r="F63" s="433"/>
      <c r="G63" s="433"/>
      <c r="H63" s="434"/>
      <c r="I63" s="167">
        <f>VLOOKUP( $B63, T_Aop[], 4, 1)</f>
        <v>44</v>
      </c>
      <c r="J63" s="217">
        <v>54733396</v>
      </c>
      <c r="K63" s="217">
        <v>54600170</v>
      </c>
      <c r="L63" s="202">
        <f t="shared" si="0"/>
        <v>133226</v>
      </c>
      <c r="M63" s="324">
        <v>193806</v>
      </c>
      <c r="O63" s="60"/>
    </row>
    <row r="64" spans="2:15" x14ac:dyDescent="0.2">
      <c r="B64" s="17">
        <v>46</v>
      </c>
      <c r="C64" s="168" t="str">
        <f>VLOOKUP( $B64, T_Aop[], 5, 1)</f>
        <v>210 до 219</v>
      </c>
      <c r="D64" s="429" t="str">
        <f>VLOOKUP( $B64, T_Aop[], 6, 1)</f>
        <v xml:space="preserve">        д) Потраживања из специфичних послова</v>
      </c>
      <c r="E64" s="430"/>
      <c r="F64" s="430"/>
      <c r="G64" s="430"/>
      <c r="H64" s="431"/>
      <c r="I64" s="169">
        <f>VLOOKUP( $B64, T_Aop[], 4, 1)</f>
        <v>45</v>
      </c>
      <c r="J64" s="215">
        <v>122739</v>
      </c>
      <c r="K64" s="215">
        <v>122739</v>
      </c>
      <c r="L64" s="203">
        <f t="shared" si="0"/>
        <v>0</v>
      </c>
      <c r="M64" s="323">
        <v>4</v>
      </c>
      <c r="O64" s="60"/>
    </row>
    <row r="65" spans="2:15" x14ac:dyDescent="0.2">
      <c r="B65" s="17">
        <v>47</v>
      </c>
      <c r="C65" s="166" t="str">
        <f>VLOOKUP( $B65, T_Aop[], 5, 1)</f>
        <v>220 до 229</v>
      </c>
      <c r="D65" s="432" t="str">
        <f>VLOOKUP( $B65, T_Aop[], 6, 1)</f>
        <v xml:space="preserve">        ђ) Друга краткорочна потраживања</v>
      </c>
      <c r="E65" s="433"/>
      <c r="F65" s="433"/>
      <c r="G65" s="433"/>
      <c r="H65" s="434"/>
      <c r="I65" s="167">
        <f>VLOOKUP( $B65, T_Aop[], 4, 1)</f>
        <v>46</v>
      </c>
      <c r="J65" s="217">
        <v>3608208</v>
      </c>
      <c r="K65" s="217">
        <v>586035</v>
      </c>
      <c r="L65" s="202">
        <f t="shared" si="0"/>
        <v>3022173</v>
      </c>
      <c r="M65" s="324">
        <v>1081586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29" t="str">
        <f>VLOOKUP( $B66, T_Aop[], 6, 1)</f>
        <v xml:space="preserve">      2. Краткорочни финансијски пласмани (048 до 055)</v>
      </c>
      <c r="E66" s="430"/>
      <c r="F66" s="430"/>
      <c r="G66" s="430"/>
      <c r="H66" s="431"/>
      <c r="I66" s="169">
        <f>VLOOKUP( $B66, T_Aop[], 4, 1)</f>
        <v>47</v>
      </c>
      <c r="J66" s="203">
        <f>SUBTOTAL(9,J67:J74)</f>
        <v>8266018</v>
      </c>
      <c r="K66" s="203">
        <f>SUBTOTAL(9,K67:K74)</f>
        <v>0</v>
      </c>
      <c r="L66" s="203">
        <f t="shared" si="0"/>
        <v>8266018</v>
      </c>
      <c r="M66" s="209">
        <f>SUBTOTAL(9,M67:M74)</f>
        <v>62108774</v>
      </c>
      <c r="O66" s="60"/>
    </row>
    <row r="67" spans="2:15" x14ac:dyDescent="0.2">
      <c r="B67" s="17">
        <v>49</v>
      </c>
      <c r="C67" s="166" t="str">
        <f>VLOOKUP( $B67, T_Aop[], 5, 1)</f>
        <v>230, дио 239</v>
      </c>
      <c r="D67" s="432" t="str">
        <f>VLOOKUP( $B67, T_Aop[], 6, 1)</f>
        <v xml:space="preserve">        а) Краткорочни кредити повезаним правним лицима</v>
      </c>
      <c r="E67" s="433"/>
      <c r="F67" s="433"/>
      <c r="G67" s="433"/>
      <c r="H67" s="434"/>
      <c r="I67" s="167">
        <f>VLOOKUP( $B67, T_Aop[], 4, 1)</f>
        <v>48</v>
      </c>
      <c r="J67" s="217">
        <v>2933745</v>
      </c>
      <c r="K67" s="217"/>
      <c r="L67" s="202">
        <f t="shared" si="0"/>
        <v>2933745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дио 239</v>
      </c>
      <c r="D68" s="429" t="str">
        <f>VLOOKUP( $B68, T_Aop[], 6, 1)</f>
        <v xml:space="preserve">        б) Краткорочни кредити у земљи</v>
      </c>
      <c r="E68" s="430"/>
      <c r="F68" s="430"/>
      <c r="G68" s="430"/>
      <c r="H68" s="431"/>
      <c r="I68" s="169">
        <f>VLOOKUP( $B68, T_Aop[], 4, 1)</f>
        <v>49</v>
      </c>
      <c r="J68" s="215">
        <v>10000</v>
      </c>
      <c r="K68" s="215"/>
      <c r="L68" s="203">
        <f t="shared" si="0"/>
        <v>10000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дио 239</v>
      </c>
      <c r="D69" s="432" t="str">
        <f>VLOOKUP( $B69, T_Aop[], 6, 1)</f>
        <v xml:space="preserve">        в) Краткорочни кредити у иностранству</v>
      </c>
      <c r="E69" s="433"/>
      <c r="F69" s="433"/>
      <c r="G69" s="433"/>
      <c r="H69" s="434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дио 239</v>
      </c>
      <c r="D70" s="429" t="str">
        <f>VLOOKUP( $B70, T_Aop[], 6, 1)</f>
        <v xml:space="preserve">        г) Дио дугорочних финансијских пласмана који доспијева за наплату у периоду до годину дана</v>
      </c>
      <c r="E70" s="430"/>
      <c r="F70" s="430"/>
      <c r="G70" s="430"/>
      <c r="H70" s="431"/>
      <c r="I70" s="169">
        <f>VLOOKUP( $B70, T_Aop[], 4, 1)</f>
        <v>51</v>
      </c>
      <c r="J70" s="215">
        <v>80157</v>
      </c>
      <c r="K70" s="215"/>
      <c r="L70" s="203">
        <f t="shared" si="0"/>
        <v>80157</v>
      </c>
      <c r="M70" s="323">
        <v>82265</v>
      </c>
      <c r="O70" s="60"/>
    </row>
    <row r="71" spans="2:15" x14ac:dyDescent="0.2">
      <c r="B71" s="17">
        <v>53</v>
      </c>
      <c r="C71" s="166" t="str">
        <f>VLOOKUP( $B71, T_Aop[], 5, 1)</f>
        <v>235, дио 239</v>
      </c>
      <c r="D71" s="432" t="str">
        <f>VLOOKUP( $B71, T_Aop[], 6, 1)</f>
        <v xml:space="preserve">        д) Финансијска средства по фер вриједности кроз биланс успјеха намијењена трговању</v>
      </c>
      <c r="E71" s="433"/>
      <c r="F71" s="433"/>
      <c r="G71" s="433"/>
      <c r="H71" s="434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дио 239</v>
      </c>
      <c r="D72" s="429" t="str">
        <f>VLOOKUP( $B72, T_Aop[], 6, 1)</f>
        <v xml:space="preserve">        ђ) Финансијска средства означена по фер вриједности кроз биланс успјеха</v>
      </c>
      <c r="E72" s="430"/>
      <c r="F72" s="430"/>
      <c r="G72" s="430"/>
      <c r="H72" s="431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32" t="str">
        <f>VLOOKUP( $B73, T_Aop[], 6, 1)</f>
        <v xml:space="preserve">        е) Откупљене сопствене акције и откупљени сопствени удјели намијењени продаји или поништавању</v>
      </c>
      <c r="E73" s="433"/>
      <c r="F73" s="433"/>
      <c r="G73" s="433"/>
      <c r="H73" s="434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дио 239</v>
      </c>
      <c r="D74" s="429" t="str">
        <f>VLOOKUP( $B74, T_Aop[], 6, 1)</f>
        <v xml:space="preserve">        ж) Остали краткорочни пласмани</v>
      </c>
      <c r="E74" s="430"/>
      <c r="F74" s="430"/>
      <c r="G74" s="430"/>
      <c r="H74" s="431"/>
      <c r="I74" s="169">
        <f>VLOOKUP( $B74, T_Aop[], 4, 1)</f>
        <v>55</v>
      </c>
      <c r="J74" s="215">
        <v>5242116</v>
      </c>
      <c r="K74" s="215"/>
      <c r="L74" s="203">
        <f t="shared" si="0"/>
        <v>5242116</v>
      </c>
      <c r="M74" s="323">
        <v>62026509</v>
      </c>
      <c r="O74" s="60"/>
    </row>
    <row r="75" spans="2:15" x14ac:dyDescent="0.2">
      <c r="B75" s="17">
        <v>57</v>
      </c>
      <c r="C75" s="166">
        <f>VLOOKUP( $B75, T_Aop[], 5, 1)</f>
        <v>24</v>
      </c>
      <c r="D75" s="432" t="str">
        <f>VLOOKUP( $B75, T_Aop[], 6, 1)</f>
        <v xml:space="preserve">      3. Готовински еквиваленти и готовина (057 + 058)</v>
      </c>
      <c r="E75" s="433"/>
      <c r="F75" s="433"/>
      <c r="G75" s="433"/>
      <c r="H75" s="434"/>
      <c r="I75" s="167">
        <f>VLOOKUP( $B75, T_Aop[], 4, 1)</f>
        <v>56</v>
      </c>
      <c r="J75" s="202">
        <f>SUBTOTAL(9,J76:J77)</f>
        <v>28491038</v>
      </c>
      <c r="K75" s="202">
        <f>SUBTOTAL(9,K76:K77)</f>
        <v>0</v>
      </c>
      <c r="L75" s="202">
        <f t="shared" si="0"/>
        <v>28491038</v>
      </c>
      <c r="M75" s="208">
        <f>SUBTOTAL(9,M76:M77)</f>
        <v>71465331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29" t="str">
        <f>VLOOKUP( $B76, T_Aop[], 6, 1)</f>
        <v xml:space="preserve">        а) Готовински еквиваленти - хартије од вриједности</v>
      </c>
      <c r="E76" s="430"/>
      <c r="F76" s="430"/>
      <c r="G76" s="430"/>
      <c r="H76" s="431"/>
      <c r="I76" s="169">
        <f>VLOOKUP( $B76, T_Aop[], 4, 1)</f>
        <v>57</v>
      </c>
      <c r="J76" s="215">
        <v>101569</v>
      </c>
      <c r="K76" s="215"/>
      <c r="L76" s="203">
        <f t="shared" si="0"/>
        <v>101569</v>
      </c>
      <c r="M76" s="323">
        <v>100000</v>
      </c>
      <c r="O76" s="60"/>
    </row>
    <row r="77" spans="2:15" x14ac:dyDescent="0.2">
      <c r="B77" s="17">
        <v>59</v>
      </c>
      <c r="C77" s="166" t="str">
        <f>VLOOKUP( $B77, T_Aop[], 5, 1)</f>
        <v>241 до 249</v>
      </c>
      <c r="D77" s="432" t="str">
        <f>VLOOKUP( $B77, T_Aop[], 6, 1)</f>
        <v xml:space="preserve">        б) Готовина</v>
      </c>
      <c r="E77" s="433"/>
      <c r="F77" s="433"/>
      <c r="G77" s="433"/>
      <c r="H77" s="434"/>
      <c r="I77" s="167">
        <f>VLOOKUP( $B77, T_Aop[], 4, 1)</f>
        <v>58</v>
      </c>
      <c r="J77" s="217">
        <v>28389469</v>
      </c>
      <c r="K77" s="217"/>
      <c r="L77" s="202">
        <f t="shared" si="0"/>
        <v>28389469</v>
      </c>
      <c r="M77" s="324">
        <v>71365331</v>
      </c>
      <c r="O77" s="60"/>
    </row>
    <row r="78" spans="2:15" x14ac:dyDescent="0.2">
      <c r="B78" s="17">
        <v>60</v>
      </c>
      <c r="C78" s="168" t="str">
        <f>VLOOKUP( $B78, T_Aop[], 5, 1)</f>
        <v>270 до 279</v>
      </c>
      <c r="D78" s="429" t="str">
        <f>VLOOKUP( $B78, T_Aop[], 6, 1)</f>
        <v xml:space="preserve">      4. Порез на додату вриједност</v>
      </c>
      <c r="E78" s="430"/>
      <c r="F78" s="430"/>
      <c r="G78" s="430"/>
      <c r="H78" s="431"/>
      <c r="I78" s="169">
        <f>VLOOKUP( $B78, T_Aop[], 4, 1)</f>
        <v>59</v>
      </c>
      <c r="J78" s="215">
        <v>0</v>
      </c>
      <c r="K78" s="215"/>
      <c r="L78" s="203">
        <f t="shared" si="0"/>
        <v>0</v>
      </c>
      <c r="M78" s="323"/>
      <c r="O78" s="60"/>
    </row>
    <row r="79" spans="2:15" x14ac:dyDescent="0.2">
      <c r="B79" s="17">
        <v>61</v>
      </c>
      <c r="C79" s="166" t="str">
        <f>VLOOKUP( $B79, T_Aop[], 5, 1)</f>
        <v>280 до 289, осим 288</v>
      </c>
      <c r="D79" s="432" t="str">
        <f>VLOOKUP( $B79, T_Aop[], 6, 1)</f>
        <v xml:space="preserve">      5. Активна временска разграничења</v>
      </c>
      <c r="E79" s="433"/>
      <c r="F79" s="433"/>
      <c r="G79" s="433"/>
      <c r="H79" s="434"/>
      <c r="I79" s="167">
        <f>VLOOKUP( $B79, T_Aop[], 4, 1)</f>
        <v>60</v>
      </c>
      <c r="J79" s="217">
        <v>20881354</v>
      </c>
      <c r="K79" s="217"/>
      <c r="L79" s="202">
        <f t="shared" si="0"/>
        <v>20881354</v>
      </c>
      <c r="M79" s="324">
        <v>19546848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35" t="str">
        <f>VLOOKUP( $B80, T_Aop[], 6, 1)</f>
        <v xml:space="preserve">    III - ОДЛОЖЕНА ПОРЕСКА СРЕДСТВА</v>
      </c>
      <c r="E80" s="436"/>
      <c r="F80" s="436"/>
      <c r="G80" s="436"/>
      <c r="H80" s="437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39" t="str">
        <f>VLOOKUP( $B81, T_Aop[], 6, 1)</f>
        <v xml:space="preserve">  В. ПОСЛОВНА СРЕДСТВА (001 + 031)</v>
      </c>
      <c r="E81" s="440"/>
      <c r="F81" s="440"/>
      <c r="G81" s="440"/>
      <c r="H81" s="441"/>
      <c r="I81" s="237">
        <f>VLOOKUP( $B81, T_Aop[], 4, 1)</f>
        <v>62</v>
      </c>
      <c r="J81" s="35">
        <f>SUBTOTAL( 9, J20:J80)</f>
        <v>2611579506</v>
      </c>
      <c r="K81" s="35">
        <f>SUBTOTAL( 9, K20:K80)</f>
        <v>1426608234</v>
      </c>
      <c r="L81" s="35">
        <f t="shared" si="0"/>
        <v>1184971272</v>
      </c>
      <c r="M81" s="37">
        <f>SUBTOTAL( 9, M20:M80)</f>
        <v>973573985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35" t="str">
        <f>VLOOKUP( $B82, T_Aop[], 6, 1)</f>
        <v xml:space="preserve">  Г. ГУБИТАК ИЗНАД ВИСИНЕ КАПИТАЛА</v>
      </c>
      <c r="E82" s="436"/>
      <c r="F82" s="436"/>
      <c r="G82" s="436"/>
      <c r="H82" s="437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39" t="str">
        <f>VLOOKUP( $B83, T_Aop[], 6, 1)</f>
        <v xml:space="preserve">  Д. ПОСЛОВНА АКТИВА (062 + 063)</v>
      </c>
      <c r="E83" s="440"/>
      <c r="F83" s="440"/>
      <c r="G83" s="440"/>
      <c r="H83" s="441"/>
      <c r="I83" s="237">
        <f>VLOOKUP( $B83, T_Aop[], 4, 1)</f>
        <v>64</v>
      </c>
      <c r="J83" s="35">
        <f>SUBTOTAL( 9, J20:J82)</f>
        <v>2611579506</v>
      </c>
      <c r="K83" s="35">
        <f>SUBTOTAL( 9, K20:K82)</f>
        <v>1426608234</v>
      </c>
      <c r="L83" s="35">
        <f t="shared" si="0"/>
        <v>1184971272</v>
      </c>
      <c r="M83" s="37">
        <f>SUBTOTAL( 9, M20:M82)</f>
        <v>973573985</v>
      </c>
      <c r="O83" s="60"/>
    </row>
    <row r="84" spans="2:15" x14ac:dyDescent="0.2">
      <c r="B84" s="17">
        <v>66</v>
      </c>
      <c r="C84" s="240" t="str">
        <f>VLOOKUP( $B84, T_Aop[], 5, 1)</f>
        <v>880 до 888</v>
      </c>
      <c r="D84" s="435" t="str">
        <f>VLOOKUP( $B84, T_Aop[], 6, 1)</f>
        <v xml:space="preserve">  Ђ. ВАНБИЛАНСНА АКТИВА</v>
      </c>
      <c r="E84" s="436"/>
      <c r="F84" s="436"/>
      <c r="G84" s="436"/>
      <c r="H84" s="437"/>
      <c r="I84" s="241">
        <f>VLOOKUP( $B84, T_Aop[], 4, 1)</f>
        <v>65</v>
      </c>
      <c r="J84" s="396">
        <v>392106969</v>
      </c>
      <c r="K84" s="330"/>
      <c r="L84" s="230">
        <f t="shared" si="0"/>
        <v>392106969</v>
      </c>
      <c r="M84" s="328">
        <v>250396558</v>
      </c>
      <c r="O84" s="60"/>
    </row>
    <row r="85" spans="2:15" x14ac:dyDescent="0.2">
      <c r="B85" s="17">
        <v>67</v>
      </c>
      <c r="C85" s="242">
        <f>VLOOKUP( $B85, T_Aop[], 5, 1)</f>
        <v>0</v>
      </c>
      <c r="D85" s="442" t="str">
        <f>VLOOKUP( $B85, T_Aop[], 6, 1)</f>
        <v xml:space="preserve">  Е. УКУПНА АКТИВА (064 + 065)</v>
      </c>
      <c r="E85" s="443"/>
      <c r="F85" s="443"/>
      <c r="G85" s="443"/>
      <c r="H85" s="444"/>
      <c r="I85" s="243">
        <f>VLOOKUP( $B85, T_Aop[], 4, 1)</f>
        <v>66</v>
      </c>
      <c r="J85" s="39">
        <f>SUBTOTAL( 9, J20:J84)</f>
        <v>3003686475</v>
      </c>
      <c r="K85" s="39">
        <f>SUBTOTAL( 9, K20:K84)</f>
        <v>1426608234</v>
      </c>
      <c r="L85" s="39">
        <f>SUM(J85,-K85)</f>
        <v>1577078241</v>
      </c>
      <c r="M85" s="40">
        <f>SUBTOTAL( 9, M20:M84)</f>
        <v>1223970543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24" t="str">
        <f>Tabele_zaglavlje_Grupa_racuna</f>
        <v>Групa рaчунa, рaчун</v>
      </c>
      <c r="D87" s="452" t="str">
        <f>Tabele_zaglavlje_Pozicija</f>
        <v>ПОЗИЦИЈА</v>
      </c>
      <c r="E87" s="453"/>
      <c r="F87" s="453"/>
      <c r="G87" s="453"/>
      <c r="H87" s="454"/>
      <c r="I87" s="426" t="str">
        <f>Tabele_zaglavlje_Oznaka_aop</f>
        <v>Oзнaкa зa AOП</v>
      </c>
      <c r="J87" s="458"/>
      <c r="K87" s="459"/>
      <c r="L87" s="428" t="str">
        <f>Tabele_zaglavlje_BS_iznos_tekuca</f>
        <v>Изнoс нa дaн билaнсa тeкућe гoдинe</v>
      </c>
      <c r="M87" s="450" t="str">
        <f>Tabele_zaglavlje_BS_iznos_prethodna</f>
        <v>Изнoс нa дaн билaнсa прeтхoднe гoдинe (ПС)</v>
      </c>
      <c r="O87" s="60"/>
    </row>
    <row r="88" spans="2:15" ht="39.75" customHeight="1" x14ac:dyDescent="0.2">
      <c r="B88" s="17"/>
      <c r="C88" s="425"/>
      <c r="D88" s="455"/>
      <c r="E88" s="456"/>
      <c r="F88" s="456"/>
      <c r="G88" s="456"/>
      <c r="H88" s="457"/>
      <c r="I88" s="427"/>
      <c r="J88" s="460"/>
      <c r="K88" s="461"/>
      <c r="L88" s="427"/>
      <c r="M88" s="451"/>
      <c r="O88" s="60"/>
    </row>
    <row r="89" spans="2:15" x14ac:dyDescent="0.2">
      <c r="B89" s="17"/>
      <c r="C89" s="48">
        <v>1</v>
      </c>
      <c r="D89" s="422">
        <v>2</v>
      </c>
      <c r="E89" s="438"/>
      <c r="F89" s="438"/>
      <c r="G89" s="438"/>
      <c r="H89" s="423"/>
      <c r="I89" s="307">
        <v>3</v>
      </c>
      <c r="J89" s="422"/>
      <c r="K89" s="423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45" t="str">
        <f>VLOOKUP( $B90, T_Aop[], 6, 1)</f>
        <v>ПАСИВА</v>
      </c>
      <c r="E90" s="445"/>
      <c r="F90" s="445"/>
      <c r="G90" s="445"/>
      <c r="H90" s="446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47" t="str">
        <f>VLOOKUP( $B91, T_Aop[], 6, 1)</f>
        <v xml:space="preserve">  А. КАПИТАЛ (102 - 109 + 110 - 111 + 112 + 116 + 117 - 118 + 119 - 123)</v>
      </c>
      <c r="E91" s="448"/>
      <c r="F91" s="448"/>
      <c r="G91" s="448"/>
      <c r="H91" s="449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686655009</v>
      </c>
      <c r="M91" s="320">
        <f>SUBTOTAL( 9, M92:M98, M100, M102:M107, M109:M112) - SUBTOTAL( 9, M99, M101, M108, M113:M115)</f>
        <v>661714620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39" t="str">
        <f>VLOOKUP( $B92, T_Aop[], 6, 1)</f>
        <v xml:space="preserve">    I - ОСНОВНИ КАПИТАЛ (103 до 108)</v>
      </c>
      <c r="E92" s="440"/>
      <c r="F92" s="440"/>
      <c r="G92" s="440"/>
      <c r="H92" s="441"/>
      <c r="I92" s="237">
        <f>VLOOKUP( $B92, T_Aop[], 4, 1)</f>
        <v>102</v>
      </c>
      <c r="J92" s="43"/>
      <c r="K92" s="44"/>
      <c r="L92" s="70">
        <f>SUBTOTAL( 9, L93:L98)</f>
        <v>491383755</v>
      </c>
      <c r="M92" s="71">
        <f>SUBTOTAL( 9, M93:M98)</f>
        <v>491383755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29" t="str">
        <f>VLOOKUP( $B93, T_Aop[], 6, 1)</f>
        <v xml:space="preserve">      1. Акцијски капитал</v>
      </c>
      <c r="E93" s="430"/>
      <c r="F93" s="430"/>
      <c r="G93" s="430"/>
      <c r="H93" s="431"/>
      <c r="I93" s="169">
        <f>VLOOKUP( $B93, T_Aop[], 4, 1)</f>
        <v>103</v>
      </c>
      <c r="J93" s="255"/>
      <c r="K93" s="256"/>
      <c r="L93" s="331">
        <v>491383755</v>
      </c>
      <c r="M93" s="332">
        <v>491383755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32" t="str">
        <f>VLOOKUP( $B94, T_Aop[], 6, 1)</f>
        <v xml:space="preserve">      2. Удјели друштва са ограниченом одговорношћу</v>
      </c>
      <c r="E94" s="433"/>
      <c r="F94" s="433"/>
      <c r="G94" s="433"/>
      <c r="H94" s="434"/>
      <c r="I94" s="167">
        <f>VLOOKUP( $B94, T_Aop[], 4, 1)</f>
        <v>104</v>
      </c>
      <c r="J94" s="253"/>
      <c r="K94" s="254"/>
      <c r="L94" s="333"/>
      <c r="M94" s="334"/>
      <c r="O94" s="60"/>
    </row>
    <row r="95" spans="2:15" x14ac:dyDescent="0.2">
      <c r="B95" s="17">
        <v>73</v>
      </c>
      <c r="C95" s="168">
        <f>VLOOKUP( $B95, T_Aop[], 5, 1)</f>
        <v>303</v>
      </c>
      <c r="D95" s="429" t="str">
        <f>VLOOKUP( $B95, T_Aop[], 6, 1)</f>
        <v xml:space="preserve">      3. Задружни удјели</v>
      </c>
      <c r="E95" s="430"/>
      <c r="F95" s="430"/>
      <c r="G95" s="430"/>
      <c r="H95" s="431"/>
      <c r="I95" s="169">
        <f>VLOOKUP( $B95, T_Aop[], 4, 1)</f>
        <v>105</v>
      </c>
      <c r="J95" s="255"/>
      <c r="K95" s="256"/>
      <c r="L95" s="331"/>
      <c r="M95" s="332"/>
      <c r="O95" s="60"/>
    </row>
    <row r="96" spans="2:15" x14ac:dyDescent="0.2">
      <c r="B96" s="17">
        <v>74</v>
      </c>
      <c r="C96" s="166">
        <f>VLOOKUP( $B96, T_Aop[], 5, 1)</f>
        <v>304</v>
      </c>
      <c r="D96" s="432" t="str">
        <f>VLOOKUP( $B96, T_Aop[], 6, 1)</f>
        <v xml:space="preserve">      4. Улози</v>
      </c>
      <c r="E96" s="433"/>
      <c r="F96" s="433"/>
      <c r="G96" s="433"/>
      <c r="H96" s="434"/>
      <c r="I96" s="167">
        <f>VLOOKUP( $B96, T_Aop[], 4, 1)</f>
        <v>106</v>
      </c>
      <c r="J96" s="253"/>
      <c r="K96" s="254"/>
      <c r="L96" s="333"/>
      <c r="M96" s="334"/>
      <c r="O96" s="60"/>
    </row>
    <row r="97" spans="2:15" x14ac:dyDescent="0.2">
      <c r="B97" s="17">
        <v>75</v>
      </c>
      <c r="C97" s="168">
        <f>VLOOKUP( $B97, T_Aop[], 5, 1)</f>
        <v>305</v>
      </c>
      <c r="D97" s="429" t="str">
        <f>VLOOKUP( $B97, T_Aop[], 6, 1)</f>
        <v xml:space="preserve">      5. Државни капитал</v>
      </c>
      <c r="E97" s="430"/>
      <c r="F97" s="430"/>
      <c r="G97" s="430"/>
      <c r="H97" s="431"/>
      <c r="I97" s="169">
        <f>VLOOKUP( $B97, T_Aop[], 4, 1)</f>
        <v>107</v>
      </c>
      <c r="J97" s="255"/>
      <c r="K97" s="256"/>
      <c r="L97" s="331"/>
      <c r="M97" s="332"/>
      <c r="O97" s="60"/>
    </row>
    <row r="98" spans="2:15" x14ac:dyDescent="0.2">
      <c r="B98" s="17">
        <v>76</v>
      </c>
      <c r="C98" s="166" t="str">
        <f>VLOOKUP( $B98, T_Aop[], 5, 1)</f>
        <v>309</v>
      </c>
      <c r="D98" s="432" t="str">
        <f>VLOOKUP( $B98, T_Aop[], 6, 1)</f>
        <v xml:space="preserve">      6. Остали основни капитал</v>
      </c>
      <c r="E98" s="433"/>
      <c r="F98" s="433"/>
      <c r="G98" s="433"/>
      <c r="H98" s="434"/>
      <c r="I98" s="167">
        <f>VLOOKUP( $B98, T_Aop[], 4, 1)</f>
        <v>108</v>
      </c>
      <c r="J98" s="253"/>
      <c r="K98" s="254"/>
      <c r="L98" s="333"/>
      <c r="M98" s="334"/>
      <c r="O98" s="60"/>
    </row>
    <row r="99" spans="2:15" x14ac:dyDescent="0.2">
      <c r="B99" s="17">
        <v>77</v>
      </c>
      <c r="C99" s="238">
        <f>VLOOKUP( $B99, T_Aop[], 5, 1)</f>
        <v>31</v>
      </c>
      <c r="D99" s="435" t="str">
        <f>VLOOKUP( $B99, T_Aop[], 6, 1)</f>
        <v xml:space="preserve">    II - УПИСАНИ НЕУПЛАЋЕНИ КАПИТАЛ</v>
      </c>
      <c r="E99" s="436"/>
      <c r="F99" s="436"/>
      <c r="G99" s="436"/>
      <c r="H99" s="437"/>
      <c r="I99" s="239">
        <f>VLOOKUP( $B99, T_Aop[], 4, 1)</f>
        <v>109</v>
      </c>
      <c r="J99" s="45"/>
      <c r="K99" s="46"/>
      <c r="L99" s="335"/>
      <c r="M99" s="336"/>
      <c r="O99" s="60"/>
    </row>
    <row r="100" spans="2:15" x14ac:dyDescent="0.2">
      <c r="B100" s="17">
        <v>78</v>
      </c>
      <c r="C100" s="236">
        <f>VLOOKUP( $B100, T_Aop[], 5, 1)</f>
        <v>320</v>
      </c>
      <c r="D100" s="439" t="str">
        <f>VLOOKUP( $B100, T_Aop[], 6, 1)</f>
        <v xml:space="preserve">    III - ЕМИСИОНА ПРЕМИЈА</v>
      </c>
      <c r="E100" s="440"/>
      <c r="F100" s="440"/>
      <c r="G100" s="440"/>
      <c r="H100" s="441"/>
      <c r="I100" s="237">
        <f>VLOOKUP( $B100, T_Aop[], 4, 1)</f>
        <v>110</v>
      </c>
      <c r="J100" s="43"/>
      <c r="K100" s="44"/>
      <c r="L100" s="337"/>
      <c r="M100" s="338"/>
      <c r="O100" s="60"/>
    </row>
    <row r="101" spans="2:15" x14ac:dyDescent="0.2">
      <c r="B101" s="17">
        <v>79</v>
      </c>
      <c r="C101" s="238">
        <f>VLOOKUP( $B101, T_Aop[], 5, 1)</f>
        <v>321</v>
      </c>
      <c r="D101" s="435" t="str">
        <f>VLOOKUP( $B101, T_Aop[], 6, 1)</f>
        <v xml:space="preserve">    IV - ЕМИСИОНИ ГУБИТАК</v>
      </c>
      <c r="E101" s="436"/>
      <c r="F101" s="436"/>
      <c r="G101" s="436"/>
      <c r="H101" s="437"/>
      <c r="I101" s="239">
        <f>VLOOKUP( $B101, T_Aop[], 4, 1)</f>
        <v>111</v>
      </c>
      <c r="J101" s="45"/>
      <c r="K101" s="46"/>
      <c r="L101" s="335"/>
      <c r="M101" s="336"/>
      <c r="O101" s="60"/>
    </row>
    <row r="102" spans="2:15" x14ac:dyDescent="0.2">
      <c r="B102" s="17">
        <v>80</v>
      </c>
      <c r="C102" s="236" t="str">
        <f>VLOOKUP( $B102, T_Aop[], 5, 1)</f>
        <v>дио 32</v>
      </c>
      <c r="D102" s="439" t="str">
        <f>VLOOKUP( $B102, T_Aop[], 6, 1)</f>
        <v xml:space="preserve">    V - РЕЗЕРВЕ (113 до 115)</v>
      </c>
      <c r="E102" s="440"/>
      <c r="F102" s="440"/>
      <c r="G102" s="440"/>
      <c r="H102" s="441"/>
      <c r="I102" s="237">
        <f>VLOOKUP( $B102, T_Aop[], 4, 1)</f>
        <v>112</v>
      </c>
      <c r="J102" s="43"/>
      <c r="K102" s="44"/>
      <c r="L102" s="70">
        <f>SUBTOTAL( 9, L103:L105)</f>
        <v>146933266</v>
      </c>
      <c r="M102" s="71">
        <f>SUBTOTAL( 9, M103:M105)</f>
        <v>146933266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29" t="str">
        <f>VLOOKUP( $B103, T_Aop[], 6, 1)</f>
        <v xml:space="preserve">      1. Законске резерве</v>
      </c>
      <c r="E103" s="430"/>
      <c r="F103" s="430"/>
      <c r="G103" s="430"/>
      <c r="H103" s="431"/>
      <c r="I103" s="169">
        <f>VLOOKUP( $B103, T_Aop[], 4, 1)</f>
        <v>113</v>
      </c>
      <c r="J103" s="255"/>
      <c r="K103" s="256"/>
      <c r="L103" s="331">
        <v>49141766</v>
      </c>
      <c r="M103" s="336">
        <v>49141766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32" t="str">
        <f>VLOOKUP( $B104, T_Aop[], 6, 1)</f>
        <v xml:space="preserve">      2. Статутарне резерве</v>
      </c>
      <c r="E104" s="433"/>
      <c r="F104" s="433"/>
      <c r="G104" s="433"/>
      <c r="H104" s="434"/>
      <c r="I104" s="167">
        <f>VLOOKUP( $B104, T_Aop[], 4, 1)</f>
        <v>114</v>
      </c>
      <c r="J104" s="253"/>
      <c r="K104" s="254"/>
      <c r="L104" s="333"/>
      <c r="M104" s="334"/>
      <c r="O104" s="60"/>
    </row>
    <row r="105" spans="2:15" x14ac:dyDescent="0.2">
      <c r="B105" s="17">
        <v>83</v>
      </c>
      <c r="C105" s="168">
        <f>VLOOKUP( $B105, T_Aop[], 5, 1)</f>
        <v>329</v>
      </c>
      <c r="D105" s="429" t="str">
        <f>VLOOKUP( $B105, T_Aop[], 6, 1)</f>
        <v xml:space="preserve">      3. Остале резерве</v>
      </c>
      <c r="E105" s="430"/>
      <c r="F105" s="430"/>
      <c r="G105" s="430"/>
      <c r="H105" s="431"/>
      <c r="I105" s="169">
        <f>VLOOKUP( $B105, T_Aop[], 4, 1)</f>
        <v>115</v>
      </c>
      <c r="J105" s="255"/>
      <c r="K105" s="256"/>
      <c r="L105" s="331">
        <v>97791500</v>
      </c>
      <c r="M105" s="336">
        <v>97791500</v>
      </c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39" t="str">
        <f>VLOOKUP( $B106, T_Aop[], 6, 1)</f>
        <v xml:space="preserve">    VI - РЕВАЛОРИЗАЦИОНЕ РЕЗЕРВЕ</v>
      </c>
      <c r="E106" s="440"/>
      <c r="F106" s="440"/>
      <c r="G106" s="440"/>
      <c r="H106" s="441"/>
      <c r="I106" s="237">
        <f>VLOOKUP( $B106, T_Aop[], 4, 1)</f>
        <v>116</v>
      </c>
      <c r="J106" s="43"/>
      <c r="K106" s="44"/>
      <c r="L106" s="337"/>
      <c r="M106" s="338"/>
      <c r="O106" s="60"/>
    </row>
    <row r="107" spans="2:15" x14ac:dyDescent="0.2">
      <c r="B107" s="17">
        <v>85</v>
      </c>
      <c r="C107" s="238">
        <f>VLOOKUP( $B107, T_Aop[], 5, 1)</f>
        <v>332</v>
      </c>
      <c r="D107" s="435" t="str">
        <f>VLOOKUP( $B107, T_Aop[], 6, 1)</f>
        <v xml:space="preserve">    VII - НЕРЕАЛИЗОВАНИ ДОБИЦИ ПО ОСНОВУ ФИНАНСИЈСКИХ СРЕДСТАВА РАСПОЛОЖИВИХ ЗА ПРОДАЈУ</v>
      </c>
      <c r="E107" s="436"/>
      <c r="F107" s="436"/>
      <c r="G107" s="436"/>
      <c r="H107" s="437"/>
      <c r="I107" s="239">
        <f>VLOOKUP( $B107, T_Aop[], 4, 1)</f>
        <v>117</v>
      </c>
      <c r="J107" s="45"/>
      <c r="K107" s="46"/>
      <c r="L107" s="335"/>
      <c r="M107" s="336"/>
      <c r="O107" s="60"/>
    </row>
    <row r="108" spans="2:15" x14ac:dyDescent="0.2">
      <c r="B108" s="17">
        <v>86</v>
      </c>
      <c r="C108" s="236">
        <f>VLOOKUP( $B108, T_Aop[], 5, 1)</f>
        <v>333</v>
      </c>
      <c r="D108" s="439" t="str">
        <f>VLOOKUP( $B108, T_Aop[], 6, 1)</f>
        <v xml:space="preserve">    VIII - НЕРЕАЛИЗОВАНИ ГУБИЦИ ПО ОСНОВУ ФИНАНСИЈСКИХ СРЕДСТАВА РАСПОЛОЖИВИХ ЗА ПРОДАЈУ</v>
      </c>
      <c r="E108" s="440"/>
      <c r="F108" s="440"/>
      <c r="G108" s="440"/>
      <c r="H108" s="441"/>
      <c r="I108" s="237">
        <f>VLOOKUP( $B108, T_Aop[], 4, 1)</f>
        <v>118</v>
      </c>
      <c r="J108" s="43"/>
      <c r="K108" s="44"/>
      <c r="L108" s="337">
        <v>741</v>
      </c>
      <c r="M108" s="338">
        <v>1212</v>
      </c>
      <c r="O108" s="60"/>
    </row>
    <row r="109" spans="2:15" x14ac:dyDescent="0.2">
      <c r="B109" s="17">
        <v>87</v>
      </c>
      <c r="C109" s="238">
        <f>VLOOKUP( $B109, T_Aop[], 5, 1)</f>
        <v>34</v>
      </c>
      <c r="D109" s="435" t="str">
        <f>VLOOKUP( $B109, T_Aop[], 6, 1)</f>
        <v xml:space="preserve">    IX - НЕРАСПОРЕЂЕНИ ДОБИТАК (120 до 122)</v>
      </c>
      <c r="E109" s="436"/>
      <c r="F109" s="436"/>
      <c r="G109" s="436"/>
      <c r="H109" s="437"/>
      <c r="I109" s="239">
        <f>VLOOKUP( $B109, T_Aop[], 4, 1)</f>
        <v>119</v>
      </c>
      <c r="J109" s="45"/>
      <c r="K109" s="46"/>
      <c r="L109" s="72">
        <f>SUBTOTAL( 9, L110:L112)</f>
        <v>63385739</v>
      </c>
      <c r="M109" s="73">
        <f>SUBTOTAL( 9, M110:M112)</f>
        <v>38309189</v>
      </c>
      <c r="O109" s="60"/>
    </row>
    <row r="110" spans="2:15" x14ac:dyDescent="0.2">
      <c r="B110" s="17">
        <v>88</v>
      </c>
      <c r="C110" s="166" t="str">
        <f>VLOOKUP( $B110, T_Aop[], 5, 1)</f>
        <v>340 или 342</v>
      </c>
      <c r="D110" s="432" t="str">
        <f>VLOOKUP( $B110, T_Aop[], 6, 1)</f>
        <v xml:space="preserve">      1. Нераспоређени добитак ранијих година / Нераспоређени вишак прихода над расходима ранијих година</v>
      </c>
      <c r="E110" s="433"/>
      <c r="F110" s="433"/>
      <c r="G110" s="433"/>
      <c r="H110" s="434"/>
      <c r="I110" s="167">
        <f>VLOOKUP( $B110, T_Aop[], 4, 1)</f>
        <v>120</v>
      </c>
      <c r="J110" s="253"/>
      <c r="K110" s="254"/>
      <c r="L110" s="333"/>
      <c r="M110" s="334"/>
      <c r="O110" s="60"/>
    </row>
    <row r="111" spans="2:15" x14ac:dyDescent="0.2">
      <c r="B111" s="17">
        <v>89</v>
      </c>
      <c r="C111" s="168" t="str">
        <f>VLOOKUP( $B111, T_Aop[], 5, 1)</f>
        <v>341 или 343</v>
      </c>
      <c r="D111" s="429" t="str">
        <f>VLOOKUP( $B111, T_Aop[], 6, 1)</f>
        <v xml:space="preserve">      2. Нераспоређени добитак текуће године / Нераспоређени вишак прихода над расходима текуће године</v>
      </c>
      <c r="E111" s="430"/>
      <c r="F111" s="430"/>
      <c r="G111" s="430"/>
      <c r="H111" s="431"/>
      <c r="I111" s="169">
        <f>VLOOKUP( $B111, T_Aop[], 4, 1)</f>
        <v>121</v>
      </c>
      <c r="J111" s="255"/>
      <c r="K111" s="256"/>
      <c r="L111" s="331">
        <v>63385739</v>
      </c>
      <c r="M111" s="332">
        <v>38309189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32" t="str">
        <f>VLOOKUP( $B112, T_Aop[], 6, 1)</f>
        <v xml:space="preserve">      3. Нето приход од самосталне дјелатности</v>
      </c>
      <c r="E112" s="433"/>
      <c r="F112" s="433"/>
      <c r="G112" s="433"/>
      <c r="H112" s="434"/>
      <c r="I112" s="167">
        <f>VLOOKUP( $B112, T_Aop[], 4, 1)</f>
        <v>122</v>
      </c>
      <c r="J112" s="253"/>
      <c r="K112" s="254"/>
      <c r="L112" s="333"/>
      <c r="M112" s="334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35" t="str">
        <f>VLOOKUP( $B113, T_Aop[], 6, 1)</f>
        <v xml:space="preserve">    X - GUBITAK DO VISINE KAPITALA (124 + 125)</v>
      </c>
      <c r="E113" s="436"/>
      <c r="F113" s="436"/>
      <c r="G113" s="436"/>
      <c r="H113" s="437"/>
      <c r="I113" s="239">
        <f>VLOOKUP( $B113, T_Aop[], 4, 1)</f>
        <v>123</v>
      </c>
      <c r="J113" s="45"/>
      <c r="K113" s="46"/>
      <c r="L113" s="72">
        <f>SUBTOTAL( 9, L114:L115)</f>
        <v>15047010</v>
      </c>
      <c r="M113" s="73">
        <f>SUBTOTAL( 9, M114:M115)</f>
        <v>14910378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32" t="str">
        <f>VLOOKUP( $B114, T_Aop[], 6, 1)</f>
        <v xml:space="preserve">      1. Губитак ранијих година</v>
      </c>
      <c r="E114" s="433"/>
      <c r="F114" s="433"/>
      <c r="G114" s="433"/>
      <c r="H114" s="434"/>
      <c r="I114" s="167">
        <f>VLOOKUP( $B114, T_Aop[], 4, 1)</f>
        <v>124</v>
      </c>
      <c r="J114" s="253"/>
      <c r="K114" s="254"/>
      <c r="L114" s="333">
        <v>15047010</v>
      </c>
      <c r="M114" s="334">
        <v>14910378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29" t="str">
        <f>VLOOKUP( $B115, T_Aop[], 6, 1)</f>
        <v xml:space="preserve">      2. Губитак текуће године</v>
      </c>
      <c r="E115" s="430"/>
      <c r="F115" s="430"/>
      <c r="G115" s="430"/>
      <c r="H115" s="431"/>
      <c r="I115" s="169">
        <f>VLOOKUP( $B115, T_Aop[], 4, 1)</f>
        <v>125</v>
      </c>
      <c r="J115" s="255"/>
      <c r="K115" s="256"/>
      <c r="L115" s="331"/>
      <c r="M115" s="332"/>
      <c r="O115" s="60"/>
    </row>
    <row r="116" spans="2:15" x14ac:dyDescent="0.2">
      <c r="B116" s="17">
        <v>94</v>
      </c>
      <c r="C116" s="236">
        <f>VLOOKUP( $B116, T_Aop[], 5, 1)</f>
        <v>40</v>
      </c>
      <c r="D116" s="439" t="str">
        <f>VLOOKUP( $B116, T_Aop[], 6, 1)</f>
        <v xml:space="preserve">  Б. РЕЗЕРВИСАЊА, ОДЛОЖЕНЕ ПОРЕСКЕ ОБАВЕЗЕ И РАЗГРАНИЧЕНИ ПРИХОДИ (127 до 134)</v>
      </c>
      <c r="E116" s="440"/>
      <c r="F116" s="440"/>
      <c r="G116" s="440"/>
      <c r="H116" s="441"/>
      <c r="I116" s="237">
        <f>VLOOKUP( $B116, T_Aop[], 4, 1)</f>
        <v>126</v>
      </c>
      <c r="J116" s="43"/>
      <c r="K116" s="44"/>
      <c r="L116" s="70">
        <f>SUBTOTAL( 9, L117:L124)</f>
        <v>11617316</v>
      </c>
      <c r="M116" s="71">
        <f>SUBTOTAL( 9, M117:M124)</f>
        <v>7479219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29" t="str">
        <f>VLOOKUP( $B117, T_Aop[], 6, 1)</f>
        <v xml:space="preserve">    1. Резервисања за трошкове у гарантном року</v>
      </c>
      <c r="E117" s="430"/>
      <c r="F117" s="430"/>
      <c r="G117" s="430"/>
      <c r="H117" s="431"/>
      <c r="I117" s="169">
        <f>VLOOKUP( $B117, T_Aop[], 4, 1)</f>
        <v>127</v>
      </c>
      <c r="J117" s="255"/>
      <c r="K117" s="256"/>
      <c r="L117" s="331"/>
      <c r="M117" s="332"/>
      <c r="O117" s="60"/>
    </row>
    <row r="118" spans="2:15" x14ac:dyDescent="0.2">
      <c r="B118" s="17">
        <v>96</v>
      </c>
      <c r="C118" s="166">
        <f>VLOOKUP( $B118, T_Aop[], 5, 1)</f>
        <v>401</v>
      </c>
      <c r="D118" s="432" t="str">
        <f>VLOOKUP( $B118, T_Aop[], 6, 1)</f>
        <v xml:space="preserve">    2. Резервисања за трошкове обнављања природних богатстава</v>
      </c>
      <c r="E118" s="433"/>
      <c r="F118" s="433"/>
      <c r="G118" s="433"/>
      <c r="H118" s="434"/>
      <c r="I118" s="167">
        <f>VLOOKUP( $B118, T_Aop[], 4, 1)</f>
        <v>128</v>
      </c>
      <c r="J118" s="253"/>
      <c r="K118" s="254"/>
      <c r="L118" s="333"/>
      <c r="M118" s="334"/>
      <c r="O118" s="60"/>
    </row>
    <row r="119" spans="2:15" x14ac:dyDescent="0.2">
      <c r="B119" s="17">
        <v>97</v>
      </c>
      <c r="C119" s="168">
        <f>VLOOKUP( $B119, T_Aop[], 5, 1)</f>
        <v>402</v>
      </c>
      <c r="D119" s="429" t="str">
        <f>VLOOKUP( $B119, T_Aop[], 6, 1)</f>
        <v xml:space="preserve">    3. Резервисања за задржане кауције и депозите</v>
      </c>
      <c r="E119" s="430"/>
      <c r="F119" s="430"/>
      <c r="G119" s="430"/>
      <c r="H119" s="431"/>
      <c r="I119" s="169">
        <f>VLOOKUP( $B119, T_Aop[], 4, 1)</f>
        <v>129</v>
      </c>
      <c r="J119" s="255"/>
      <c r="K119" s="256"/>
      <c r="L119" s="331"/>
      <c r="M119" s="332"/>
      <c r="O119" s="60"/>
    </row>
    <row r="120" spans="2:15" x14ac:dyDescent="0.2">
      <c r="B120" s="17">
        <v>98</v>
      </c>
      <c r="C120" s="166">
        <f>VLOOKUP( $B120, T_Aop[], 5, 1)</f>
        <v>403</v>
      </c>
      <c r="D120" s="432" t="str">
        <f>VLOOKUP( $B120, T_Aop[], 6, 1)</f>
        <v xml:space="preserve">    4. Резервисања за трошкове реструктурисања</v>
      </c>
      <c r="E120" s="433"/>
      <c r="F120" s="433"/>
      <c r="G120" s="433"/>
      <c r="H120" s="434"/>
      <c r="I120" s="167">
        <f>VLOOKUP( $B120, T_Aop[], 4, 1)</f>
        <v>130</v>
      </c>
      <c r="J120" s="253"/>
      <c r="K120" s="254"/>
      <c r="L120" s="333"/>
      <c r="M120" s="334"/>
      <c r="O120" s="60"/>
    </row>
    <row r="121" spans="2:15" x14ac:dyDescent="0.2">
      <c r="B121" s="17">
        <v>99</v>
      </c>
      <c r="C121" s="168">
        <f>VLOOKUP( $B121, T_Aop[], 5, 1)</f>
        <v>404</v>
      </c>
      <c r="D121" s="429" t="str">
        <f>VLOOKUP( $B121, T_Aop[], 6, 1)</f>
        <v xml:space="preserve">    5. Резервисања за накнаде и бенефиције запослених</v>
      </c>
      <c r="E121" s="430"/>
      <c r="F121" s="430"/>
      <c r="G121" s="430"/>
      <c r="H121" s="431"/>
      <c r="I121" s="169">
        <f>VLOOKUP( $B121, T_Aop[], 4, 1)</f>
        <v>131</v>
      </c>
      <c r="J121" s="255"/>
      <c r="K121" s="256"/>
      <c r="L121" s="331">
        <v>5664614</v>
      </c>
      <c r="M121" s="332">
        <v>6178375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32" t="str">
        <f>VLOOKUP( $B122, T_Aop[], 6, 1)</f>
        <v xml:space="preserve">    6. Одложене пореске обавезе</v>
      </c>
      <c r="E122" s="433"/>
      <c r="F122" s="433"/>
      <c r="G122" s="433"/>
      <c r="H122" s="434"/>
      <c r="I122" s="167">
        <f>VLOOKUP( $B122, T_Aop[], 4, 1)</f>
        <v>132</v>
      </c>
      <c r="J122" s="253"/>
      <c r="K122" s="254"/>
      <c r="L122" s="333">
        <v>5838918</v>
      </c>
      <c r="M122" s="334">
        <v>1091147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29" t="str">
        <f>VLOOKUP( $B123, T_Aop[], 6, 1)</f>
        <v xml:space="preserve">    7. Разграничени приходи и примљене донације</v>
      </c>
      <c r="E123" s="430"/>
      <c r="F123" s="430"/>
      <c r="G123" s="430"/>
      <c r="H123" s="431"/>
      <c r="I123" s="169">
        <f>VLOOKUP( $B123, T_Aop[], 4, 1)</f>
        <v>133</v>
      </c>
      <c r="J123" s="255"/>
      <c r="K123" s="256"/>
      <c r="L123" s="331">
        <v>52560</v>
      </c>
      <c r="M123" s="332">
        <v>61835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432" t="str">
        <f>VLOOKUP( $B124, T_Aop[], 6, 1)</f>
        <v xml:space="preserve">    8. Остала дугорочна резервисања</v>
      </c>
      <c r="E124" s="433"/>
      <c r="F124" s="433"/>
      <c r="G124" s="433"/>
      <c r="H124" s="434"/>
      <c r="I124" s="167">
        <f>VLOOKUP( $B124, T_Aop[], 4, 1)</f>
        <v>134</v>
      </c>
      <c r="J124" s="253"/>
      <c r="K124" s="254"/>
      <c r="L124" s="333">
        <v>61224</v>
      </c>
      <c r="M124" s="334">
        <v>147862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35" t="str">
        <f>VLOOKUP( $B125, T_Aop[], 6, 1)</f>
        <v xml:space="preserve">  В. ОБАВЕЗЕ (136 + 144)</v>
      </c>
      <c r="E125" s="436"/>
      <c r="F125" s="436"/>
      <c r="G125" s="436"/>
      <c r="H125" s="437"/>
      <c r="I125" s="239">
        <f>VLOOKUP( $B125, T_Aop[], 4, 1)</f>
        <v>135</v>
      </c>
      <c r="J125" s="45"/>
      <c r="K125" s="46"/>
      <c r="L125" s="72">
        <f>SUBTOTAL( 9, L126:L153)</f>
        <v>486698947</v>
      </c>
      <c r="M125" s="73">
        <f>SUBTOTAL( 9, M126:M153)</f>
        <v>304380146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39" t="str">
        <f>VLOOKUP( $B126, T_Aop[], 6, 1)</f>
        <v xml:space="preserve">    I - ДУГОРОЧНЕ ОБАВЕЗЕ (137 до 143)</v>
      </c>
      <c r="E126" s="440"/>
      <c r="F126" s="440"/>
      <c r="G126" s="440"/>
      <c r="H126" s="441"/>
      <c r="I126" s="237">
        <f>VLOOKUP( $B126, T_Aop[], 4, 1)</f>
        <v>136</v>
      </c>
      <c r="J126" s="43"/>
      <c r="K126" s="44"/>
      <c r="L126" s="70">
        <f>SUBTOTAL( 9, L127:L133)</f>
        <v>293132915</v>
      </c>
      <c r="M126" s="71">
        <f>SUBTOTAL( 9, M127:M133)</f>
        <v>165845532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29" t="str">
        <f>VLOOKUP( $B127, T_Aop[], 6, 1)</f>
        <v xml:space="preserve">      1. Обавезе које се могу конвертовати у капитал</v>
      </c>
      <c r="E127" s="430"/>
      <c r="F127" s="430"/>
      <c r="G127" s="430"/>
      <c r="H127" s="431"/>
      <c r="I127" s="169">
        <f>VLOOKUP( $B127, T_Aop[], 4, 1)</f>
        <v>137</v>
      </c>
      <c r="J127" s="255"/>
      <c r="K127" s="256"/>
      <c r="L127" s="331"/>
      <c r="M127" s="332"/>
      <c r="O127" s="60"/>
    </row>
    <row r="128" spans="2:15" x14ac:dyDescent="0.2">
      <c r="B128" s="17">
        <v>106</v>
      </c>
      <c r="C128" s="166">
        <f>VLOOKUP( $B128, T_Aop[], 5, 1)</f>
        <v>411</v>
      </c>
      <c r="D128" s="432" t="str">
        <f>VLOOKUP( $B128, T_Aop[], 6, 1)</f>
        <v xml:space="preserve">      2. Обавезе према повезаним правним лицима</v>
      </c>
      <c r="E128" s="433"/>
      <c r="F128" s="433"/>
      <c r="G128" s="433"/>
      <c r="H128" s="434"/>
      <c r="I128" s="167">
        <f>VLOOKUP( $B128, T_Aop[], 4, 1)</f>
        <v>138</v>
      </c>
      <c r="J128" s="253"/>
      <c r="K128" s="254"/>
      <c r="L128" s="333"/>
      <c r="M128" s="334"/>
      <c r="O128" s="60"/>
    </row>
    <row r="129" spans="2:15" x14ac:dyDescent="0.2">
      <c r="B129" s="17">
        <v>107</v>
      </c>
      <c r="C129" s="168">
        <f>VLOOKUP( $B129, T_Aop[], 5, 1)</f>
        <v>412</v>
      </c>
      <c r="D129" s="429" t="str">
        <f>VLOOKUP( $B129, T_Aop[], 6, 1)</f>
        <v xml:space="preserve">      3. Обавезе по емитованим дугорочним хартијама од вриједности</v>
      </c>
      <c r="E129" s="430"/>
      <c r="F129" s="430"/>
      <c r="G129" s="430"/>
      <c r="H129" s="431"/>
      <c r="I129" s="169">
        <f>VLOOKUP( $B129, T_Aop[], 4, 1)</f>
        <v>139</v>
      </c>
      <c r="J129" s="255"/>
      <c r="K129" s="256"/>
      <c r="L129" s="331"/>
      <c r="M129" s="332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32" t="str">
        <f>VLOOKUP( $B130, T_Aop[], 6, 1)</f>
        <v xml:space="preserve">      4. Дугорочни кредити</v>
      </c>
      <c r="E130" s="433"/>
      <c r="F130" s="433"/>
      <c r="G130" s="433"/>
      <c r="H130" s="434"/>
      <c r="I130" s="167">
        <f>VLOOKUP( $B130, T_Aop[], 4, 1)</f>
        <v>140</v>
      </c>
      <c r="J130" s="253"/>
      <c r="K130" s="254"/>
      <c r="L130" s="333">
        <v>232575955</v>
      </c>
      <c r="M130" s="334">
        <v>165845532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29" t="str">
        <f>VLOOKUP( $B131, T_Aop[], 6, 1)</f>
        <v xml:space="preserve">      5. Дугорочне обавезе по финансијском лизингу</v>
      </c>
      <c r="E131" s="430"/>
      <c r="F131" s="430"/>
      <c r="G131" s="430"/>
      <c r="H131" s="431"/>
      <c r="I131" s="169">
        <f>VLOOKUP( $B131, T_Aop[], 4, 1)</f>
        <v>141</v>
      </c>
      <c r="J131" s="255"/>
      <c r="K131" s="256"/>
      <c r="L131" s="331">
        <v>50502562</v>
      </c>
      <c r="M131" s="332"/>
      <c r="O131" s="60"/>
    </row>
    <row r="132" spans="2:15" x14ac:dyDescent="0.2">
      <c r="B132" s="17">
        <v>110</v>
      </c>
      <c r="C132" s="166">
        <f>VLOOKUP( $B132, T_Aop[], 5, 1)</f>
        <v>417</v>
      </c>
      <c r="D132" s="432" t="str">
        <f>VLOOKUP( $B132, T_Aop[], 6, 1)</f>
        <v xml:space="preserve">      6. Дугорочне обавезе по фер вриједности кроз биланс успјеха</v>
      </c>
      <c r="E132" s="433"/>
      <c r="F132" s="433"/>
      <c r="G132" s="433"/>
      <c r="H132" s="434"/>
      <c r="I132" s="167">
        <f>VLOOKUP( $B132, T_Aop[], 4, 1)</f>
        <v>142</v>
      </c>
      <c r="J132" s="253"/>
      <c r="K132" s="254"/>
      <c r="L132" s="333"/>
      <c r="M132" s="334"/>
      <c r="O132" s="60"/>
    </row>
    <row r="133" spans="2:15" x14ac:dyDescent="0.2">
      <c r="B133" s="17">
        <v>111</v>
      </c>
      <c r="C133" s="168">
        <f>VLOOKUP( $B133, T_Aop[], 5, 1)</f>
        <v>419</v>
      </c>
      <c r="D133" s="429" t="str">
        <f>VLOOKUP( $B133, T_Aop[], 6, 1)</f>
        <v xml:space="preserve">      7. Остале дугорочне обавезе</v>
      </c>
      <c r="E133" s="430"/>
      <c r="F133" s="430"/>
      <c r="G133" s="430"/>
      <c r="H133" s="431"/>
      <c r="I133" s="169">
        <f>VLOOKUP( $B133, T_Aop[], 4, 1)</f>
        <v>143</v>
      </c>
      <c r="J133" s="255"/>
      <c r="K133" s="256"/>
      <c r="L133" s="331">
        <v>10054398</v>
      </c>
      <c r="M133" s="332"/>
      <c r="O133" s="60"/>
    </row>
    <row r="134" spans="2:15" x14ac:dyDescent="0.2">
      <c r="B134" s="17">
        <v>112</v>
      </c>
      <c r="C134" s="236" t="str">
        <f>VLOOKUP( $B134, T_Aop[], 5, 1)</f>
        <v>42 до 49</v>
      </c>
      <c r="D134" s="439" t="str">
        <f>VLOOKUP( $B134, T_Aop[], 6, 1)</f>
        <v xml:space="preserve">    II - КРАТКОРОЧНЕ ОБАВЕЗЕ (145 + 150 + 156 + 157 + 158 + 159 + 160 + 161 + 162 + 163)</v>
      </c>
      <c r="E134" s="440"/>
      <c r="F134" s="440"/>
      <c r="G134" s="440"/>
      <c r="H134" s="441"/>
      <c r="I134" s="237">
        <f>VLOOKUP( $B134, T_Aop[], 4, 1)</f>
        <v>144</v>
      </c>
      <c r="J134" s="43"/>
      <c r="K134" s="44"/>
      <c r="L134" s="70">
        <f>SUBTOTAL( 9, L135:L153)</f>
        <v>193566032</v>
      </c>
      <c r="M134" s="71">
        <f>SUBTOTAL( 9, M135:M153)</f>
        <v>138534614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29" t="str">
        <f>VLOOKUP( $B135, T_Aop[], 6, 1)</f>
        <v xml:space="preserve">      1. Краткорочне финансијске обавезе (146 до 149)</v>
      </c>
      <c r="E135" s="430"/>
      <c r="F135" s="430"/>
      <c r="G135" s="430"/>
      <c r="H135" s="431"/>
      <c r="I135" s="169">
        <f>VLOOKUP( $B135, T_Aop[], 4, 1)</f>
        <v>145</v>
      </c>
      <c r="J135" s="255"/>
      <c r="K135" s="256"/>
      <c r="L135" s="212">
        <f>SUBTOTAL( 9, L136:L139)</f>
        <v>85943608</v>
      </c>
      <c r="M135" s="213">
        <f>SUBTOTAL( 9, M136:M139)</f>
        <v>32113243</v>
      </c>
      <c r="O135" s="60"/>
    </row>
    <row r="136" spans="2:15" x14ac:dyDescent="0.2">
      <c r="B136" s="17">
        <v>114</v>
      </c>
      <c r="C136" s="166" t="str">
        <f>VLOOKUP( $B136, T_Aop[], 5, 1)</f>
        <v>420 до 423</v>
      </c>
      <c r="D136" s="432" t="str">
        <f>VLOOKUP( $B136, T_Aop[], 6, 1)</f>
        <v xml:space="preserve">        а) Краткорочни кредити и обавезе по емитованим краткорочним хартијама од вриједности</v>
      </c>
      <c r="E136" s="433"/>
      <c r="F136" s="433"/>
      <c r="G136" s="433"/>
      <c r="H136" s="434"/>
      <c r="I136" s="167">
        <f>VLOOKUP( $B136, T_Aop[], 4, 1)</f>
        <v>146</v>
      </c>
      <c r="J136" s="257"/>
      <c r="K136" s="258"/>
      <c r="L136" s="333">
        <v>11758656</v>
      </c>
      <c r="M136" s="334">
        <v>804353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29" t="str">
        <f>VLOOKUP( $B137, T_Aop[], 6, 1)</f>
        <v xml:space="preserve">        б) Дио дугорочних финансијских обавеза који за плаћање доспијева у периоду до годину дана</v>
      </c>
      <c r="E137" s="430"/>
      <c r="F137" s="430"/>
      <c r="G137" s="430"/>
      <c r="H137" s="431"/>
      <c r="I137" s="169">
        <f>VLOOKUP( $B137, T_Aop[], 4, 1)</f>
        <v>147</v>
      </c>
      <c r="J137" s="255"/>
      <c r="K137" s="256"/>
      <c r="L137" s="331">
        <v>65833652</v>
      </c>
      <c r="M137" s="332">
        <v>31308890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32" t="str">
        <f>VLOOKUP( $B138, T_Aop[], 6, 1)</f>
        <v xml:space="preserve">        в) Краткорочне обавезе по фер вриједности кроз биланс успјеха</v>
      </c>
      <c r="E138" s="433"/>
      <c r="F138" s="433"/>
      <c r="G138" s="433"/>
      <c r="H138" s="434"/>
      <c r="I138" s="167">
        <f>VLOOKUP( $B138, T_Aop[], 4, 1)</f>
        <v>148</v>
      </c>
      <c r="J138" s="253"/>
      <c r="K138" s="254"/>
      <c r="L138" s="333"/>
      <c r="M138" s="334"/>
      <c r="O138" s="60"/>
    </row>
    <row r="139" spans="2:15" x14ac:dyDescent="0.2">
      <c r="B139" s="17">
        <v>117</v>
      </c>
      <c r="C139" s="168">
        <f>VLOOKUP( $B139, T_Aop[], 5, 1)</f>
        <v>429</v>
      </c>
      <c r="D139" s="429" t="str">
        <f>VLOOKUP( $B139, T_Aop[], 6, 1)</f>
        <v xml:space="preserve">        г) Остале краткорочне финансијске обавезе</v>
      </c>
      <c r="E139" s="430"/>
      <c r="F139" s="430"/>
      <c r="G139" s="430"/>
      <c r="H139" s="431"/>
      <c r="I139" s="169">
        <f>VLOOKUP( $B139, T_Aop[], 4, 1)</f>
        <v>149</v>
      </c>
      <c r="J139" s="255"/>
      <c r="K139" s="256"/>
      <c r="L139" s="331">
        <v>8351300</v>
      </c>
      <c r="M139" s="332"/>
      <c r="O139" s="60"/>
    </row>
    <row r="140" spans="2:15" x14ac:dyDescent="0.2">
      <c r="B140" s="17">
        <v>118</v>
      </c>
      <c r="C140" s="166">
        <f>VLOOKUP( $B140, T_Aop[], 5, 1)</f>
        <v>43</v>
      </c>
      <c r="D140" s="432" t="str">
        <f>VLOOKUP( $B140, T_Aop[], 6, 1)</f>
        <v xml:space="preserve">      2. Обавезе из пословања (151 до 155)</v>
      </c>
      <c r="E140" s="433"/>
      <c r="F140" s="433"/>
      <c r="G140" s="433"/>
      <c r="H140" s="434"/>
      <c r="I140" s="167">
        <f>VLOOKUP( $B140, T_Aop[], 4, 1)</f>
        <v>150</v>
      </c>
      <c r="J140" s="253"/>
      <c r="K140" s="254"/>
      <c r="L140" s="210">
        <f>SUBTOTAL( 9, L141:L145)</f>
        <v>64633103</v>
      </c>
      <c r="M140" s="211">
        <f>SUBTOTAL( 9, M141:M145)</f>
        <v>69826305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29" t="str">
        <f>VLOOKUP( $B141, T_Aop[], 6, 1)</f>
        <v xml:space="preserve">        а) Примљени аванси, депозити и кауције</v>
      </c>
      <c r="E141" s="430"/>
      <c r="F141" s="430"/>
      <c r="G141" s="430"/>
      <c r="H141" s="431"/>
      <c r="I141" s="169">
        <f>VLOOKUP( $B141, T_Aop[], 4, 1)</f>
        <v>151</v>
      </c>
      <c r="J141" s="255"/>
      <c r="K141" s="256"/>
      <c r="L141" s="331">
        <v>2075054</v>
      </c>
      <c r="M141" s="332">
        <v>2217775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32" t="str">
        <f>VLOOKUP( $B142, T_Aop[], 6, 1)</f>
        <v xml:space="preserve">        б) Добављачи - повезана правна лица</v>
      </c>
      <c r="E142" s="433"/>
      <c r="F142" s="433"/>
      <c r="G142" s="433"/>
      <c r="H142" s="434"/>
      <c r="I142" s="167">
        <f>VLOOKUP( $B142, T_Aop[], 4, 1)</f>
        <v>152</v>
      </c>
      <c r="J142" s="253"/>
      <c r="K142" s="254"/>
      <c r="L142" s="333">
        <v>6012909</v>
      </c>
      <c r="M142" s="334">
        <v>4280855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29" t="str">
        <f>VLOOKUP( $B143, T_Aop[], 6, 1)</f>
        <v xml:space="preserve">        в) Добављачи у земљи</v>
      </c>
      <c r="E143" s="430"/>
      <c r="F143" s="430"/>
      <c r="G143" s="430"/>
      <c r="H143" s="431"/>
      <c r="I143" s="169">
        <f>VLOOKUP( $B143, T_Aop[], 4, 1)</f>
        <v>153</v>
      </c>
      <c r="J143" s="255"/>
      <c r="K143" s="256"/>
      <c r="L143" s="331">
        <v>43856026</v>
      </c>
      <c r="M143" s="332">
        <v>54502228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32" t="str">
        <f>VLOOKUP( $B144, T_Aop[], 6, 1)</f>
        <v xml:space="preserve">        г) Добављачи из иностранства</v>
      </c>
      <c r="E144" s="433"/>
      <c r="F144" s="433"/>
      <c r="G144" s="433"/>
      <c r="H144" s="434"/>
      <c r="I144" s="167">
        <f>VLOOKUP( $B144, T_Aop[], 4, 1)</f>
        <v>154</v>
      </c>
      <c r="J144" s="253"/>
      <c r="K144" s="254"/>
      <c r="L144" s="333">
        <v>12220165</v>
      </c>
      <c r="M144" s="334">
        <v>8647295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29" t="str">
        <f>VLOOKUP( $B145, T_Aop[], 6, 1)</f>
        <v xml:space="preserve">        д) Остале обавезе из пословања</v>
      </c>
      <c r="E145" s="430"/>
      <c r="F145" s="430"/>
      <c r="G145" s="430"/>
      <c r="H145" s="431"/>
      <c r="I145" s="169">
        <f>VLOOKUP( $B145, T_Aop[], 4, 1)</f>
        <v>155</v>
      </c>
      <c r="J145" s="255"/>
      <c r="K145" s="256"/>
      <c r="L145" s="331">
        <v>468949</v>
      </c>
      <c r="M145" s="332">
        <v>178152</v>
      </c>
      <c r="O145" s="60"/>
    </row>
    <row r="146" spans="2:15" x14ac:dyDescent="0.2">
      <c r="B146" s="17">
        <v>124</v>
      </c>
      <c r="C146" s="166" t="str">
        <f>VLOOKUP( $B146, T_Aop[], 5, 1)</f>
        <v>440 до 449</v>
      </c>
      <c r="D146" s="432" t="str">
        <f>VLOOKUP( $B146, T_Aop[], 6, 1)</f>
        <v xml:space="preserve">      3. Обавезе из специфичних послова</v>
      </c>
      <c r="E146" s="433"/>
      <c r="F146" s="433"/>
      <c r="G146" s="433"/>
      <c r="H146" s="434"/>
      <c r="I146" s="167">
        <f>VLOOKUP( $B146, T_Aop[], 4, 1)</f>
        <v>156</v>
      </c>
      <c r="J146" s="253"/>
      <c r="K146" s="254"/>
      <c r="L146" s="333">
        <v>7902</v>
      </c>
      <c r="M146" s="334">
        <v>169307</v>
      </c>
      <c r="O146" s="60"/>
    </row>
    <row r="147" spans="2:15" x14ac:dyDescent="0.2">
      <c r="B147" s="17">
        <v>125</v>
      </c>
      <c r="C147" s="168" t="str">
        <f>VLOOKUP( $B147, T_Aop[], 5, 1)</f>
        <v>450 до 458</v>
      </c>
      <c r="D147" s="429" t="str">
        <f>VLOOKUP( $B147, T_Aop[], 6, 1)</f>
        <v xml:space="preserve">      4. Обавезе за зараде и накнаде зарада</v>
      </c>
      <c r="E147" s="430"/>
      <c r="F147" s="430"/>
      <c r="G147" s="430"/>
      <c r="H147" s="431"/>
      <c r="I147" s="169">
        <f>VLOOKUP( $B147, T_Aop[], 4, 1)</f>
        <v>157</v>
      </c>
      <c r="J147" s="255"/>
      <c r="K147" s="256"/>
      <c r="L147" s="331">
        <v>6383437</v>
      </c>
      <c r="M147" s="332">
        <v>478032</v>
      </c>
      <c r="O147" s="60"/>
    </row>
    <row r="148" spans="2:15" x14ac:dyDescent="0.2">
      <c r="B148" s="17">
        <v>126</v>
      </c>
      <c r="C148" s="166" t="str">
        <f>VLOOKUP( $B148, T_Aop[], 5, 1)</f>
        <v>460 до 469</v>
      </c>
      <c r="D148" s="432" t="str">
        <f>VLOOKUP( $B148, T_Aop[], 6, 1)</f>
        <v xml:space="preserve">      5. Друге обавезе</v>
      </c>
      <c r="E148" s="433"/>
      <c r="F148" s="433"/>
      <c r="G148" s="433"/>
      <c r="H148" s="434"/>
      <c r="I148" s="167">
        <f>VLOOKUP( $B148, T_Aop[], 4, 1)</f>
        <v>158</v>
      </c>
      <c r="J148" s="253"/>
      <c r="K148" s="254"/>
      <c r="L148" s="333">
        <v>6342766</v>
      </c>
      <c r="M148" s="334">
        <v>10176053</v>
      </c>
      <c r="O148" s="60"/>
    </row>
    <row r="149" spans="2:15" x14ac:dyDescent="0.2">
      <c r="B149" s="17">
        <v>127</v>
      </c>
      <c r="C149" s="168" t="str">
        <f>VLOOKUP( $B149, T_Aop[], 5, 1)</f>
        <v>470 до 479</v>
      </c>
      <c r="D149" s="429" t="str">
        <f>VLOOKUP( $B149, T_Aop[], 6, 1)</f>
        <v xml:space="preserve">      6. Порез на додату вриједност</v>
      </c>
      <c r="E149" s="430"/>
      <c r="F149" s="430"/>
      <c r="G149" s="430"/>
      <c r="H149" s="431"/>
      <c r="I149" s="169">
        <f>VLOOKUP( $B149, T_Aop[], 4, 1)</f>
        <v>159</v>
      </c>
      <c r="J149" s="255"/>
      <c r="K149" s="256"/>
      <c r="L149" s="331">
        <v>3493222</v>
      </c>
      <c r="M149" s="332">
        <v>3433799</v>
      </c>
      <c r="O149" s="60"/>
    </row>
    <row r="150" spans="2:15" x14ac:dyDescent="0.2">
      <c r="B150" s="17">
        <v>128</v>
      </c>
      <c r="C150" s="166" t="str">
        <f>VLOOKUP( $B150, T_Aop[], 5, 1)</f>
        <v>48, осим 481</v>
      </c>
      <c r="D150" s="432" t="str">
        <f>VLOOKUP( $B150, T_Aop[], 6, 1)</f>
        <v xml:space="preserve">      7. Обавезе за остале порезе, доприносе и друге дажбине</v>
      </c>
      <c r="E150" s="433"/>
      <c r="F150" s="433"/>
      <c r="G150" s="433"/>
      <c r="H150" s="434"/>
      <c r="I150" s="167">
        <f>VLOOKUP( $B150, T_Aop[], 4, 1)</f>
        <v>160</v>
      </c>
      <c r="J150" s="253"/>
      <c r="K150" s="254"/>
      <c r="L150" s="333">
        <v>169275</v>
      </c>
      <c r="M150" s="334">
        <v>257798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29" t="str">
        <f>VLOOKUP( $B151, T_Aop[], 6, 1)</f>
        <v xml:space="preserve">      8. Обавезе за порез на добитак</v>
      </c>
      <c r="E151" s="430"/>
      <c r="F151" s="430"/>
      <c r="G151" s="430"/>
      <c r="H151" s="431"/>
      <c r="I151" s="169">
        <f>VLOOKUP( $B151, T_Aop[], 4, 1)</f>
        <v>161</v>
      </c>
      <c r="J151" s="255"/>
      <c r="K151" s="256"/>
      <c r="L151" s="331">
        <v>21698</v>
      </c>
      <c r="M151" s="332">
        <v>366094</v>
      </c>
      <c r="O151" s="60"/>
    </row>
    <row r="152" spans="2:15" x14ac:dyDescent="0.2">
      <c r="B152" s="17">
        <v>130</v>
      </c>
      <c r="C152" s="166" t="str">
        <f>VLOOKUP( $B152, T_Aop[], 5, 1)</f>
        <v>49, осим 495</v>
      </c>
      <c r="D152" s="432" t="str">
        <f>VLOOKUP( $B152, T_Aop[], 6, 1)</f>
        <v xml:space="preserve">      9. Пасивна временска разграничења и краткорочна резервисања</v>
      </c>
      <c r="E152" s="433"/>
      <c r="F152" s="433"/>
      <c r="G152" s="433"/>
      <c r="H152" s="434"/>
      <c r="I152" s="167">
        <f>VLOOKUP( $B152, T_Aop[], 4, 1)</f>
        <v>162</v>
      </c>
      <c r="J152" s="253"/>
      <c r="K152" s="254"/>
      <c r="L152" s="333">
        <v>26571021</v>
      </c>
      <c r="M152" s="334">
        <v>21713983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29" t="str">
        <f>VLOOKUP( $B153, T_Aop[], 6, 1)</f>
        <v xml:space="preserve">      10. Одложене пореске обавезе</v>
      </c>
      <c r="E153" s="430"/>
      <c r="F153" s="430"/>
      <c r="G153" s="430"/>
      <c r="H153" s="431"/>
      <c r="I153" s="169">
        <f>VLOOKUP( $B153, T_Aop[], 4, 1)</f>
        <v>163</v>
      </c>
      <c r="J153" s="255"/>
      <c r="K153" s="256"/>
      <c r="L153" s="331">
        <v>0</v>
      </c>
      <c r="M153" s="332"/>
      <c r="O153" s="60"/>
    </row>
    <row r="154" spans="2:15" x14ac:dyDescent="0.2">
      <c r="B154" s="17">
        <v>132</v>
      </c>
      <c r="C154" s="236">
        <f>VLOOKUP( $B154, T_Aop[], 5, 1)</f>
        <v>0</v>
      </c>
      <c r="D154" s="439" t="str">
        <f>VLOOKUP( $B154, T_Aop[], 6, 1)</f>
        <v xml:space="preserve">  Г. ПОСЛОВНА ПАСИВА (101 + 126 + 135)</v>
      </c>
      <c r="E154" s="440"/>
      <c r="F154" s="440"/>
      <c r="G154" s="440"/>
      <c r="H154" s="441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1184971272</v>
      </c>
      <c r="M154" s="71">
        <f>SUBTOTAL( 9, M91:M98, M100, M102:M107, M109:M112, M116:M153) - SUBTOTAL( 9, M99, M101, M108, M113:M115)</f>
        <v>973573985</v>
      </c>
      <c r="O154" s="60"/>
    </row>
    <row r="155" spans="2:15" x14ac:dyDescent="0.2">
      <c r="B155" s="17">
        <v>133</v>
      </c>
      <c r="C155" s="238" t="str">
        <f>VLOOKUP( $B155, T_Aop[], 5, 1)</f>
        <v>890 до 898</v>
      </c>
      <c r="D155" s="435" t="str">
        <f>VLOOKUP( $B155, T_Aop[], 6, 1)</f>
        <v xml:space="preserve">  Д. ВАНБИЛАНСНА ПАСИВА</v>
      </c>
      <c r="E155" s="436"/>
      <c r="F155" s="436"/>
      <c r="G155" s="436"/>
      <c r="H155" s="437"/>
      <c r="I155" s="239">
        <f>VLOOKUP( $B155, T_Aop[], 4, 1)</f>
        <v>165</v>
      </c>
      <c r="J155" s="45"/>
      <c r="K155" s="46"/>
      <c r="L155" s="389">
        <v>392106969</v>
      </c>
      <c r="M155" s="336">
        <v>250396558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42" t="str">
        <f>VLOOKUP( $B156, T_Aop[], 6, 1)</f>
        <v xml:space="preserve">  Ђ. УКУПНА ПАСИВА (164 + 165)</v>
      </c>
      <c r="E156" s="443"/>
      <c r="F156" s="443"/>
      <c r="G156" s="443"/>
      <c r="H156" s="444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1577078241</v>
      </c>
      <c r="M156" s="268">
        <f>SUBTOTAL( 9, M91:M98, M100, M102:M107, M109:M112, M116:M155) - SUBTOTAL( 9, M99, M101, M108, M113:M115)</f>
        <v>1223970543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У</v>
      </c>
      <c r="D158" s="269" t="str">
        <f>Podatak_U</f>
        <v>Бањој Луци</v>
      </c>
      <c r="E158" s="280"/>
      <c r="F158" s="173"/>
      <c r="G158" s="173"/>
      <c r="H158" s="173"/>
      <c r="J158" s="154" t="str">
        <f>Podnozje_Lice_sa_licencom</f>
        <v>Лицe сa лицeнцoм:</v>
      </c>
      <c r="K158" s="270" t="str">
        <f>Podatak_Lice_sa_licencom</f>
        <v>Весна Гудураш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(M.П.)</v>
      </c>
      <c r="I159" s="15"/>
      <c r="J159"/>
      <c r="K159"/>
    </row>
    <row r="160" spans="2:15" x14ac:dyDescent="0.2">
      <c r="C160" s="272" t="str">
        <f>Podnozje_Dana</f>
        <v>Датум:</v>
      </c>
      <c r="D160" s="270" t="str">
        <f>Podatak_Dana</f>
        <v>31.10.2019.</v>
      </c>
      <c r="E160" s="175"/>
      <c r="F160" s="173"/>
      <c r="G160" s="173"/>
      <c r="H160" s="182"/>
      <c r="J160" s="154" t="str">
        <f>Podnozje_Direktor</f>
        <v>Лице овлашћено за заступање:</v>
      </c>
      <c r="K160" s="270" t="str">
        <f>Podatak_Direktor</f>
        <v>Марко Лопичић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="85" zoomScaleNormal="85" zoomScaleSheetLayoutView="100" workbookViewId="0">
      <pane ySplit="4" topLeftCell="A5" activePane="bottomLeft" state="frozen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Maтични брoj:</v>
      </c>
      <c r="D5" s="493" t="str">
        <f>Podatak_MB</f>
        <v>1772902</v>
      </c>
      <c r="E5" s="493"/>
      <c r="I5" s="17" t="str">
        <f>Zaglavlje_Ziro_racun</f>
        <v>Пословни рачуни:</v>
      </c>
      <c r="J5" s="489" t="str">
        <f>Podatak_Ziro_racun_1</f>
        <v>562-099-00004057-60</v>
      </c>
      <c r="K5" s="489"/>
    </row>
    <row r="6" spans="3:13" ht="12.75" customHeight="1" x14ac:dyDescent="0.2">
      <c r="C6" s="16" t="str">
        <f>Zaglavlje_Sifra_djelatnosti</f>
        <v>Шифрa дjeлaтн.</v>
      </c>
      <c r="D6" s="493" t="str">
        <f>Podatak_Sifra_djelatnosti</f>
        <v>61.10</v>
      </c>
      <c r="E6" s="493"/>
      <c r="F6" s="9"/>
      <c r="J6" s="489" t="str">
        <f>Podatak_Ziro_racun_2</f>
        <v>551-001-00000027-45</v>
      </c>
      <c r="K6" s="489"/>
    </row>
    <row r="7" spans="3:13" ht="12.75" customHeight="1" x14ac:dyDescent="0.2">
      <c r="C7" s="494" t="str">
        <f>Zaglavlje_Naziv_preduzeca</f>
        <v>Нaзив приврeднoг друштвa, зaдругe, другoг прaвнoг лицa или прeдузeтникa:</v>
      </c>
      <c r="D7" s="494"/>
      <c r="E7" s="494"/>
      <c r="F7" s="19"/>
      <c r="J7" s="489" t="str">
        <f>Podatak_Ziro_racun_3</f>
        <v>154-921-20007335-38</v>
      </c>
      <c r="K7" s="489"/>
    </row>
    <row r="8" spans="3:13" ht="12.75" customHeight="1" x14ac:dyDescent="0.2">
      <c r="C8" s="494"/>
      <c r="D8" s="494"/>
      <c r="E8" s="494"/>
      <c r="F8" s="19"/>
      <c r="J8" s="489" t="str">
        <f>Podatak_Ziro_racun_4</f>
        <v>571-010-00000981-31</v>
      </c>
      <c r="K8" s="489"/>
    </row>
    <row r="9" spans="3:13" ht="12.75" customHeight="1" x14ac:dyDescent="0.2">
      <c r="C9" s="496" t="str">
        <f>Podatak_Naziv_preduzeca</f>
        <v>"Мтел" а.д.</v>
      </c>
      <c r="D9" s="496"/>
      <c r="E9" s="496"/>
      <c r="F9" s="496"/>
      <c r="J9" s="489" t="str">
        <f>Podatak_Ziro_racun_5</f>
        <v/>
      </c>
      <c r="K9" s="489"/>
    </row>
    <row r="10" spans="3:13" ht="12.75" customHeight="1" x14ac:dyDescent="0.2">
      <c r="C10" s="16" t="str">
        <f>Zaglavlje_Sjediste</f>
        <v>Сjeдиштe:</v>
      </c>
      <c r="D10" s="493" t="str">
        <f>Podatak_Sjediste</f>
        <v>Бања Лука</v>
      </c>
      <c r="E10" s="493"/>
      <c r="F10" s="16"/>
      <c r="J10" s="489" t="str">
        <f>Podatak_Ziro_racun_6</f>
        <v/>
      </c>
      <c r="K10" s="489"/>
    </row>
    <row r="11" spans="3:13" ht="12.75" customHeight="1" x14ac:dyDescent="0.2">
      <c r="C11" s="16" t="str">
        <f>Zaglavlje_JIB</f>
        <v>JИБ:</v>
      </c>
      <c r="D11" s="493" t="str">
        <f>Podatak_JIB</f>
        <v>4400964000002</v>
      </c>
      <c r="E11" s="493"/>
      <c r="F11" s="20"/>
      <c r="G11" s="20"/>
      <c r="H11" s="20"/>
      <c r="I11" s="20"/>
      <c r="J11"/>
      <c r="K11"/>
    </row>
    <row r="12" spans="3:13" ht="15.75" customHeight="1" x14ac:dyDescent="0.2">
      <c r="C12" s="476" t="str">
        <f>IF( Id_Konsolidovani, Nazivi_bilansa_Konsolidovani_naziv &amp; LOWER( Nazivi_bilansa_BUa), Nazivi_bilansa_BUa)</f>
        <v>Кoнсoлидoвaни билaнс успjeхa</v>
      </c>
      <c r="D12" s="476"/>
      <c r="E12" s="476"/>
      <c r="F12" s="476"/>
      <c r="G12" s="476"/>
      <c r="H12" s="476"/>
      <c r="I12" s="476"/>
      <c r="J12" s="476"/>
      <c r="K12" s="476"/>
      <c r="L12" s="54"/>
    </row>
    <row r="13" spans="3:13" ht="12.75" customHeight="1" x14ac:dyDescent="0.2">
      <c r="C13" s="492" t="str">
        <f>Nazivi_bilansa_BUa1</f>
        <v>(Извjeштaj o укупнoм рeзултaту у пeриoду)</v>
      </c>
      <c r="D13" s="492"/>
      <c r="E13" s="492"/>
      <c r="F13" s="492"/>
      <c r="G13" s="492"/>
      <c r="H13" s="492"/>
      <c r="I13" s="492"/>
      <c r="J13" s="492"/>
      <c r="K13" s="492"/>
      <c r="L13" s="54"/>
    </row>
    <row r="14" spans="3:13" ht="12.75" customHeight="1" x14ac:dyDescent="0.2">
      <c r="C14" s="492" t="str">
        <f>Datumi_Datum_BU</f>
        <v>зa пeриoд oд 01.01. дo 30.09.2019. гoдинe</v>
      </c>
      <c r="D14" s="492"/>
      <c r="E14" s="492"/>
      <c r="F14" s="492"/>
      <c r="G14" s="492"/>
      <c r="H14" s="492"/>
      <c r="I14" s="492"/>
      <c r="J14" s="492"/>
      <c r="K14" s="49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у кoнвeртибилним мaркaмa -</v>
      </c>
    </row>
    <row r="16" spans="3:13" ht="12.75" customHeight="1" x14ac:dyDescent="0.2">
      <c r="C16" s="490" t="str">
        <f>Tabele_zaglavlje_Grupa_racuna</f>
        <v>Групa рaчунa, рaчун</v>
      </c>
      <c r="D16" s="481" t="str">
        <f>Tabele_zaglavlje_Pozicija</f>
        <v>ПОЗИЦИЈА</v>
      </c>
      <c r="E16" s="481"/>
      <c r="F16" s="481"/>
      <c r="G16" s="481"/>
      <c r="H16" s="481"/>
      <c r="I16" s="479" t="str">
        <f>Tabele_zaglavlje_Oznaka_aop</f>
        <v>Oзнaкa зa AOП</v>
      </c>
      <c r="J16" s="481" t="str">
        <f>Tabele_zaglavlje_Iznos</f>
        <v>Изнoс</v>
      </c>
      <c r="K16" s="482"/>
      <c r="M16" s="57"/>
    </row>
    <row r="17" spans="2:15" ht="25.5" customHeight="1" x14ac:dyDescent="0.2">
      <c r="C17" s="491"/>
      <c r="D17" s="495"/>
      <c r="E17" s="495"/>
      <c r="F17" s="495"/>
      <c r="G17" s="495"/>
      <c r="H17" s="495"/>
      <c r="I17" s="480"/>
      <c r="J17" s="58" t="str">
        <f>Tabele_zaglavlje_Tekuca_godina</f>
        <v>Teкућa гoдинa</v>
      </c>
      <c r="K17" s="59" t="str">
        <f>Tabele_zaglavlje_Prethodna_godina</f>
        <v>Прeтхoднa гoдинa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97">
        <v>2</v>
      </c>
      <c r="E18" s="497"/>
      <c r="F18" s="497"/>
      <c r="G18" s="497"/>
      <c r="H18" s="497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98" t="str">
        <f>VLOOKUP( $B19, T_Aop[], 6, 1)</f>
        <v>А. ПОСЛОВНИ ПРИХОДИ И РАСХОДИ</v>
      </c>
      <c r="E19" s="498"/>
      <c r="F19" s="498"/>
      <c r="G19" s="498"/>
      <c r="H19" s="498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83" t="str">
        <f>VLOOKUP( $B20, T_Aop[], 6, 1)</f>
        <v xml:space="preserve">    I - ПОСЛОВНИ ПРИХОДИ (202 + 206 + 210 + 211 - 212 + 213 - 214 + 215)</v>
      </c>
      <c r="E20" s="483"/>
      <c r="F20" s="483"/>
      <c r="G20" s="483"/>
      <c r="H20" s="483"/>
      <c r="I20" s="265">
        <f>VLOOKUP( $B20, T_Aop[], 4, 1)</f>
        <v>201</v>
      </c>
      <c r="J20" s="84">
        <f>SUBTOTAL( 9, J21:J30, J32, J34) - SUBTOTAL( 9, J31, J33)</f>
        <v>350403321</v>
      </c>
      <c r="K20" s="85">
        <f>SUBTOTAL( 9, K21:K30, K32, K34) - SUBTOTAL( 9, K31, K33)</f>
        <v>327768045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77" t="str">
        <f>VLOOKUP( $B21, T_Aop[], 6, 1)</f>
        <v xml:space="preserve">      1. Приходи од продаје робе (203 до 205)</v>
      </c>
      <c r="E21" s="477"/>
      <c r="F21" s="477"/>
      <c r="G21" s="477"/>
      <c r="H21" s="477"/>
      <c r="I21" s="264">
        <f>VLOOKUP( $B21, T_Aop[], 4, 1)</f>
        <v>202</v>
      </c>
      <c r="J21" s="205">
        <f>SUBTOTAL( 9, J22:J24)</f>
        <v>1999279</v>
      </c>
      <c r="K21" s="207">
        <f>SUBTOTAL( 9, K22:K24)</f>
        <v>1627337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84" t="str">
        <f>VLOOKUP( $B22, T_Aop[], 6, 1)</f>
        <v xml:space="preserve">        а) Приходи од продаје робе повезаним правним лицима</v>
      </c>
      <c r="E22" s="484"/>
      <c r="F22" s="484"/>
      <c r="G22" s="484"/>
      <c r="H22" s="484"/>
      <c r="I22" s="263">
        <f>VLOOKUP( $B22, T_Aop[], 4, 1)</f>
        <v>203</v>
      </c>
      <c r="J22" s="215">
        <v>1198812</v>
      </c>
      <c r="K22" s="216">
        <v>917887</v>
      </c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77" t="str">
        <f>VLOOKUP( $B23, T_Aop[], 6, 1)</f>
        <v xml:space="preserve">        б) Приходи од продаје робе на домаћем тржишту</v>
      </c>
      <c r="E23" s="477"/>
      <c r="F23" s="477"/>
      <c r="G23" s="477"/>
      <c r="H23" s="477"/>
      <c r="I23" s="264">
        <f>VLOOKUP( $B23, T_Aop[], 4, 1)</f>
        <v>204</v>
      </c>
      <c r="J23" s="217">
        <v>800467</v>
      </c>
      <c r="K23" s="386">
        <v>709450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84" t="str">
        <f>VLOOKUP( $B24, T_Aop[], 6, 1)</f>
        <v xml:space="preserve">        в) Приходи од продаје робе на иностраном тржишту</v>
      </c>
      <c r="E24" s="484"/>
      <c r="F24" s="484"/>
      <c r="G24" s="484"/>
      <c r="H24" s="484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77" t="str">
        <f>VLOOKUP( $B25, T_Aop[], 6, 1)</f>
        <v xml:space="preserve">      2. Приходи од продаје учинака (207 до 209)</v>
      </c>
      <c r="E25" s="477"/>
      <c r="F25" s="477"/>
      <c r="G25" s="477"/>
      <c r="H25" s="477"/>
      <c r="I25" s="264">
        <f>VLOOKUP( $B25, T_Aop[], 4, 1)</f>
        <v>206</v>
      </c>
      <c r="J25" s="205">
        <f>SUBTOTAL( 9, J26:J28)</f>
        <v>344927658</v>
      </c>
      <c r="K25" s="207">
        <f>SUBTOTAL( 9, K26:K28)</f>
        <v>323377842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84" t="str">
        <f>VLOOKUP( $B26, T_Aop[], 6, 1)</f>
        <v xml:space="preserve">        а) Приходи од продаје учинака повезаним правним лицима</v>
      </c>
      <c r="E26" s="484"/>
      <c r="F26" s="484"/>
      <c r="G26" s="484"/>
      <c r="H26" s="484"/>
      <c r="I26" s="263">
        <f>VLOOKUP( $B26, T_Aop[], 4, 1)</f>
        <v>207</v>
      </c>
      <c r="J26" s="215">
        <v>23802656</v>
      </c>
      <c r="K26" s="216">
        <v>19526617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77" t="str">
        <f>VLOOKUP( $B27, T_Aop[], 6, 1)</f>
        <v xml:space="preserve">        б) Приходи од продаје учинака на домаћем тржишту</v>
      </c>
      <c r="E27" s="477"/>
      <c r="F27" s="477"/>
      <c r="G27" s="477"/>
      <c r="H27" s="477"/>
      <c r="I27" s="264">
        <f>VLOOKUP( $B27, T_Aop[], 4, 1)</f>
        <v>208</v>
      </c>
      <c r="J27" s="217">
        <v>309616561</v>
      </c>
      <c r="K27" s="218">
        <v>295946205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84" t="str">
        <f>VLOOKUP( $B28, T_Aop[], 6, 1)</f>
        <v xml:space="preserve">        в) Приходи од продаје учинака на иностраном тржишту</v>
      </c>
      <c r="E28" s="484"/>
      <c r="F28" s="484"/>
      <c r="G28" s="484"/>
      <c r="H28" s="484"/>
      <c r="I28" s="263">
        <f>VLOOKUP( $B28, T_Aop[], 4, 1)</f>
        <v>209</v>
      </c>
      <c r="J28" s="215">
        <v>11508441</v>
      </c>
      <c r="K28" s="216">
        <v>7905020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77" t="str">
        <f>VLOOKUP( $B29, T_Aop[], 6, 1)</f>
        <v xml:space="preserve">      3. Приходи од активирања или потрошње робе и учинака</v>
      </c>
      <c r="E29" s="477"/>
      <c r="F29" s="477"/>
      <c r="G29" s="477"/>
      <c r="H29" s="477"/>
      <c r="I29" s="264">
        <f>VLOOKUP( $B29, T_Aop[], 4, 1)</f>
        <v>210</v>
      </c>
      <c r="J29" s="217">
        <v>226493</v>
      </c>
      <c r="K29" s="218">
        <v>2515</v>
      </c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84" t="str">
        <f>VLOOKUP( $B30, T_Aop[], 6, 1)</f>
        <v xml:space="preserve">      4. Повећање вриједности залиха учинака</v>
      </c>
      <c r="E30" s="484"/>
      <c r="F30" s="484"/>
      <c r="G30" s="484"/>
      <c r="H30" s="484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77" t="str">
        <f>VLOOKUP( $B31, T_Aop[], 6, 1)</f>
        <v xml:space="preserve">      5. Смањење вриједности залиха учинака</v>
      </c>
      <c r="E31" s="477"/>
      <c r="F31" s="477"/>
      <c r="G31" s="477"/>
      <c r="H31" s="477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84" t="str">
        <f>VLOOKUP( $B32, T_Aop[], 6, 1)</f>
        <v xml:space="preserve">      6. Повећање вриједности инвестиционих некретнина и биолошких средстава која се не амортизују</v>
      </c>
      <c r="E32" s="484"/>
      <c r="F32" s="484"/>
      <c r="G32" s="484"/>
      <c r="H32" s="484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77" t="str">
        <f>VLOOKUP( $B33, T_Aop[], 6, 1)</f>
        <v xml:space="preserve">      7. Смањење вриједности инвестиционих некретнина и биолошких средстава која се не амортизују</v>
      </c>
      <c r="E33" s="477"/>
      <c r="F33" s="477"/>
      <c r="G33" s="477"/>
      <c r="H33" s="477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до 659</v>
      </c>
      <c r="D34" s="484" t="str">
        <f>VLOOKUP( $B34, T_Aop[], 6, 1)</f>
        <v xml:space="preserve">      8. Остали пословни приходи</v>
      </c>
      <c r="E34" s="484"/>
      <c r="F34" s="484"/>
      <c r="G34" s="484"/>
      <c r="H34" s="484"/>
      <c r="I34" s="263">
        <f>VLOOKUP( $B34, T_Aop[], 4, 1)</f>
        <v>215</v>
      </c>
      <c r="J34" s="215">
        <v>3249891</v>
      </c>
      <c r="K34" s="216">
        <v>2760351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88" t="str">
        <f>VLOOKUP( $B35, T_Aop[], 6, 1)</f>
        <v xml:space="preserve">    II - ПОСЛОВНИ РАСХОДИ (217 + 218 + 219 + 222 + 223 + 226 + 227 + 228)</v>
      </c>
      <c r="E35" s="488"/>
      <c r="F35" s="488"/>
      <c r="G35" s="488"/>
      <c r="H35" s="488"/>
      <c r="I35" s="266">
        <f>VLOOKUP( $B35, T_Aop[], 4, 1)</f>
        <v>216</v>
      </c>
      <c r="J35" s="88">
        <f>SUBTOTAL( 9, J36:J47)</f>
        <v>310888664</v>
      </c>
      <c r="K35" s="89">
        <f>SUBTOTAL( 9, K36:K47)</f>
        <v>286303096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до 502</v>
      </c>
      <c r="D36" s="484" t="str">
        <f>VLOOKUP( $B36, T_Aop[], 6, 1)</f>
        <v xml:space="preserve">      1. Набавна вриједност продате робе</v>
      </c>
      <c r="E36" s="484"/>
      <c r="F36" s="484"/>
      <c r="G36" s="484"/>
      <c r="H36" s="484"/>
      <c r="I36" s="263">
        <f>VLOOKUP( $B36, T_Aop[], 4, 1)</f>
        <v>217</v>
      </c>
      <c r="J36" s="215">
        <v>3766307</v>
      </c>
      <c r="K36" s="388">
        <v>2613400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до 513</v>
      </c>
      <c r="D37" s="477" t="str">
        <f>VLOOKUP( $B37, T_Aop[], 6, 1)</f>
        <v xml:space="preserve">      2. Трошкови материјала</v>
      </c>
      <c r="E37" s="477"/>
      <c r="F37" s="477"/>
      <c r="G37" s="477"/>
      <c r="H37" s="477"/>
      <c r="I37" s="264">
        <f>VLOOKUP( $B37, T_Aop[], 4, 1)</f>
        <v>218</v>
      </c>
      <c r="J37" s="217">
        <v>45057758</v>
      </c>
      <c r="K37" s="386">
        <v>45555355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84" t="str">
        <f>VLOOKUP( $B38, T_Aop[], 6, 1)</f>
        <v xml:space="preserve">      3. Трошкови зарада, накнада зарада и осталих личних расхода (220 + 221)</v>
      </c>
      <c r="E38" s="484"/>
      <c r="F38" s="484"/>
      <c r="G38" s="484"/>
      <c r="H38" s="484"/>
      <c r="I38" s="263">
        <f>VLOOKUP( $B38, T_Aop[], 4, 1)</f>
        <v>219</v>
      </c>
      <c r="J38" s="204">
        <f>SUBTOTAL( 9, J39:J40)</f>
        <v>62968315</v>
      </c>
      <c r="K38" s="206">
        <f>SUBTOTAL( 9, K39:K40)</f>
        <v>59636196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до 523</v>
      </c>
      <c r="D39" s="477" t="str">
        <f>VLOOKUP( $B39, T_Aop[], 6, 1)</f>
        <v xml:space="preserve">        а) Трошкови бруто зарада и бруто накнада зарада</v>
      </c>
      <c r="E39" s="477"/>
      <c r="F39" s="477"/>
      <c r="G39" s="477"/>
      <c r="H39" s="477"/>
      <c r="I39" s="264">
        <f>VLOOKUP( $B39, T_Aop[], 4, 1)</f>
        <v>220</v>
      </c>
      <c r="J39" s="217">
        <v>55794184</v>
      </c>
      <c r="K39" s="386">
        <v>52960519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до 529</v>
      </c>
      <c r="D40" s="484" t="str">
        <f>VLOOKUP( $B40, T_Aop[], 6, 1)</f>
        <v xml:space="preserve">        б) Остали лични расходи</v>
      </c>
      <c r="E40" s="484"/>
      <c r="F40" s="484"/>
      <c r="G40" s="484"/>
      <c r="H40" s="484"/>
      <c r="I40" s="263">
        <f>VLOOKUP( $B40, T_Aop[], 4, 1)</f>
        <v>221</v>
      </c>
      <c r="J40" s="215">
        <v>7174131</v>
      </c>
      <c r="K40" s="390">
        <v>6675677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до 539</v>
      </c>
      <c r="D41" s="477" t="str">
        <f>VLOOKUP( $B41, T_Aop[], 6, 1)</f>
        <v xml:space="preserve">      4. Трошкови производних услуга</v>
      </c>
      <c r="E41" s="477"/>
      <c r="F41" s="477"/>
      <c r="G41" s="477"/>
      <c r="H41" s="477"/>
      <c r="I41" s="264">
        <f>VLOOKUP( $B41, T_Aop[], 4, 1)</f>
        <v>222</v>
      </c>
      <c r="J41" s="217">
        <v>87053056</v>
      </c>
      <c r="K41" s="386">
        <v>86117514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84" t="str">
        <f>VLOOKUP( $B42, T_Aop[], 6, 1)</f>
        <v xml:space="preserve">      5. Трошкови амортизације и резервисања (224 + 225)</v>
      </c>
      <c r="E42" s="484"/>
      <c r="F42" s="484"/>
      <c r="G42" s="484"/>
      <c r="H42" s="484"/>
      <c r="I42" s="263">
        <f>VLOOKUP( $B42, T_Aop[], 4, 1)</f>
        <v>223</v>
      </c>
      <c r="J42" s="204">
        <f>SUBTOTAL( 9, J43:J44)</f>
        <v>93772666</v>
      </c>
      <c r="K42" s="206">
        <f>SUBTOTAL( 9, K43:K44)</f>
        <v>76649427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77" t="str">
        <f>VLOOKUP( $B43, T_Aop[], 6, 1)</f>
        <v xml:space="preserve">        а) Трошкови амортизације</v>
      </c>
      <c r="E43" s="477"/>
      <c r="F43" s="477"/>
      <c r="G43" s="477"/>
      <c r="H43" s="477"/>
      <c r="I43" s="264">
        <f>VLOOKUP( $B43, T_Aop[], 4, 1)</f>
        <v>224</v>
      </c>
      <c r="J43" s="217">
        <v>93772666</v>
      </c>
      <c r="K43" s="386">
        <v>76559463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84" t="str">
        <f>VLOOKUP( $B44, T_Aop[], 6, 1)</f>
        <v xml:space="preserve">        б) Трошкови резервисања</v>
      </c>
      <c r="E44" s="484"/>
      <c r="F44" s="484"/>
      <c r="G44" s="484"/>
      <c r="H44" s="484"/>
      <c r="I44" s="263">
        <f>VLOOKUP( $B44, T_Aop[], 4, 1)</f>
        <v>225</v>
      </c>
      <c r="J44" s="215"/>
      <c r="K44" s="390">
        <v>89964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осим 555 и 556</v>
      </c>
      <c r="D45" s="477" t="str">
        <f>VLOOKUP( $B45, T_Aop[], 6, 1)</f>
        <v xml:space="preserve">      6. Нематеријални трошкови (без пореза и доприноса)</v>
      </c>
      <c r="E45" s="477"/>
      <c r="F45" s="477"/>
      <c r="G45" s="477"/>
      <c r="H45" s="477"/>
      <c r="I45" s="264">
        <f>VLOOKUP( $B45, T_Aop[], 4, 1)</f>
        <v>226</v>
      </c>
      <c r="J45" s="217">
        <v>15228076</v>
      </c>
      <c r="K45" s="386">
        <v>12737601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84" t="str">
        <f>VLOOKUP( $B46, T_Aop[], 6, 1)</f>
        <v xml:space="preserve">      7. Трошкови пореза</v>
      </c>
      <c r="E46" s="484"/>
      <c r="F46" s="484"/>
      <c r="G46" s="484"/>
      <c r="H46" s="484"/>
      <c r="I46" s="263">
        <f>VLOOKUP( $B46, T_Aop[], 4, 1)</f>
        <v>227</v>
      </c>
      <c r="J46" s="215">
        <v>2981897</v>
      </c>
      <c r="K46" s="390">
        <v>2931437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77" t="str">
        <f>VLOOKUP( $B47, T_Aop[], 6, 1)</f>
        <v xml:space="preserve">      8. Трошкови доприноса</v>
      </c>
      <c r="E47" s="477"/>
      <c r="F47" s="477"/>
      <c r="G47" s="477"/>
      <c r="H47" s="477"/>
      <c r="I47" s="264">
        <f>VLOOKUP( $B47, T_Aop[], 4, 1)</f>
        <v>228</v>
      </c>
      <c r="J47" s="217">
        <v>60589</v>
      </c>
      <c r="K47" s="386">
        <v>62166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83" t="str">
        <f>VLOOKUP( $B48, T_Aop[], 6, 1)</f>
        <v xml:space="preserve">  Б. ПОСЛОВНИ ДОБИТАК (201 - 216)</v>
      </c>
      <c r="E48" s="483"/>
      <c r="F48" s="483"/>
      <c r="G48" s="483"/>
      <c r="H48" s="483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39514657</v>
      </c>
      <c r="K48" s="85">
        <f>IF( SUBTOTAL( 9, K20:K30, K32, K34) - SUBTOTAL( 9, K31, K33, K35:K47) &lt;= 0, 0, ABS( SUBTOTAL( 9, K20:K30, K32, K34) - SUBTOTAL( 9, K31, K33, K35:K47)) )</f>
        <v>41464949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88" t="str">
        <f>VLOOKUP( $B49, T_Aop[], 6, 1)</f>
        <v xml:space="preserve">  В. ПОСЛОВНИ ГУБИТАК (216 - 201)</v>
      </c>
      <c r="E49" s="488"/>
      <c r="F49" s="488"/>
      <c r="G49" s="488"/>
      <c r="H49" s="488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83" t="str">
        <f>VLOOKUP( $B50, T_Aop[], 6, 1)</f>
        <v>Г. ФИНАНСИЈСКИ ПРИХОДИ И РАСХОДИ</v>
      </c>
      <c r="E50" s="483"/>
      <c r="F50" s="483"/>
      <c r="G50" s="483"/>
      <c r="H50" s="483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88" t="str">
        <f>VLOOKUP( $B51, T_Aop[], 6, 1)</f>
        <v xml:space="preserve">    I - ФИНАНСИЈСКИ ПРИХОДИ (232 до 237)</v>
      </c>
      <c r="E51" s="488"/>
      <c r="F51" s="488"/>
      <c r="G51" s="488"/>
      <c r="H51" s="488"/>
      <c r="I51" s="266">
        <f>VLOOKUP( $B51, T_Aop[], 4, 1)</f>
        <v>231</v>
      </c>
      <c r="J51" s="88">
        <f>SUBTOTAL( 9, J52:J57)</f>
        <v>849507</v>
      </c>
      <c r="K51" s="89">
        <f>SUBTOTAL( 9, K52:K57)</f>
        <v>1609600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84" t="str">
        <f>VLOOKUP( $B52, T_Aop[], 6, 1)</f>
        <v xml:space="preserve">      1. Финансијски приходи од повезаних правних лица</v>
      </c>
      <c r="E52" s="484"/>
      <c r="F52" s="484"/>
      <c r="G52" s="484"/>
      <c r="H52" s="484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77" t="str">
        <f>VLOOKUP( $B53, T_Aop[], 6, 1)</f>
        <v xml:space="preserve">      2. Приходи од камата</v>
      </c>
      <c r="E53" s="477"/>
      <c r="F53" s="477"/>
      <c r="G53" s="477"/>
      <c r="H53" s="477"/>
      <c r="I53" s="264">
        <f>VLOOKUP( $B53, T_Aop[], 4, 1)</f>
        <v>233</v>
      </c>
      <c r="J53" s="217">
        <v>730478</v>
      </c>
      <c r="K53" s="386">
        <v>1212204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84" t="str">
        <f>VLOOKUP( $B54, T_Aop[], 6, 1)</f>
        <v xml:space="preserve">      3. Позитивне курсне разлике</v>
      </c>
      <c r="E54" s="484"/>
      <c r="F54" s="484"/>
      <c r="G54" s="484"/>
      <c r="H54" s="484"/>
      <c r="I54" s="263">
        <f>VLOOKUP( $B54, T_Aop[], 4, 1)</f>
        <v>234</v>
      </c>
      <c r="J54" s="215">
        <v>117577</v>
      </c>
      <c r="K54" s="390">
        <v>227416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77" t="str">
        <f>VLOOKUP( $B55, T_Aop[], 6, 1)</f>
        <v xml:space="preserve">      4. Приходи од ефеката валутне клаузуле</v>
      </c>
      <c r="E55" s="477"/>
      <c r="F55" s="477"/>
      <c r="G55" s="477"/>
      <c r="H55" s="477"/>
      <c r="I55" s="264">
        <f>VLOOKUP( $B55, T_Aop[], 4, 1)</f>
        <v>235</v>
      </c>
      <c r="J55" s="217"/>
      <c r="K55" s="386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84" t="str">
        <f>VLOOKUP( $B56, T_Aop[], 6, 1)</f>
        <v xml:space="preserve">      5. Приходи од учешћа у добитку заједничких улагања</v>
      </c>
      <c r="E56" s="484"/>
      <c r="F56" s="484"/>
      <c r="G56" s="484"/>
      <c r="H56" s="484"/>
      <c r="I56" s="263">
        <f>VLOOKUP( $B56, T_Aop[], 4, 1)</f>
        <v>236</v>
      </c>
      <c r="J56" s="215"/>
      <c r="K56" s="390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77" t="str">
        <f>VLOOKUP( $B57, T_Aop[], 6, 1)</f>
        <v xml:space="preserve">      6. Остали финансијски приходи</v>
      </c>
      <c r="E57" s="477"/>
      <c r="F57" s="477"/>
      <c r="G57" s="477"/>
      <c r="H57" s="477"/>
      <c r="I57" s="264">
        <f>VLOOKUP( $B57, T_Aop[], 4, 1)</f>
        <v>237</v>
      </c>
      <c r="J57" s="217">
        <v>1452</v>
      </c>
      <c r="K57" s="386">
        <v>169980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83" t="str">
        <f>VLOOKUP( $B58, T_Aop[], 6, 1)</f>
        <v xml:space="preserve">    II - ФИНАНСИЈСКИ РАСХОДИ (239 до 243)</v>
      </c>
      <c r="E58" s="483"/>
      <c r="F58" s="483"/>
      <c r="G58" s="483"/>
      <c r="H58" s="483"/>
      <c r="I58" s="265">
        <f>VLOOKUP( $B58, T_Aop[], 4, 1)</f>
        <v>238</v>
      </c>
      <c r="J58" s="84">
        <f>SUBTOTAL( 9, J59:J63)</f>
        <v>5179711</v>
      </c>
      <c r="K58" s="85">
        <f>SUBTOTAL( 9, K59:K63)</f>
        <v>1020859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77" t="str">
        <f>VLOOKUP( $B59, T_Aop[], 6, 1)</f>
        <v xml:space="preserve">      1. Финансијски расходи по основу односа повезаних правних лица</v>
      </c>
      <c r="E59" s="477"/>
      <c r="F59" s="477"/>
      <c r="G59" s="477"/>
      <c r="H59" s="477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84" t="str">
        <f>VLOOKUP( $B60, T_Aop[], 6, 1)</f>
        <v xml:space="preserve">      2. Расходи камата</v>
      </c>
      <c r="E60" s="484"/>
      <c r="F60" s="484"/>
      <c r="G60" s="484"/>
      <c r="H60" s="484"/>
      <c r="I60" s="263">
        <f>VLOOKUP( $B60, T_Aop[], 4, 1)</f>
        <v>240</v>
      </c>
      <c r="J60" s="215">
        <v>4852442</v>
      </c>
      <c r="K60" s="390">
        <v>644616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77" t="str">
        <f>VLOOKUP( $B61, T_Aop[], 6, 1)</f>
        <v xml:space="preserve">      3. Негативне курсне разлике</v>
      </c>
      <c r="E61" s="477"/>
      <c r="F61" s="477"/>
      <c r="G61" s="477"/>
      <c r="H61" s="477"/>
      <c r="I61" s="264">
        <f>VLOOKUP( $B61, T_Aop[], 4, 1)</f>
        <v>241</v>
      </c>
      <c r="J61" s="217">
        <v>327269</v>
      </c>
      <c r="K61" s="386">
        <v>376243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84" t="str">
        <f>VLOOKUP( $B62, T_Aop[], 6, 1)</f>
        <v xml:space="preserve">      4. Расходи по основу валутне клаузуле</v>
      </c>
      <c r="E62" s="484"/>
      <c r="F62" s="484"/>
      <c r="G62" s="484"/>
      <c r="H62" s="484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77" t="str">
        <f>VLOOKUP( $B63, T_Aop[], 6, 1)</f>
        <v xml:space="preserve">      5. Остали финансијски расходи</v>
      </c>
      <c r="E63" s="477"/>
      <c r="F63" s="477"/>
      <c r="G63" s="477"/>
      <c r="H63" s="477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83" t="str">
        <f>VLOOKUP( $B64, T_Aop[], 6, 1)</f>
        <v xml:space="preserve">  Д. ДОБИТАК РЕДОВНЕ АКТИВНОСТИ (229 + 231 - 238) или (231 - 238 - 230)</v>
      </c>
      <c r="E64" s="483"/>
      <c r="F64" s="483"/>
      <c r="G64" s="483"/>
      <c r="H64" s="483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35184453</v>
      </c>
      <c r="K64" s="85">
        <f>IF( SUBTOTAL( 9,K20:K30, K32, K34, K51:K57) - SUBTOTAL( 9, K31, K33, K35:K47, K58:K63) &lt;= 0, 0, ABS( SUBTOTAL( 9,K20:K30, K32, K34, K51:K57) - SUBTOTAL( 9, K31, K33, K35:K47, K58:K63)))</f>
        <v>42053690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88" t="str">
        <f>VLOOKUP( $B65, T_Aop[], 6, 1)</f>
        <v xml:space="preserve">  Ђ. ГУБИТАК РЕДОВНЕ АКТИВНОСТИ (230 + 238 - 231) или (238 - 229 - 231)</v>
      </c>
      <c r="E65" s="488"/>
      <c r="F65" s="488"/>
      <c r="G65" s="488"/>
      <c r="H65" s="488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83" t="str">
        <f>VLOOKUP( $B66, T_Aop[], 6, 1)</f>
        <v>Е. ОСТАЛИ ПРИХОДИ И РАСХОДИ</v>
      </c>
      <c r="E66" s="483"/>
      <c r="F66" s="483"/>
      <c r="G66" s="483"/>
      <c r="H66" s="483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88" t="str">
        <f>VLOOKUP( $B67, T_Aop[], 6, 1)</f>
        <v xml:space="preserve">    I - ОСТАЛИ ПРИХОДИ (247 до 256)</v>
      </c>
      <c r="E67" s="488"/>
      <c r="F67" s="488"/>
      <c r="G67" s="488"/>
      <c r="H67" s="488"/>
      <c r="I67" s="266">
        <f>VLOOKUP( $B67, T_Aop[], 4, 1)</f>
        <v>246</v>
      </c>
      <c r="J67" s="88">
        <f>SUBTOTAL( 9, J68:J77)</f>
        <v>36142836</v>
      </c>
      <c r="K67" s="89">
        <f>SUBTOTAL( 9, K68:K77)</f>
        <v>10496593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84" t="str">
        <f>VLOOKUP( $B68, T_Aop[], 6, 1)</f>
        <v xml:space="preserve">      1. Добици по основу продаје нематеријалних средстава, некретнина, постројења и опреме</v>
      </c>
      <c r="E68" s="484"/>
      <c r="F68" s="484"/>
      <c r="G68" s="484"/>
      <c r="H68" s="484"/>
      <c r="I68" s="263">
        <f>VLOOKUP( $B68, T_Aop[], 4, 1)</f>
        <v>247</v>
      </c>
      <c r="J68" s="215">
        <v>260205</v>
      </c>
      <c r="K68" s="390">
        <v>251552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77" t="str">
        <f>VLOOKUP( $B69, T_Aop[], 6, 1)</f>
        <v xml:space="preserve">      2. Добици по основу продаје инвестиционих некретнина</v>
      </c>
      <c r="E69" s="477"/>
      <c r="F69" s="477"/>
      <c r="G69" s="477"/>
      <c r="H69" s="477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84" t="str">
        <f>VLOOKUP( $B70, T_Aop[], 6, 1)</f>
        <v xml:space="preserve">      3. Добици по основу продаје биолошких средстава</v>
      </c>
      <c r="E70" s="484"/>
      <c r="F70" s="484"/>
      <c r="G70" s="484"/>
      <c r="H70" s="484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77" t="str">
        <f>VLOOKUP( $B71, T_Aop[], 6, 1)</f>
        <v xml:space="preserve">      4. Добици по основу продаје средстава обустављеног пословања</v>
      </c>
      <c r="E71" s="477"/>
      <c r="F71" s="477"/>
      <c r="G71" s="477"/>
      <c r="H71" s="477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84" t="str">
        <f>VLOOKUP( $B72, T_Aop[], 6, 1)</f>
        <v xml:space="preserve">      5. Добици по основу продаје учешћа у капиталу и ХОВ</v>
      </c>
      <c r="E72" s="484"/>
      <c r="F72" s="484"/>
      <c r="G72" s="484"/>
      <c r="H72" s="484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77" t="str">
        <f>VLOOKUP( $B73, T_Aop[], 6, 1)</f>
        <v xml:space="preserve">      6. Добици по основу продаје материјала</v>
      </c>
      <c r="E73" s="477"/>
      <c r="F73" s="477"/>
      <c r="G73" s="477"/>
      <c r="H73" s="477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84" t="str">
        <f>VLOOKUP( $B74, T_Aop[], 6, 1)</f>
        <v xml:space="preserve">      7. Вишкови, изузимајући вишкове залиха учинака</v>
      </c>
      <c r="E74" s="484"/>
      <c r="F74" s="484"/>
      <c r="G74" s="484"/>
      <c r="H74" s="484"/>
      <c r="I74" s="263">
        <f>VLOOKUP( $B74, T_Aop[], 4, 1)</f>
        <v>253</v>
      </c>
      <c r="J74" s="215">
        <v>9809</v>
      </c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77" t="str">
        <f>VLOOKUP( $B75, T_Aop[], 6, 1)</f>
        <v xml:space="preserve">      8. Наплаћена отписана потраживања</v>
      </c>
      <c r="E75" s="477"/>
      <c r="F75" s="477"/>
      <c r="G75" s="477"/>
      <c r="H75" s="477"/>
      <c r="I75" s="264">
        <f>VLOOKUP( $B75, T_Aop[], 4, 1)</f>
        <v>254</v>
      </c>
      <c r="J75" s="217">
        <v>14014</v>
      </c>
      <c r="K75" s="386">
        <v>8295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84" t="str">
        <f>VLOOKUP( $B76, T_Aop[], 6, 1)</f>
        <v xml:space="preserve">      9. Приходи по основу уговорене заштите од ризика, који не испуњавају услове да се искажу у оквиру ревалоризационих резерви</v>
      </c>
      <c r="E76" s="484"/>
      <c r="F76" s="484"/>
      <c r="G76" s="484"/>
      <c r="H76" s="484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77" t="str">
        <f>VLOOKUP( $B77, T_Aop[], 6, 1)</f>
        <v xml:space="preserve">      10. Приходи од смањења обавеза, укидања неискоришћених дугорочних резервисања и остали непоменути приходи</v>
      </c>
      <c r="E77" s="477"/>
      <c r="F77" s="477"/>
      <c r="G77" s="477"/>
      <c r="H77" s="477"/>
      <c r="I77" s="264">
        <f>VLOOKUP( $B77, T_Aop[], 4, 1)</f>
        <v>256</v>
      </c>
      <c r="J77" s="217">
        <v>35858808</v>
      </c>
      <c r="K77" s="386">
        <v>10236746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83" t="str">
        <f>VLOOKUP( $B78, T_Aop[], 6, 1)</f>
        <v xml:space="preserve">    II - ОСТАЛИ РАСХОДИ (258 до 267)</v>
      </c>
      <c r="E78" s="483"/>
      <c r="F78" s="483"/>
      <c r="G78" s="483"/>
      <c r="H78" s="483"/>
      <c r="I78" s="265">
        <f>VLOOKUP( $B78, T_Aop[], 4, 1)</f>
        <v>257</v>
      </c>
      <c r="J78" s="84">
        <f>SUBTOTAL( 9, J79:J88)</f>
        <v>4298967</v>
      </c>
      <c r="K78" s="85">
        <f>SUBTOTAL( 9, K79:K88)</f>
        <v>3687723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77" t="str">
        <f>VLOOKUP( $B79, T_Aop[], 6, 1)</f>
        <v xml:space="preserve">      1. Губици по основу продаје и расходовања нематеријалних средстава, некретнина, постројења и опреме</v>
      </c>
      <c r="E79" s="477"/>
      <c r="F79" s="477"/>
      <c r="G79" s="477"/>
      <c r="H79" s="477"/>
      <c r="I79" s="264">
        <f>VLOOKUP( $B79, T_Aop[], 4, 1)</f>
        <v>258</v>
      </c>
      <c r="J79" s="217">
        <v>140763</v>
      </c>
      <c r="K79" s="218">
        <v>17992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84" t="str">
        <f>VLOOKUP( $B80, T_Aop[], 6, 1)</f>
        <v xml:space="preserve">      2. Губици по основу продаје и расходовања инвестиционих некретнина</v>
      </c>
      <c r="E80" s="484"/>
      <c r="F80" s="484"/>
      <c r="G80" s="484"/>
      <c r="H80" s="484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77" t="str">
        <f>VLOOKUP( $B81, T_Aop[], 6, 1)</f>
        <v xml:space="preserve">      3. Губици по основу продаје и расходовања биолошких средстава</v>
      </c>
      <c r="E81" s="477"/>
      <c r="F81" s="477"/>
      <c r="G81" s="477"/>
      <c r="H81" s="477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84" t="str">
        <f>VLOOKUP( $B82, T_Aop[], 6, 1)</f>
        <v xml:space="preserve">      4. Губици по основу продаје средстава обустављеног пословања</v>
      </c>
      <c r="E82" s="484"/>
      <c r="F82" s="484"/>
      <c r="G82" s="484"/>
      <c r="H82" s="484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77" t="str">
        <f>VLOOKUP( $B83, T_Aop[], 6, 1)</f>
        <v xml:space="preserve">      5. Губици по основу продаје учешћа у капиталу и ХОВ</v>
      </c>
      <c r="E83" s="477"/>
      <c r="F83" s="477"/>
      <c r="G83" s="477"/>
      <c r="H83" s="477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84" t="str">
        <f>VLOOKUP( $B84, T_Aop[], 6, 1)</f>
        <v xml:space="preserve">      6. Губици по основу продаје материјала</v>
      </c>
      <c r="E84" s="484"/>
      <c r="F84" s="484"/>
      <c r="G84" s="484"/>
      <c r="H84" s="484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77" t="str">
        <f>VLOOKUP( $B85, T_Aop[], 6, 1)</f>
        <v xml:space="preserve">      7. Мањкови, изузимајући мањкове залиха учинака</v>
      </c>
      <c r="E85" s="477"/>
      <c r="F85" s="477"/>
      <c r="G85" s="477"/>
      <c r="H85" s="477"/>
      <c r="I85" s="264">
        <f>VLOOKUP( $B85, T_Aop[], 4, 1)</f>
        <v>264</v>
      </c>
      <c r="J85" s="217">
        <v>428487</v>
      </c>
      <c r="K85" s="218">
        <v>957</v>
      </c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84" t="str">
        <f>VLOOKUP( $B86, T_Aop[], 6, 1)</f>
        <v xml:space="preserve">      8. Расходи по основу заштите од ризика који не испуњавају услове да се искажу у оквиру ревалоризационих резерви</v>
      </c>
      <c r="E86" s="484"/>
      <c r="F86" s="484"/>
      <c r="G86" s="484"/>
      <c r="H86" s="484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77" t="str">
        <f>VLOOKUP( $B87, T_Aop[], 6, 1)</f>
        <v xml:space="preserve">      9. Расходи по основу исправке вриједности и отписа потраживања</v>
      </c>
      <c r="E87" s="477"/>
      <c r="F87" s="477"/>
      <c r="G87" s="477"/>
      <c r="H87" s="477"/>
      <c r="I87" s="264">
        <f>VLOOKUP( $B87, T_Aop[], 4, 1)</f>
        <v>266</v>
      </c>
      <c r="J87" s="217">
        <v>2086248</v>
      </c>
      <c r="K87" s="386">
        <v>3144252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84" t="str">
        <f>VLOOKUP( $B88, T_Aop[], 6, 1)</f>
        <v xml:space="preserve">      10. Расходи по основу расходовања залиха материјала и робе и остали расходи</v>
      </c>
      <c r="E88" s="484"/>
      <c r="F88" s="484"/>
      <c r="G88" s="484"/>
      <c r="H88" s="484"/>
      <c r="I88" s="263">
        <f>VLOOKUP( $B88, T_Aop[], 4, 1)</f>
        <v>267</v>
      </c>
      <c r="J88" s="215">
        <v>1643469</v>
      </c>
      <c r="K88" s="390">
        <v>524522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88" t="str">
        <f>VLOOKUP( $B89, T_Aop[], 6, 1)</f>
        <v xml:space="preserve">  Ж. ДОБИТАК ПО ОСНОВУ ОСТАЛИХ ПРИХОДА И РАСХОДА (246 - 257)</v>
      </c>
      <c r="E89" s="488"/>
      <c r="F89" s="488"/>
      <c r="G89" s="488"/>
      <c r="H89" s="488"/>
      <c r="I89" s="266">
        <f>VLOOKUP( $B89, T_Aop[], 4, 1)</f>
        <v>268</v>
      </c>
      <c r="J89" s="88">
        <f>IF( SUBTOTAL( 9, J67:J77) - SUBTOTAL( 9, J78:J88) &lt;= 0, 0, ABS( SUBTOTAL( 9, J67:J77) - SUBTOTAL( 9, J78:J88)) )</f>
        <v>31843869</v>
      </c>
      <c r="K89" s="89">
        <f>IF( SUBTOTAL( 9, K67:K77) - SUBTOTAL( 9, K78:K88) &lt;= 0, 0, ABS( SUBTOTAL( 9, K67:K77) - SUBTOTAL( 9, K78:K88)) )</f>
        <v>6808870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83" t="str">
        <f>VLOOKUP( $B90, T_Aop[], 6, 1)</f>
        <v xml:space="preserve">  З. ГУБИТАК ПО ОСНОВУ ОСТАЛИХ ПРИХОДА И РАСХОДА (257 - 246)</v>
      </c>
      <c r="E90" s="483"/>
      <c r="F90" s="483"/>
      <c r="G90" s="483"/>
      <c r="H90" s="483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88" t="str">
        <f>VLOOKUP( $B91, T_Aop[], 6, 1)</f>
        <v>И. ПРИХОДИ И РАСХОДИ ОД УСКЛАЂИВАЊА ВРИЈЕДНОСТИ ИМОВИНЕ</v>
      </c>
      <c r="E91" s="488"/>
      <c r="F91" s="488"/>
      <c r="G91" s="488"/>
      <c r="H91" s="488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83" t="str">
        <f>VLOOKUP( $B92, T_Aop[], 6, 1)</f>
        <v xml:space="preserve">    I - ПРИХОДИ ОД УСКЛАЂИВАЊА ВРИЈЕДНОСТИ ИМОВИНЕ (271 до 279)</v>
      </c>
      <c r="E92" s="483"/>
      <c r="F92" s="483"/>
      <c r="G92" s="483"/>
      <c r="H92" s="483"/>
      <c r="I92" s="265">
        <f>VLOOKUP( $B92, T_Aop[], 4, 1)</f>
        <v>270</v>
      </c>
      <c r="J92" s="84">
        <f>SUBTOTAL( 9, J93:J101)</f>
        <v>1453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77" t="str">
        <f>VLOOKUP( $B93, T_Aop[], 6, 1)</f>
        <v xml:space="preserve">      1. Приходи од усклађивања вриједности нематеријалних средстава</v>
      </c>
      <c r="E93" s="477"/>
      <c r="F93" s="477"/>
      <c r="G93" s="477"/>
      <c r="H93" s="477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84" t="str">
        <f>VLOOKUP( $B94, T_Aop[], 6, 1)</f>
        <v xml:space="preserve">      2. Приходи од усклађивања вриједности некретнина, постројења и опреме</v>
      </c>
      <c r="E94" s="484"/>
      <c r="F94" s="484"/>
      <c r="G94" s="484"/>
      <c r="H94" s="484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77" t="str">
        <f>VLOOKUP( $B95, T_Aop[], 6, 1)</f>
        <v xml:space="preserve">      3. Приходи од усклађивања вриједности инвестиционих некретнина за које се обрачунава амортизација</v>
      </c>
      <c r="E95" s="477"/>
      <c r="F95" s="477"/>
      <c r="G95" s="477"/>
      <c r="H95" s="477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84" t="str">
        <f>VLOOKUP( $B96, T_Aop[], 6, 1)</f>
        <v xml:space="preserve">      4. Приходи од усклађивања вриједности биолошких средстава за које се обрачунава амортизација</v>
      </c>
      <c r="E96" s="484"/>
      <c r="F96" s="484"/>
      <c r="G96" s="484"/>
      <c r="H96" s="484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77" t="str">
        <f>VLOOKUP( $B97, T_Aop[], 6, 1)</f>
        <v xml:space="preserve">      5. Приходи од усклађивања вриједности дугорочних финансијских пласмана и финансијских средстава расположивих за продају</v>
      </c>
      <c r="E97" s="477"/>
      <c r="F97" s="477"/>
      <c r="G97" s="477"/>
      <c r="H97" s="477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84" t="str">
        <f>VLOOKUP( $B98, T_Aop[], 6, 1)</f>
        <v xml:space="preserve">      6. Приходи од усклађивања вриједности залиха материјала и робе</v>
      </c>
      <c r="E98" s="484"/>
      <c r="F98" s="484"/>
      <c r="G98" s="484"/>
      <c r="H98" s="484"/>
      <c r="I98" s="263">
        <f>VLOOKUP( $B98, T_Aop[], 4, 1)</f>
        <v>276</v>
      </c>
      <c r="J98" s="215">
        <v>1453</v>
      </c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77" t="str">
        <f>VLOOKUP( $B99, T_Aop[], 6, 1)</f>
        <v xml:space="preserve">      7. Приходи од усклађивања вриједности краткорочних финансијских пласмана</v>
      </c>
      <c r="E99" s="477"/>
      <c r="F99" s="477"/>
      <c r="G99" s="477"/>
      <c r="H99" s="477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84" t="str">
        <f>VLOOKUP( $B100, T_Aop[], 6, 1)</f>
        <v xml:space="preserve">      8. Приходи од усклађивања вриједности капитала (негативни Гоодwилл)</v>
      </c>
      <c r="E100" s="484"/>
      <c r="F100" s="484"/>
      <c r="G100" s="484"/>
      <c r="H100" s="484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77" t="str">
        <f>VLOOKUP( $B101, T_Aop[], 6, 1)</f>
        <v xml:space="preserve">      9. Приходи од усклађивања вриједности остале имовине</v>
      </c>
      <c r="E101" s="477"/>
      <c r="F101" s="477"/>
      <c r="G101" s="477"/>
      <c r="H101" s="477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83" t="str">
        <f>VLOOKUP( $B102, T_Aop[], 6, 1)</f>
        <v xml:space="preserve">    II - РАСХОДИ ОД УСКЛАЂИВАЊА ВРИЈЕДНОСТИ ИМОВИНЕ (281 до 289)</v>
      </c>
      <c r="E102" s="483"/>
      <c r="F102" s="483"/>
      <c r="G102" s="483"/>
      <c r="H102" s="483"/>
      <c r="I102" s="265">
        <f>VLOOKUP( $B102, T_Aop[], 4, 1)</f>
        <v>280</v>
      </c>
      <c r="J102" s="84">
        <f>SUBTOTAL( 9, J103:J111)</f>
        <v>635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77" t="str">
        <f>VLOOKUP( $B103, T_Aop[], 6, 1)</f>
        <v xml:space="preserve">      1. Обезврјеђење нематеријалних средстава</v>
      </c>
      <c r="E103" s="477"/>
      <c r="F103" s="477"/>
      <c r="G103" s="477"/>
      <c r="H103" s="477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84" t="str">
        <f>VLOOKUP( $B104, T_Aop[], 6, 1)</f>
        <v xml:space="preserve">      2. Обезврјеђење некретнина, постројења и опреме</v>
      </c>
      <c r="E104" s="484"/>
      <c r="F104" s="484"/>
      <c r="G104" s="484"/>
      <c r="H104" s="484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77" t="str">
        <f>VLOOKUP( $B105, T_Aop[], 6, 1)</f>
        <v xml:space="preserve">      3. Обезврјеђење инвестиционих некретнина за које се обрачунава амортизација</v>
      </c>
      <c r="E105" s="477"/>
      <c r="F105" s="477"/>
      <c r="G105" s="477"/>
      <c r="H105" s="477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84" t="str">
        <f>VLOOKUP( $B106, T_Aop[], 6, 1)</f>
        <v xml:space="preserve">      4. Обезврјеђење биолошких средстава за која се обрачунава амортизација</v>
      </c>
      <c r="E106" s="484"/>
      <c r="F106" s="484"/>
      <c r="G106" s="484"/>
      <c r="H106" s="484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77" t="str">
        <f>VLOOKUP( $B107, T_Aop[], 6, 1)</f>
        <v xml:space="preserve">      5. Обезврјеђење дугорочних финансијских пласмана и финансијских средстава расположивих за продају</v>
      </c>
      <c r="E107" s="477"/>
      <c r="F107" s="477"/>
      <c r="G107" s="477"/>
      <c r="H107" s="477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84" t="str">
        <f>VLOOKUP( $B108, T_Aop[], 6, 1)</f>
        <v xml:space="preserve">      6. Обезврјеђење залиха материјала и робе</v>
      </c>
      <c r="E108" s="484"/>
      <c r="F108" s="484"/>
      <c r="G108" s="484"/>
      <c r="H108" s="484"/>
      <c r="I108" s="263">
        <f>VLOOKUP( $B108, T_Aop[], 4, 1)</f>
        <v>286</v>
      </c>
      <c r="J108" s="215">
        <v>635</v>
      </c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77" t="str">
        <f>VLOOKUP( $B109, T_Aop[], 6, 1)</f>
        <v xml:space="preserve">      7. Обезврјеђење краткорочних финансијских пласмана</v>
      </c>
      <c r="E109" s="477"/>
      <c r="F109" s="477"/>
      <c r="G109" s="477"/>
      <c r="H109" s="477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84" t="str">
        <f>VLOOKUP( $B110, T_Aop[], 6, 1)</f>
        <v xml:space="preserve">      8. Обезврјеђење потраживања примјеном индиректне методе утврђивања отписа потраживања</v>
      </c>
      <c r="E110" s="484"/>
      <c r="F110" s="484"/>
      <c r="G110" s="484"/>
      <c r="H110" s="484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77" t="str">
        <f>VLOOKUP( $B111, T_Aop[], 6, 1)</f>
        <v xml:space="preserve">      9. Обезврјеђење остале имовине</v>
      </c>
      <c r="E111" s="477"/>
      <c r="F111" s="477"/>
      <c r="G111" s="477"/>
      <c r="H111" s="477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83" t="str">
        <f>VLOOKUP( $B112, T_Aop[], 6, 1)</f>
        <v xml:space="preserve">  Ј. ДОБИТАК ПО ОСНОВУ УСКЛАЂИВАЊА ВРИЈЕДНОСТИ ИМОВИНЕ (270 - 280)</v>
      </c>
      <c r="E112" s="483"/>
      <c r="F112" s="483"/>
      <c r="G112" s="483"/>
      <c r="H112" s="483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818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88" t="str">
        <f>VLOOKUP( $B113, T_Aop[], 6, 1)</f>
        <v xml:space="preserve">  К. ГУБИТАК ПО ОСНОВУ УСКЛАЂИВАЊА ВРИЈЕДНОСТИ ИМОВИНЕ (280 - 270)</v>
      </c>
      <c r="E113" s="488"/>
      <c r="F113" s="488"/>
      <c r="G113" s="488"/>
      <c r="H113" s="488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83" t="str">
        <f>VLOOKUP( $B114, T_Aop[], 6, 1)</f>
        <v xml:space="preserve">  Л. ПРИХОДИ ПО ОСНОВУ ПРОМЈЕНЕ РАЧУНОВОДСТВЕНИХ ПОЛИТИКА И ИСПРАВКЕ ГРЕШАКА ИЗ РАНИЈИХ ГОДИНА</v>
      </c>
      <c r="E114" s="483"/>
      <c r="F114" s="483"/>
      <c r="G114" s="483"/>
      <c r="H114" s="483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88" t="str">
        <f>VLOOKUP( $B115, T_Aop[], 6, 1)</f>
        <v xml:space="preserve">  Љ. РАСХОДИ ПО ОСНОВУ ПРОМЈЕНЕ РАЧУНОВОДСТВЕНИХ ПОЛИТИКА И ИСПРАВКЕ ГРЕШАКА ИЗ РАНИЈИХ ГОДИНА</v>
      </c>
      <c r="E115" s="488"/>
      <c r="F115" s="488"/>
      <c r="G115" s="488"/>
      <c r="H115" s="488"/>
      <c r="I115" s="266">
        <f>VLOOKUP( $B115, T_Aop[], 4, 1)</f>
        <v>293</v>
      </c>
      <c r="J115" s="339"/>
      <c r="K115" s="340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83" t="str">
        <f>VLOOKUP( $B116, T_Aop[], 6, 1)</f>
        <v>М. ДОБИТАК И ГУБИТАК ПРИЈЕ ОПОРЕЗИВАЊА</v>
      </c>
      <c r="E116" s="483"/>
      <c r="F116" s="483"/>
      <c r="G116" s="483"/>
      <c r="H116" s="483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77" t="str">
        <f>VLOOKUP( $B117, T_Aop[], 6, 1)</f>
        <v xml:space="preserve">    1. Добитак прије опорезивања (244 + 268 + 290 + 292 - 293 - 245 - 269 - 291)</v>
      </c>
      <c r="E117" s="477"/>
      <c r="F117" s="477"/>
      <c r="G117" s="477"/>
      <c r="H117" s="477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67029140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48862560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84" t="str">
        <f>VLOOKUP( $B118, T_Aop[], 6, 1)</f>
        <v xml:space="preserve">    2. Губитак прије опорезивања (245 + 269 + 291 + 293 - 292 - 244 - 268 - 290)</v>
      </c>
      <c r="E118" s="484"/>
      <c r="F118" s="484"/>
      <c r="G118" s="484"/>
      <c r="H118" s="484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88" t="str">
        <f>VLOOKUP( $B119, T_Aop[], 6, 1)</f>
        <v>Н. ТЕКУЋИ И ОДЛОЖЕНИ ПОРЕЗ НА ДОБИТ</v>
      </c>
      <c r="E119" s="488"/>
      <c r="F119" s="488"/>
      <c r="G119" s="488"/>
      <c r="H119" s="488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84" t="str">
        <f>VLOOKUP( $B120, T_Aop[], 6, 1)</f>
        <v xml:space="preserve">    1. Порески расходи периода</v>
      </c>
      <c r="E120" s="484"/>
      <c r="F120" s="484"/>
      <c r="G120" s="484"/>
      <c r="H120" s="484"/>
      <c r="I120" s="263">
        <f>VLOOKUP( $B120, T_Aop[], 4, 1)</f>
        <v>296</v>
      </c>
      <c r="J120" s="215">
        <v>4039119</v>
      </c>
      <c r="K120" s="216">
        <v>4498494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77" t="str">
        <f>VLOOKUP( $B121, T_Aop[], 6, 1)</f>
        <v xml:space="preserve">    2. Одложени порески расходи периода</v>
      </c>
      <c r="E121" s="477"/>
      <c r="F121" s="477"/>
      <c r="G121" s="477"/>
      <c r="H121" s="477"/>
      <c r="I121" s="264">
        <f>VLOOKUP( $B121, T_Aop[], 4, 1)</f>
        <v>297</v>
      </c>
      <c r="J121" s="219">
        <v>33593</v>
      </c>
      <c r="K121" s="220">
        <v>118842</v>
      </c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84" t="str">
        <f>VLOOKUP( $B122, T_Aop[], 6, 1)</f>
        <v xml:space="preserve">    3. Одложени порески приходи периода</v>
      </c>
      <c r="E122" s="484"/>
      <c r="F122" s="484"/>
      <c r="G122" s="484"/>
      <c r="H122" s="484"/>
      <c r="I122" s="263">
        <f>VLOOKUP( $B122, T_Aop[], 4, 1)</f>
        <v>298</v>
      </c>
      <c r="J122" s="215">
        <v>429311</v>
      </c>
      <c r="K122" s="216">
        <v>78266</v>
      </c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88" t="str">
        <f>VLOOKUP( $B123, T_Aop[], 6, 1)</f>
        <v>Њ. НЕТО ДОБИТАК И НЕТО ГУБИТАК ПЕРИОДА</v>
      </c>
      <c r="E123" s="488"/>
      <c r="F123" s="488"/>
      <c r="G123" s="488"/>
      <c r="H123" s="488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84" t="str">
        <f>VLOOKUP( $B124, T_Aop[], 6, 1)</f>
        <v xml:space="preserve">    1. Нето добитак текуће године (294 - 295 - 296 - 297 + 298)</v>
      </c>
      <c r="E124" s="484"/>
      <c r="F124" s="484"/>
      <c r="G124" s="484"/>
      <c r="H124" s="484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63385739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44323490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77" t="str">
        <f>VLOOKUP( $B125, T_Aop[], 6, 1)</f>
        <v xml:space="preserve">    2. Нето губитак текуће године (295 - 294 + 296 + 297 - 298)</v>
      </c>
      <c r="E125" s="477"/>
      <c r="F125" s="477"/>
      <c r="G125" s="477"/>
      <c r="H125" s="477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83" t="str">
        <f>VLOOKUP( $B126, T_Aop[], 6, 1)</f>
        <v>УКУПНИ ПРИХОДИ (201 + 231 + 246 + 270 + 292)</v>
      </c>
      <c r="E126" s="483"/>
      <c r="F126" s="483"/>
      <c r="G126" s="483"/>
      <c r="H126" s="483"/>
      <c r="I126" s="265">
        <f>VLOOKUP( $B126, T_Aop[], 4, 1)</f>
        <v>301</v>
      </c>
      <c r="J126" s="84">
        <f>SUBTOTAL( 9, J20:J30, J32, J34, J51:J57, J67:J77, J92:J101, J114) - SUBTOTAL( 9, J31, J33)</f>
        <v>387397117</v>
      </c>
      <c r="K126" s="85">
        <f>SUBTOTAL( 9, K20:K30, K32, K34, K51:K57, K67:K77, K92:K101, K114) - SUBTOTAL( 9, K31, K33)</f>
        <v>339874238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85" t="str">
        <f>VLOOKUP( $B127, T_Aop[], 6, 1)</f>
        <v>УКУПНИ РАСХОДИ (216 + 238 + 257 + 280 + 293)</v>
      </c>
      <c r="E127" s="486"/>
      <c r="F127" s="486"/>
      <c r="G127" s="486"/>
      <c r="H127" s="487"/>
      <c r="I127" s="266">
        <f>VLOOKUP( $B127, T_Aop[], 4, 1)</f>
        <v>302</v>
      </c>
      <c r="J127" s="91">
        <f>SUBTOTAL( 9, J35:J47, J58:J63, J78:J88, J102:J111, J115)</f>
        <v>320367977</v>
      </c>
      <c r="K127" s="92">
        <f>SUBTOTAL( 9, K35:K47, K58:K63, K78:K88, K102:K111, K115)</f>
        <v>291011678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83" t="str">
        <f>VLOOKUP( $B128, T_Aop[], 6, 1)</f>
        <v xml:space="preserve">  О. МЕЂУДИВИДЕНДЕ И ДРУГИ ВИДОВИ РАСПОДЈЕЛЕ ДОБИТКА У ТОКУ ПЕРИОДА</v>
      </c>
      <c r="E128" s="483"/>
      <c r="F128" s="483"/>
      <c r="G128" s="483"/>
      <c r="H128" s="483"/>
      <c r="I128" s="265">
        <f>VLOOKUP( $B128, T_Aop[], 4, 1)</f>
        <v>303</v>
      </c>
      <c r="J128" s="341"/>
      <c r="K128" s="342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77" t="str">
        <f>VLOOKUP( $B129, T_Aop[], 6, 1)</f>
        <v>Дио нето добитка/губитка који припада већинским власницима</v>
      </c>
      <c r="E129" s="477"/>
      <c r="F129" s="477"/>
      <c r="G129" s="477"/>
      <c r="H129" s="477"/>
      <c r="I129" s="264">
        <f>VLOOKUP( $B129, T_Aop[], 4, 1)</f>
        <v>304</v>
      </c>
      <c r="J129" s="343"/>
      <c r="K129" s="344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84" t="str">
        <f>VLOOKUP( $B130, T_Aop[], 6, 1)</f>
        <v>Дио нето добитка/губитка који припада мањинским власницима</v>
      </c>
      <c r="E130" s="484"/>
      <c r="F130" s="484"/>
      <c r="G130" s="484"/>
      <c r="H130" s="484"/>
      <c r="I130" s="263">
        <f>VLOOKUP( $B130, T_Aop[], 4, 1)</f>
        <v>305</v>
      </c>
      <c r="J130" s="345"/>
      <c r="K130" s="346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77" t="str">
        <f>VLOOKUP( $B131, T_Aop[], 6, 1)</f>
        <v>Обична зарада по акцији</v>
      </c>
      <c r="E131" s="477"/>
      <c r="F131" s="477"/>
      <c r="G131" s="477"/>
      <c r="H131" s="477"/>
      <c r="I131" s="264">
        <f>VLOOKUP( $B131, T_Aop[], 4, 1)</f>
        <v>306</v>
      </c>
      <c r="J131" s="343">
        <v>0.129</v>
      </c>
      <c r="K131" s="391">
        <v>9.0200000000000002E-2</v>
      </c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84" t="str">
        <f>VLOOKUP( $B132, T_Aop[], 6, 1)</f>
        <v>Разријеђена зарада по акцији</v>
      </c>
      <c r="E132" s="484"/>
      <c r="F132" s="484"/>
      <c r="G132" s="484"/>
      <c r="H132" s="484"/>
      <c r="I132" s="263">
        <f>VLOOKUP( $B132, T_Aop[], 4, 1)</f>
        <v>307</v>
      </c>
      <c r="J132" s="345"/>
      <c r="K132" s="390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77" t="str">
        <f>VLOOKUP( $B133, T_Aop[], 6, 1)</f>
        <v>Просјечан број запослених по основу часова рада</v>
      </c>
      <c r="E133" s="477"/>
      <c r="F133" s="477"/>
      <c r="G133" s="477"/>
      <c r="H133" s="477"/>
      <c r="I133" s="264">
        <f>VLOOKUP( $B133, T_Aop[], 4, 1)</f>
        <v>308</v>
      </c>
      <c r="J133" s="343">
        <v>2493</v>
      </c>
      <c r="K133" s="393">
        <v>2242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8" t="str">
        <f>VLOOKUP( $B134, T_Aop[], 6, 1)</f>
        <v>Просјечан број запослених по основу стања на крају мјесеца</v>
      </c>
      <c r="E134" s="478"/>
      <c r="F134" s="478"/>
      <c r="G134" s="478"/>
      <c r="H134" s="478"/>
      <c r="I134" s="304">
        <f>VLOOKUP( $B134, T_Aop[], 4, 1)</f>
        <v>309</v>
      </c>
      <c r="J134" s="347">
        <v>2491</v>
      </c>
      <c r="K134" s="392">
        <v>2245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У</v>
      </c>
      <c r="D136" s="269" t="str">
        <f>Podatak_U</f>
        <v>Бањој Луци</v>
      </c>
      <c r="E136"/>
      <c r="G136"/>
      <c r="H136" s="154" t="str">
        <f>Podnozje_Lice_sa_licencom</f>
        <v>Лицe сa лицeнцoм:</v>
      </c>
      <c r="I136" s="270" t="str">
        <f>Podatak_Lice_sa_licencom</f>
        <v>Весна Гудураш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(M.П.)</v>
      </c>
      <c r="G137"/>
      <c r="H137"/>
      <c r="I137"/>
    </row>
    <row r="138" spans="2:15" ht="12.75" customHeight="1" x14ac:dyDescent="0.2">
      <c r="B138" s="17"/>
      <c r="C138" s="272" t="str">
        <f>Podnozje_Dana</f>
        <v>Датум:</v>
      </c>
      <c r="D138" s="270" t="str">
        <f>Podatak_Dana</f>
        <v>31.10.2019.</v>
      </c>
      <c r="E138"/>
      <c r="F138" s="51"/>
      <c r="G138"/>
      <c r="H138" s="154" t="str">
        <f>Podnozje_Direktor</f>
        <v>Лице овлашћено за заступање:</v>
      </c>
      <c r="I138" s="270" t="str">
        <f>Podatak_Direktor</f>
        <v>Марко Лопичић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workbookViewId="0">
      <pane ySplit="4" topLeftCell="A5" activePane="bottomLeft" state="frozen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Maтични брoj:</v>
      </c>
      <c r="D5" s="493" t="str">
        <f>Podatak_MB</f>
        <v>1772902</v>
      </c>
      <c r="E5" s="493"/>
      <c r="I5" s="17" t="str">
        <f>Zaglavlje_Ziro_racun</f>
        <v>Пословни рачуни:</v>
      </c>
      <c r="J5" s="489" t="str">
        <f>Podatak_Ziro_racun_1</f>
        <v>562-099-00004057-60</v>
      </c>
      <c r="K5" s="489"/>
    </row>
    <row r="6" spans="2:11" ht="12.75" customHeight="1" x14ac:dyDescent="0.2">
      <c r="B6" s="17"/>
      <c r="C6" s="16" t="str">
        <f>Zaglavlje_Sifra_djelatnosti</f>
        <v>Шифрa дjeлaтн.</v>
      </c>
      <c r="D6" s="493" t="str">
        <f>Podatak_Sifra_djelatnosti</f>
        <v>61.10</v>
      </c>
      <c r="E6" s="493"/>
      <c r="F6" s="9"/>
      <c r="J6" s="489" t="str">
        <f>Podatak_Ziro_racun_2</f>
        <v>551-001-00000027-45</v>
      </c>
      <c r="K6" s="489"/>
    </row>
    <row r="7" spans="2:11" ht="12.75" customHeight="1" x14ac:dyDescent="0.2">
      <c r="B7" s="17"/>
      <c r="C7" s="494" t="str">
        <f>Zaglavlje_Naziv_preduzeca</f>
        <v>Нaзив приврeднoг друштвa, зaдругe, другoг прaвнoг лицa или прeдузeтникa:</v>
      </c>
      <c r="D7" s="494"/>
      <c r="E7" s="494"/>
      <c r="F7" s="19"/>
      <c r="J7" s="489" t="str">
        <f>Podatak_Ziro_racun_3</f>
        <v>154-921-20007335-38</v>
      </c>
      <c r="K7" s="489"/>
    </row>
    <row r="8" spans="2:11" ht="12.75" customHeight="1" x14ac:dyDescent="0.2">
      <c r="B8" s="17"/>
      <c r="C8" s="494"/>
      <c r="D8" s="494"/>
      <c r="E8" s="494"/>
      <c r="F8" s="19"/>
      <c r="J8" s="489" t="str">
        <f>Podatak_Ziro_racun_4</f>
        <v>571-010-00000981-31</v>
      </c>
      <c r="K8" s="489"/>
    </row>
    <row r="9" spans="2:11" ht="12.75" customHeight="1" x14ac:dyDescent="0.2">
      <c r="B9" s="17"/>
      <c r="C9" s="496" t="str">
        <f>Podatak_Naziv_preduzeca</f>
        <v>"Мтел" а.д.</v>
      </c>
      <c r="D9" s="496"/>
      <c r="E9" s="496"/>
      <c r="F9" s="496"/>
      <c r="J9" s="489" t="str">
        <f>Podatak_Ziro_racun_5</f>
        <v/>
      </c>
      <c r="K9" s="489"/>
    </row>
    <row r="10" spans="2:11" ht="12.75" customHeight="1" x14ac:dyDescent="0.2">
      <c r="B10" s="17"/>
      <c r="C10" s="16" t="str">
        <f>Zaglavlje_Sjediste</f>
        <v>Сjeдиштe:</v>
      </c>
      <c r="D10" s="493" t="str">
        <f>Podatak_Sjediste</f>
        <v>Бања Лука</v>
      </c>
      <c r="E10" s="493"/>
      <c r="F10" s="16"/>
      <c r="J10" s="489" t="str">
        <f>Podatak_Ziro_racun_6</f>
        <v/>
      </c>
      <c r="K10" s="489"/>
    </row>
    <row r="11" spans="2:11" ht="12.75" customHeight="1" x14ac:dyDescent="0.2">
      <c r="B11" s="17"/>
      <c r="C11" s="16" t="str">
        <f>Zaglavlje_JIB</f>
        <v>JИБ:</v>
      </c>
      <c r="D11" s="493" t="str">
        <f>Podatak_JIB</f>
        <v>4400964000002</v>
      </c>
      <c r="E11" s="493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76" t="str">
        <f>IF( Id_Konsolidovani, Nazivi_bilansa_Konsolidovani_naziv &amp; LOWER( Nazivi_bilansa_BUb), Nazivi_bilansa_BUb)</f>
        <v>Кoнсoлидoвaни извjeштaj</v>
      </c>
      <c r="D12" s="476"/>
      <c r="E12" s="476"/>
      <c r="F12" s="476"/>
      <c r="G12" s="476"/>
      <c r="H12" s="476"/>
      <c r="I12" s="476"/>
      <c r="J12" s="476"/>
      <c r="K12" s="476"/>
    </row>
    <row r="13" spans="2:11" ht="14.25" x14ac:dyDescent="0.2">
      <c r="B13" s="17"/>
      <c r="C13" s="499" t="str">
        <f>Nazivi_bilansa_BUb1</f>
        <v>o oстaлим дoбицимa и губицимa пeриoдa</v>
      </c>
      <c r="D13" s="499"/>
      <c r="E13" s="499"/>
      <c r="F13" s="499"/>
      <c r="G13" s="499"/>
      <c r="H13" s="499"/>
      <c r="I13" s="499"/>
      <c r="J13" s="499"/>
      <c r="K13" s="499"/>
    </row>
    <row r="14" spans="2:11" ht="12.75" customHeight="1" x14ac:dyDescent="0.2">
      <c r="B14" s="17"/>
      <c r="C14" s="492" t="str">
        <f>Datumi_Datum_BU</f>
        <v>зa пeриoд oд 01.01. дo 30.09.2019. гoдинe</v>
      </c>
      <c r="D14" s="492"/>
      <c r="E14" s="492"/>
      <c r="F14" s="492"/>
      <c r="G14" s="492"/>
      <c r="H14" s="492"/>
      <c r="I14" s="492"/>
      <c r="J14" s="492"/>
      <c r="K14" s="49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у кoнвeртибилним мaркaмa -</v>
      </c>
    </row>
    <row r="16" spans="2:11" ht="12.75" customHeight="1" x14ac:dyDescent="0.2">
      <c r="B16" s="17"/>
      <c r="C16" s="490" t="str">
        <f>Tabele_zaglavlje_Grupa_racuna</f>
        <v>Групa рaчунa, рaчун</v>
      </c>
      <c r="D16" s="481" t="str">
        <f>Tabele_zaglavlje_Pozicija</f>
        <v>ПОЗИЦИЈА</v>
      </c>
      <c r="E16" s="481"/>
      <c r="F16" s="481"/>
      <c r="G16" s="481"/>
      <c r="H16" s="481"/>
      <c r="I16" s="479" t="str">
        <f>Tabele_zaglavlje_Oznaka_aop</f>
        <v>Oзнaкa зa AOП</v>
      </c>
      <c r="J16" s="481" t="str">
        <f>Tabele_zaglavlje_Iznos</f>
        <v>Изнoс</v>
      </c>
      <c r="K16" s="482"/>
    </row>
    <row r="17" spans="2:15" ht="25.5" customHeight="1" x14ac:dyDescent="0.2">
      <c r="B17" s="17"/>
      <c r="C17" s="491"/>
      <c r="D17" s="495"/>
      <c r="E17" s="495"/>
      <c r="F17" s="495"/>
      <c r="G17" s="495"/>
      <c r="H17" s="495"/>
      <c r="I17" s="480"/>
      <c r="J17" s="58" t="str">
        <f>Tabele_zaglavlje_Tekuca_godina</f>
        <v>Teкућa гoдинa</v>
      </c>
      <c r="K17" s="59" t="str">
        <f>Tabele_zaglavlje_Prethodna_godina</f>
        <v>Прeтхoднa гoдинa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97">
        <v>2</v>
      </c>
      <c r="E18" s="497"/>
      <c r="F18" s="497"/>
      <c r="G18" s="497"/>
      <c r="H18" s="497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500" t="str">
        <f>VLOOKUP( $B19, T_Aop[], 6, 1)</f>
        <v>А. НЕТО ДОБИТАК ИЛИ НЕТО ГУБИТАК ПЕРИОДА (299 или 300)</v>
      </c>
      <c r="E19" s="500"/>
      <c r="F19" s="500"/>
      <c r="G19" s="500"/>
      <c r="H19" s="500"/>
      <c r="I19" s="102">
        <f>VLOOKUP( $B19, T_Aop[], 4, 1)</f>
        <v>400</v>
      </c>
      <c r="J19" s="103">
        <f>'02a'!J124 - '02a'!J125</f>
        <v>63385739</v>
      </c>
      <c r="K19" s="104">
        <f>'02a'!K124 - '02a'!K125</f>
        <v>44323490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501" t="str">
        <f>VLOOKUP( $B20, T_Aop[], 6, 1)</f>
        <v xml:space="preserve">  I - ДОБИЦИ УТВРЂЕНИ ДИРЕКТНО У КАПИТАЛУ (402 до 407)</v>
      </c>
      <c r="E20" s="501"/>
      <c r="F20" s="501"/>
      <c r="G20" s="501"/>
      <c r="H20" s="501"/>
      <c r="I20" s="87">
        <f>VLOOKUP( $B20, T_Aop[], 4, 1)</f>
        <v>401</v>
      </c>
      <c r="J20" s="105">
        <f>SUBTOTAL( 9, J21:J26)</f>
        <v>471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84" t="str">
        <f>VLOOKUP( $B21, T_Aop[], 6, 1)</f>
        <v xml:space="preserve">    1. Добици по основу смањења ревалоризационих резерви на сталним средствима, осим ХОВ расположивих за продају</v>
      </c>
      <c r="E21" s="484"/>
      <c r="F21" s="484"/>
      <c r="G21" s="484"/>
      <c r="H21" s="484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502" t="str">
        <f>VLOOKUP( $B22, T_Aop[], 6, 1)</f>
        <v xml:space="preserve">    2. Добици по основу промјене фер вриједности ХОВ расположивих за продају</v>
      </c>
      <c r="E22" s="502"/>
      <c r="F22" s="502"/>
      <c r="G22" s="502"/>
      <c r="H22" s="502"/>
      <c r="I22" s="87">
        <f>VLOOKUP( $B22, T_Aop[], 4, 1)</f>
        <v>403</v>
      </c>
      <c r="J22" s="225">
        <v>471</v>
      </c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84" t="str">
        <f>VLOOKUP( $B23, T_Aop[], 6, 1)</f>
        <v xml:space="preserve">    3. Добици по основу превођења финансијских извјештаја иностраног пословања</v>
      </c>
      <c r="E23" s="484"/>
      <c r="F23" s="484"/>
      <c r="G23" s="484"/>
      <c r="H23" s="484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502" t="str">
        <f>VLOOKUP( $B24, T_Aop[], 6, 1)</f>
        <v xml:space="preserve">    4. Актуарски добици од планова дефинисаних примања</v>
      </c>
      <c r="E24" s="502"/>
      <c r="F24" s="502"/>
      <c r="G24" s="502"/>
      <c r="H24" s="50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84" t="str">
        <f>VLOOKUP( $B25, T_Aop[], 6, 1)</f>
        <v xml:space="preserve">    5. Ефективни дио добитака по основу заштите од ризика готовинских токова</v>
      </c>
      <c r="E25" s="484"/>
      <c r="F25" s="484"/>
      <c r="G25" s="484"/>
      <c r="H25" s="484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502" t="str">
        <f>VLOOKUP( $B26, T_Aop[], 6, 1)</f>
        <v xml:space="preserve">    6. Остали добици утврђени директно у капиталу</v>
      </c>
      <c r="E26" s="502"/>
      <c r="F26" s="502"/>
      <c r="G26" s="502"/>
      <c r="H26" s="50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83" t="str">
        <f>VLOOKUP( $B27, T_Aop[], 6, 1)</f>
        <v xml:space="preserve">  II - ГУБИЦИ УТВРЂЕНИ ДИРЕКТНО У КАПИТАЛУ (409 до 413)</v>
      </c>
      <c r="E27" s="483"/>
      <c r="F27" s="483"/>
      <c r="G27" s="483"/>
      <c r="H27" s="483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502" t="str">
        <f>VLOOKUP( $B28, T_Aop[], 6, 1)</f>
        <v xml:space="preserve">    1. Губици по основу промјене фер вриједности ХОВ расположивих за продају</v>
      </c>
      <c r="E28" s="502"/>
      <c r="F28" s="502"/>
      <c r="G28" s="502"/>
      <c r="H28" s="502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84" t="str">
        <f>VLOOKUP( $B29, T_Aop[], 6, 1)</f>
        <v xml:space="preserve">    2. Губици по основу превођења финансијских извјештаја иностраног пословања</v>
      </c>
      <c r="E29" s="484"/>
      <c r="F29" s="484"/>
      <c r="G29" s="484"/>
      <c r="H29" s="484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502" t="str">
        <f>VLOOKUP( $B30, T_Aop[], 6, 1)</f>
        <v xml:space="preserve">    3. Актуарски губици од планова дефинисаних примања</v>
      </c>
      <c r="E30" s="502"/>
      <c r="F30" s="502"/>
      <c r="G30" s="502"/>
      <c r="H30" s="50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84" t="str">
        <f>VLOOKUP( $B31, T_Aop[], 6, 1)</f>
        <v xml:space="preserve">    4. Ефективни дио губитака по основу заштите од ризика готовинских токова</v>
      </c>
      <c r="E31" s="484"/>
      <c r="F31" s="484"/>
      <c r="G31" s="484"/>
      <c r="H31" s="484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502" t="str">
        <f>VLOOKUP( $B32, T_Aop[], 6, 1)</f>
        <v xml:space="preserve">    5. Остали губици утврђени директно у капиталу</v>
      </c>
      <c r="E32" s="502"/>
      <c r="F32" s="502"/>
      <c r="G32" s="502"/>
      <c r="H32" s="50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83" t="str">
        <f>VLOOKUP( $B33, T_Aop[], 6, 1)</f>
        <v>Б. ОСТАЛИ ДОБИЦИ ИЛИ ГУБИЦИ У ПЕРИОДУ (401 - 408) или (408 - 401)</v>
      </c>
      <c r="E33" s="483"/>
      <c r="F33" s="483"/>
      <c r="G33" s="483"/>
      <c r="H33" s="483"/>
      <c r="I33" s="83">
        <f>VLOOKUP( $B33, T_Aop[], 4, 1)</f>
        <v>414</v>
      </c>
      <c r="J33" s="107">
        <f>SUBTOTAL( 9, J21:J26) - SUBTOTAL( 9, J27:J32)</f>
        <v>471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501" t="str">
        <f>VLOOKUP( $B34, T_Aop[], 6, 1)</f>
        <v>В. ПОРЕЗ НА ДОБИТАК КОЈИ СЕ ОДНОСИ НА ОСТАЛЕ ДОБИТКЕ И ГУБИТКЕ</v>
      </c>
      <c r="E34" s="501"/>
      <c r="F34" s="501"/>
      <c r="G34" s="501"/>
      <c r="H34" s="501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83" t="str">
        <f>VLOOKUP( $B35, T_Aop[], 6, 1)</f>
        <v>Г. НЕТО РЕЗУЛТАТ ПО ОСНОВУ ОСТАЛИХ ДОБИТАКА И ГУБИТАКА У ПЕРИОДУ (414 ± 415)</v>
      </c>
      <c r="E35" s="483"/>
      <c r="F35" s="483"/>
      <c r="G35" s="483"/>
      <c r="H35" s="483"/>
      <c r="I35" s="83">
        <f>VLOOKUP( $B35, T_Aop[], 4, 1)</f>
        <v>416</v>
      </c>
      <c r="J35" s="107">
        <f>SUBTOTAL( 9, J21:J26) - SUBTOTAL( 9, J27:J32, J34)</f>
        <v>471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501" t="str">
        <f>VLOOKUP( $B36, T_Aop[], 6, 1)</f>
        <v>Д. УКУПАН НЕТО РЕЗУЛТАТ У ОБРАЧУНСКОМ ПЕРИОДУ</v>
      </c>
      <c r="E36" s="501"/>
      <c r="F36" s="501"/>
      <c r="G36" s="501"/>
      <c r="H36" s="501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83" t="str">
        <f>VLOOKUP( $B37, T_Aop[], 6, 1)</f>
        <v xml:space="preserve">  I - УКУПАН НЕТО ДОБИТАК У ОБРАЧУНСКОМ ПЕРИОДУ (400 ± 416)</v>
      </c>
      <c r="E37" s="483"/>
      <c r="F37" s="483"/>
      <c r="G37" s="483"/>
      <c r="H37" s="483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63386210</v>
      </c>
      <c r="K37" s="108">
        <f>IF( SUBTOTAL( 9, K19, K20:K26) - SUBTOTAL( 9, K27:K32, K34) &lt;= 0, 0, ABS( SUBTOTAL( 9, K19, K20:K26) - SUBTOTAL( 9, K27:K32, K34) ))</f>
        <v>44323490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503" t="str">
        <f>VLOOKUP( $B38, T_Aop[], 6, 1)</f>
        <v xml:space="preserve">  II - УКУПАН НЕТО ГУБИТАК У ОБРАЧУНСКОМ ПЕРИОДУ (400 ± 416)</v>
      </c>
      <c r="E38" s="503"/>
      <c r="F38" s="503"/>
      <c r="G38" s="503"/>
      <c r="H38" s="503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У</v>
      </c>
      <c r="D40" s="269" t="str">
        <f>Podatak_U</f>
        <v>Бањој Луци</v>
      </c>
      <c r="E40"/>
      <c r="G40"/>
      <c r="H40" s="154" t="str">
        <f>Podnozje_Lice_sa_licencom</f>
        <v>Лицe сa лицeнцoм:</v>
      </c>
      <c r="I40" s="270" t="str">
        <f>Podatak_Lice_sa_licencom</f>
        <v>Весна Гудураш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(M.П.)</v>
      </c>
      <c r="G41"/>
      <c r="H41"/>
      <c r="I41"/>
    </row>
    <row r="42" spans="2:15" ht="12.75" customHeight="1" x14ac:dyDescent="0.2">
      <c r="C42" s="272" t="str">
        <f>Podnozje_Dana</f>
        <v>Датум:</v>
      </c>
      <c r="D42" s="270" t="str">
        <f>Podatak_Dana</f>
        <v>31.10.2019.</v>
      </c>
      <c r="E42"/>
      <c r="F42" s="51"/>
      <c r="G42"/>
      <c r="H42" s="154" t="str">
        <f>Podnozje_Direktor</f>
        <v>Лице овлашћено за заступање:</v>
      </c>
      <c r="I42" s="270" t="str">
        <f>Podatak_Direktor</f>
        <v>Марко Лопичић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workbookViewId="0">
      <pane ySplit="4" topLeftCell="A5" activePane="bottomLeft" state="frozen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Maтични брoj:</v>
      </c>
      <c r="D5" s="493" t="str">
        <f>Podatak_MB</f>
        <v>1772902</v>
      </c>
      <c r="E5" s="493"/>
      <c r="I5" s="17" t="str">
        <f>Zaglavlje_Ziro_racun</f>
        <v>Пословни рачуни:</v>
      </c>
      <c r="J5" s="489" t="str">
        <f>Podatak_Ziro_racun_1</f>
        <v>562-099-00004057-60</v>
      </c>
      <c r="K5" s="489"/>
    </row>
    <row r="6" spans="3:13" x14ac:dyDescent="0.2">
      <c r="C6" s="16" t="str">
        <f>Zaglavlje_Sifra_djelatnosti</f>
        <v>Шифрa дjeлaтн.</v>
      </c>
      <c r="D6" s="493" t="str">
        <f>Podatak_Sifra_djelatnosti</f>
        <v>61.10</v>
      </c>
      <c r="E6" s="493"/>
      <c r="F6" s="9"/>
      <c r="J6" s="489" t="str">
        <f>Podatak_Ziro_racun_2</f>
        <v>551-001-00000027-45</v>
      </c>
      <c r="K6" s="489"/>
    </row>
    <row r="7" spans="3:13" x14ac:dyDescent="0.2">
      <c r="C7" s="494" t="str">
        <f>Zaglavlje_Naziv_preduzeca</f>
        <v>Нaзив приврeднoг друштвa, зaдругe, другoг прaвнoг лицa или прeдузeтникa:</v>
      </c>
      <c r="D7" s="494"/>
      <c r="E7" s="494"/>
      <c r="F7" s="19"/>
      <c r="J7" s="489" t="str">
        <f>Podatak_Ziro_racun_3</f>
        <v>154-921-20007335-38</v>
      </c>
      <c r="K7" s="489"/>
    </row>
    <row r="8" spans="3:13" x14ac:dyDescent="0.2">
      <c r="C8" s="494"/>
      <c r="D8" s="494"/>
      <c r="E8" s="494"/>
      <c r="F8" s="19"/>
      <c r="J8" s="489" t="str">
        <f>Podatak_Ziro_racun_4</f>
        <v>571-010-00000981-31</v>
      </c>
      <c r="K8" s="489"/>
    </row>
    <row r="9" spans="3:13" x14ac:dyDescent="0.2">
      <c r="C9" s="496" t="str">
        <f>Podatak_Naziv_preduzeca</f>
        <v>"Мтел" а.д.</v>
      </c>
      <c r="D9" s="496"/>
      <c r="E9" s="496"/>
      <c r="F9" s="496"/>
      <c r="J9" s="489" t="str">
        <f>Podatak_Ziro_racun_5</f>
        <v/>
      </c>
      <c r="K9" s="489"/>
    </row>
    <row r="10" spans="3:13" x14ac:dyDescent="0.2">
      <c r="C10" s="16" t="str">
        <f>Zaglavlje_Sjediste</f>
        <v>Сjeдиштe:</v>
      </c>
      <c r="D10" s="493" t="str">
        <f>Podatak_Sjediste</f>
        <v>Бања Лука</v>
      </c>
      <c r="E10" s="493"/>
      <c r="F10" s="16"/>
      <c r="J10" s="489" t="str">
        <f>Podatak_Ziro_racun_6</f>
        <v/>
      </c>
      <c r="K10" s="489"/>
    </row>
    <row r="11" spans="3:13" x14ac:dyDescent="0.2">
      <c r="C11" s="16" t="str">
        <f>Zaglavlje_JIB</f>
        <v>JИБ:</v>
      </c>
      <c r="D11" s="493" t="str">
        <f>Podatak_JIB</f>
        <v>4400964000002</v>
      </c>
      <c r="E11" s="493"/>
      <c r="F11" s="20"/>
      <c r="G11" s="20"/>
      <c r="H11" s="20"/>
      <c r="I11" s="20"/>
      <c r="J11"/>
      <c r="K11"/>
    </row>
    <row r="12" spans="3:13" ht="15.75" x14ac:dyDescent="0.2">
      <c r="C12" s="505" t="str">
        <f>IF( Id_Konsolidovani, Nazivi_bilansa_Konsolidovani_naziv &amp; LOWER( Nazivi_bilansa_BTG), Nazivi_bilansa_BTG)</f>
        <v>Кoнсoлидoвaни билaнс тoкoвa гoтoвинe</v>
      </c>
      <c r="D12" s="505"/>
      <c r="E12" s="505"/>
      <c r="F12" s="505"/>
      <c r="G12" s="505"/>
      <c r="H12" s="505"/>
      <c r="I12" s="505"/>
      <c r="J12" s="505"/>
      <c r="K12" s="505"/>
    </row>
    <row r="13" spans="3:13" x14ac:dyDescent="0.2">
      <c r="C13" s="506" t="str">
        <f>Nazivi_bilansa_BTG1</f>
        <v>(Извjeштaj o тoкoвимa гoтoвинe)</v>
      </c>
      <c r="D13" s="506"/>
      <c r="E13" s="506"/>
      <c r="F13" s="506"/>
      <c r="G13" s="506"/>
      <c r="H13" s="506"/>
      <c r="I13" s="506"/>
      <c r="J13" s="506"/>
      <c r="K13" s="506"/>
    </row>
    <row r="14" spans="3:13" x14ac:dyDescent="0.2">
      <c r="C14" s="506" t="str">
        <f>Datumi_Datum_BTG</f>
        <v>зa пeриoд oд 01.01. дo 30.09.2019. гoдинe</v>
      </c>
      <c r="D14" s="506"/>
      <c r="E14" s="506"/>
      <c r="F14" s="506"/>
      <c r="G14" s="506"/>
      <c r="H14" s="506"/>
      <c r="I14" s="506"/>
      <c r="J14" s="506"/>
      <c r="K14" s="506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у кoнвeртибилним мaркaмa -</v>
      </c>
    </row>
    <row r="16" spans="3:13" x14ac:dyDescent="0.2">
      <c r="C16" s="490" t="str">
        <f>Tabele_zaglavlje_Redni_broj</f>
        <v>Рeдни брoj</v>
      </c>
      <c r="D16" s="481" t="str">
        <f>Tabele_zaglavlje_Pozicija</f>
        <v>ПОЗИЦИЈА</v>
      </c>
      <c r="E16" s="481"/>
      <c r="F16" s="481"/>
      <c r="G16" s="481"/>
      <c r="H16" s="481"/>
      <c r="I16" s="479" t="str">
        <f>Tabele_zaglavlje_Oznaka_aop</f>
        <v>Oзнaкa зa AOП</v>
      </c>
      <c r="J16" s="481" t="str">
        <f>Tabele_zaglavlje_Iznos</f>
        <v>Изнoс</v>
      </c>
      <c r="K16" s="482"/>
      <c r="M16" s="57"/>
    </row>
    <row r="17" spans="2:15" ht="25.5" x14ac:dyDescent="0.2">
      <c r="C17" s="491"/>
      <c r="D17" s="495"/>
      <c r="E17" s="495"/>
      <c r="F17" s="495"/>
      <c r="G17" s="495"/>
      <c r="H17" s="495"/>
      <c r="I17" s="480"/>
      <c r="J17" s="58" t="str">
        <f>Tabele_zaglavlje_Tekuca_godina</f>
        <v>Teкућa гoдинa</v>
      </c>
      <c r="K17" s="59" t="str">
        <f>Tabele_zaglavlje_Prethodna_godina</f>
        <v>Прeтхoднa гoдинa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97">
        <v>2</v>
      </c>
      <c r="E18" s="497"/>
      <c r="F18" s="497"/>
      <c r="G18" s="497"/>
      <c r="H18" s="497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98" t="str">
        <f>VLOOKUP( $B19, T_Aop[], 6, 1)</f>
        <v>А. ТОКОВИ ГОТОВИНЕ ИЗ ПОСЛОВНИХ АКТИВНОСТИ</v>
      </c>
      <c r="E19" s="498"/>
      <c r="F19" s="498"/>
      <c r="G19" s="498"/>
      <c r="H19" s="498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83" t="str">
        <f>VLOOKUP( $B20, T_Aop[], 6, 1)</f>
        <v xml:space="preserve">  I - ПРИЛИВИ ГОТОВИНЕ ИЗ ПОСЛОВНИХ АКТИВНОСТИ (502 до 504)</v>
      </c>
      <c r="E20" s="483"/>
      <c r="F20" s="483"/>
      <c r="G20" s="483"/>
      <c r="H20" s="483"/>
      <c r="I20" s="83">
        <f>VLOOKUP( $B20, T_Aop[], 4, 1)</f>
        <v>501</v>
      </c>
      <c r="J20" s="84">
        <f>SUBTOTAL( 9, J21:J23)</f>
        <v>350878695</v>
      </c>
      <c r="K20" s="85">
        <f>SUBTOTAL( 9, K21:K23)</f>
        <v>325777682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77" t="str">
        <f>VLOOKUP( $B21, T_Aop[], 6, 1)</f>
        <v xml:space="preserve">    1. Приливи од купаца и примљени аванси</v>
      </c>
      <c r="E21" s="477"/>
      <c r="F21" s="477"/>
      <c r="G21" s="477"/>
      <c r="H21" s="477"/>
      <c r="I21" s="114">
        <f>VLOOKUP( $B21, T_Aop[], 4, 1)</f>
        <v>502</v>
      </c>
      <c r="J21" s="217">
        <v>348440873</v>
      </c>
      <c r="K21" s="220">
        <v>324575568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84" t="str">
        <f>VLOOKUP( $B22, T_Aop[], 6, 1)</f>
        <v xml:space="preserve">    2. Приливи од премија, субвенција, дотација и сл.</v>
      </c>
      <c r="E22" s="484"/>
      <c r="F22" s="484"/>
      <c r="G22" s="484"/>
      <c r="H22" s="484"/>
      <c r="I22" s="83">
        <f>VLOOKUP( $B22, T_Aop[], 4, 1)</f>
        <v>503</v>
      </c>
      <c r="J22" s="215"/>
      <c r="K22" s="388"/>
      <c r="O22" s="29"/>
    </row>
    <row r="23" spans="2:15" x14ac:dyDescent="0.2">
      <c r="B23" s="66">
        <v>275</v>
      </c>
      <c r="C23" s="86" t="str">
        <f>VLOOKUP( $B23, T_Aop[], 5, 1)</f>
        <v>5.</v>
      </c>
      <c r="D23" s="477" t="str">
        <f>VLOOKUP( $B23, T_Aop[], 6, 1)</f>
        <v xml:space="preserve">    3. Остали приливи из пословних активности</v>
      </c>
      <c r="E23" s="477"/>
      <c r="F23" s="477"/>
      <c r="G23" s="477"/>
      <c r="H23" s="477"/>
      <c r="I23" s="114">
        <f>VLOOKUP( $B23, T_Aop[], 4, 1)</f>
        <v>504</v>
      </c>
      <c r="J23" s="219">
        <v>2437822</v>
      </c>
      <c r="K23" s="220">
        <v>1202114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83" t="str">
        <f>VLOOKUP( $B24, T_Aop[], 6, 1)</f>
        <v xml:space="preserve">  II - ОДЛИВИ ГОТОВИНЕ ИЗ ПОСЛОВНИХ АКТИВНОСТИ (506 до 510)</v>
      </c>
      <c r="E24" s="483"/>
      <c r="F24" s="483"/>
      <c r="G24" s="483"/>
      <c r="H24" s="483"/>
      <c r="I24" s="83">
        <f>VLOOKUP( $B24, T_Aop[], 4, 1)</f>
        <v>505</v>
      </c>
      <c r="J24" s="84">
        <f>SUBTOTAL( 9, J25:J29)</f>
        <v>236520057</v>
      </c>
      <c r="K24" s="85">
        <f>SUBTOTAL( 9, K25:K29)</f>
        <v>217293370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77" t="str">
        <f>VLOOKUP( $B25, T_Aop[], 6, 1)</f>
        <v xml:space="preserve">    1. Одливи по основу исплата добављачима и дати аванси</v>
      </c>
      <c r="E25" s="477"/>
      <c r="F25" s="477"/>
      <c r="G25" s="477"/>
      <c r="H25" s="477"/>
      <c r="I25" s="114">
        <f>VLOOKUP( $B25, T_Aop[], 4, 1)</f>
        <v>506</v>
      </c>
      <c r="J25" s="217">
        <v>163296042</v>
      </c>
      <c r="K25" s="220">
        <v>153189441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84" t="str">
        <f>VLOOKUP( $B26, T_Aop[], 6, 1)</f>
        <v xml:space="preserve">    2. Одливи по основу исплата зарада, накнада зарада и осталих личних расхода</v>
      </c>
      <c r="E26" s="484"/>
      <c r="F26" s="484"/>
      <c r="G26" s="484"/>
      <c r="H26" s="484"/>
      <c r="I26" s="83">
        <f>VLOOKUP( $B26, T_Aop[], 4, 1)</f>
        <v>507</v>
      </c>
      <c r="J26" s="215">
        <v>58065410</v>
      </c>
      <c r="K26" s="388">
        <v>54988759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77" t="str">
        <f>VLOOKUP( $B27, T_Aop[], 6, 1)</f>
        <v xml:space="preserve">    3. Одливи по основу плаћених камата</v>
      </c>
      <c r="E27" s="477"/>
      <c r="F27" s="477"/>
      <c r="G27" s="477"/>
      <c r="H27" s="477"/>
      <c r="I27" s="114">
        <f>VLOOKUP( $B27, T_Aop[], 4, 1)</f>
        <v>508</v>
      </c>
      <c r="J27" s="217">
        <v>4723612</v>
      </c>
      <c r="K27" s="220">
        <v>614507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84" t="str">
        <f>VLOOKUP( $B28, T_Aop[], 6, 1)</f>
        <v xml:space="preserve">    4. Одливи по основу пореза на добит</v>
      </c>
      <c r="E28" s="484"/>
      <c r="F28" s="484"/>
      <c r="G28" s="484"/>
      <c r="H28" s="484"/>
      <c r="I28" s="83">
        <f>VLOOKUP( $B28, T_Aop[], 4, 1)</f>
        <v>509</v>
      </c>
      <c r="J28" s="215">
        <v>5843398</v>
      </c>
      <c r="K28" s="388">
        <v>3911628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77" t="str">
        <f>VLOOKUP( $B29, T_Aop[], 6, 1)</f>
        <v xml:space="preserve">    5. Остали одливи из пословних активности</v>
      </c>
      <c r="E29" s="477"/>
      <c r="F29" s="477"/>
      <c r="G29" s="477"/>
      <c r="H29" s="477"/>
      <c r="I29" s="114">
        <f>VLOOKUP( $B29, T_Aop[], 4, 1)</f>
        <v>510</v>
      </c>
      <c r="J29" s="217">
        <v>4591595</v>
      </c>
      <c r="K29" s="220">
        <v>4589035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83" t="str">
        <f>VLOOKUP( $B30, T_Aop[], 6, 1)</f>
        <v xml:space="preserve">  III - НЕТО ПРИЛИВ ГОТОВИНЕ ИЗ ПОСЛОВНИХ АКТИВНОСТИ (501 - 505)</v>
      </c>
      <c r="E30" s="483"/>
      <c r="F30" s="483"/>
      <c r="G30" s="483"/>
      <c r="H30" s="483"/>
      <c r="I30" s="83">
        <f>VLOOKUP( $B30, T_Aop[], 4, 1)</f>
        <v>511</v>
      </c>
      <c r="J30" s="84">
        <f>IF( SUBTOTAL( 9, J20:J23) - SUBTOTAL( 9, J24:J29) &lt;= 0, 0, ABS( SUBTOTAL( 9, J20:J23) - SUBTOTAL( 9, J24:J29)) )</f>
        <v>114358638</v>
      </c>
      <c r="K30" s="85">
        <f>IF( SUBTOTAL( 9, K20:K23) - SUBTOTAL( 9, K24:K29) &lt;= 0, 0, ABS( SUBTOTAL( 9, K20:K23) - SUBTOTAL( 9, K24:K29)) )</f>
        <v>108484312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88" t="str">
        <f>VLOOKUP( $B31, T_Aop[], 6, 1)</f>
        <v xml:space="preserve">  IV - НЕТО ОДЛИВ ГОТОВИНЕ ИЗ ПОСЛОВНИХ АКТИВНОСТИ (505 - 501)</v>
      </c>
      <c r="E31" s="488"/>
      <c r="F31" s="488"/>
      <c r="G31" s="488"/>
      <c r="H31" s="488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83" t="str">
        <f>VLOOKUP( $B32, T_Aop[], 6, 1)</f>
        <v>Б. ТОКОВИ ГОТОВИНЕ ИЗ АКТИВНОСТИ ИНВЕСТИРАЊА</v>
      </c>
      <c r="E32" s="483"/>
      <c r="F32" s="483"/>
      <c r="G32" s="483"/>
      <c r="H32" s="483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88" t="str">
        <f>VLOOKUP( $B33, T_Aop[], 6, 1)</f>
        <v xml:space="preserve">  I - ПРИЛИВИ ГОТОВИНЕ ИЗ АКТИВНОСТИ ИНВЕСТИРАЊА (514 до 519)</v>
      </c>
      <c r="E33" s="488"/>
      <c r="F33" s="488"/>
      <c r="G33" s="488"/>
      <c r="H33" s="488"/>
      <c r="I33" s="114">
        <f>VLOOKUP( $B33, T_Aop[], 4, 1)</f>
        <v>513</v>
      </c>
      <c r="J33" s="91">
        <f>SUBTOTAL( 9, J34:J39)</f>
        <v>63920938</v>
      </c>
      <c r="K33" s="92">
        <f>SUBTOTAL( 9, K34:K39)</f>
        <v>25591201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84" t="str">
        <f>VLOOKUP( $B34, T_Aop[], 6, 1)</f>
        <v xml:space="preserve">    1. Приливи по основу краткорочних финансијских пласмана</v>
      </c>
      <c r="E34" s="484"/>
      <c r="F34" s="484"/>
      <c r="G34" s="484"/>
      <c r="H34" s="484"/>
      <c r="I34" s="83">
        <f>VLOOKUP( $B34, T_Aop[], 4, 1)</f>
        <v>514</v>
      </c>
      <c r="J34" s="215">
        <v>56786501</v>
      </c>
      <c r="K34" s="388"/>
      <c r="O34" s="29"/>
    </row>
    <row r="35" spans="2:15" x14ac:dyDescent="0.2">
      <c r="B35" s="66">
        <v>287</v>
      </c>
      <c r="C35" s="86" t="str">
        <f>VLOOKUP( $B35, T_Aop[], 5, 1)</f>
        <v>17.</v>
      </c>
      <c r="D35" s="477" t="str">
        <f>VLOOKUP( $B35, T_Aop[], 6, 1)</f>
        <v xml:space="preserve">    2. Приливи по основу продаје акција и удјела</v>
      </c>
      <c r="E35" s="477"/>
      <c r="F35" s="477"/>
      <c r="G35" s="477"/>
      <c r="H35" s="477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84" t="str">
        <f>VLOOKUP( $B36, T_Aop[], 6, 1)</f>
        <v xml:space="preserve">    3. Приливи по основу продаје нематеријалних средстава, некретнина, постројења, опреме, инвестиционих некретнина и биолошких средстава</v>
      </c>
      <c r="E36" s="484"/>
      <c r="F36" s="484"/>
      <c r="G36" s="484"/>
      <c r="H36" s="484"/>
      <c r="I36" s="83">
        <f>VLOOKUP( $B36, T_Aop[], 4, 1)</f>
        <v>516</v>
      </c>
      <c r="J36" s="215">
        <v>260205</v>
      </c>
      <c r="K36" s="388">
        <v>251552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77" t="str">
        <f>VLOOKUP( $B37, T_Aop[], 6, 1)</f>
        <v xml:space="preserve">    4. Приливи по основу камата</v>
      </c>
      <c r="E37" s="477"/>
      <c r="F37" s="477"/>
      <c r="G37" s="477"/>
      <c r="H37" s="477"/>
      <c r="I37" s="114">
        <f>VLOOKUP( $B37, T_Aop[], 4, 1)</f>
        <v>517</v>
      </c>
      <c r="J37" s="219">
        <v>869383</v>
      </c>
      <c r="K37" s="220">
        <v>1365177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84" t="str">
        <f>VLOOKUP( $B38, T_Aop[], 6, 1)</f>
        <v xml:space="preserve">    5. Приливи од дивиденди и учешћа у добитку</v>
      </c>
      <c r="E38" s="484"/>
      <c r="F38" s="484"/>
      <c r="G38" s="484"/>
      <c r="H38" s="484"/>
      <c r="I38" s="83">
        <f>VLOOKUP( $B38, T_Aop[], 4, 1)</f>
        <v>518</v>
      </c>
      <c r="J38" s="215"/>
      <c r="K38" s="388"/>
      <c r="O38" s="29"/>
    </row>
    <row r="39" spans="2:15" x14ac:dyDescent="0.2">
      <c r="B39" s="66">
        <v>291</v>
      </c>
      <c r="C39" s="86" t="str">
        <f>VLOOKUP( $B39, T_Aop[], 5, 1)</f>
        <v>21.</v>
      </c>
      <c r="D39" s="477" t="str">
        <f>VLOOKUP( $B39, T_Aop[], 6, 1)</f>
        <v xml:space="preserve">    6. Приливи по основу осталих дугорочних финансијских пласмана</v>
      </c>
      <c r="E39" s="477"/>
      <c r="F39" s="477"/>
      <c r="G39" s="477"/>
      <c r="H39" s="477"/>
      <c r="I39" s="114">
        <f>VLOOKUP( $B39, T_Aop[], 4, 1)</f>
        <v>519</v>
      </c>
      <c r="J39" s="219">
        <v>6004849</v>
      </c>
      <c r="K39" s="220">
        <v>23974472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83" t="str">
        <f>VLOOKUP( $B40, T_Aop[], 6, 1)</f>
        <v xml:space="preserve">  II - ОДЛИВИ ГОТОВИНЕ ИЗ АКТИВНОСТИ ИНВЕСТИРАЊА (521 до 524)</v>
      </c>
      <c r="E40" s="483"/>
      <c r="F40" s="483"/>
      <c r="G40" s="483"/>
      <c r="H40" s="483"/>
      <c r="I40" s="83">
        <f>VLOOKUP( $B40, T_Aop[], 4, 1)</f>
        <v>520</v>
      </c>
      <c r="J40" s="84">
        <f>SUBTOTAL( 9, J41:J44)</f>
        <v>247632716</v>
      </c>
      <c r="K40" s="85">
        <f>SUBTOTAL( 9, K41:K44)</f>
        <v>164706556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77" t="str">
        <f>VLOOKUP( $B41, T_Aop[], 6, 1)</f>
        <v xml:space="preserve">    1. Одливи по основу краткорочних финансијских пласмана</v>
      </c>
      <c r="E41" s="477"/>
      <c r="F41" s="477"/>
      <c r="G41" s="477"/>
      <c r="H41" s="477"/>
      <c r="I41" s="114">
        <f>VLOOKUP( $B41, T_Aop[], 4, 1)</f>
        <v>521</v>
      </c>
      <c r="J41" s="219"/>
      <c r="K41" s="220">
        <v>54007555</v>
      </c>
      <c r="O41" s="29"/>
    </row>
    <row r="42" spans="2:15" x14ac:dyDescent="0.2">
      <c r="B42" s="66">
        <v>294</v>
      </c>
      <c r="C42" s="82" t="str">
        <f>VLOOKUP( $B42, T_Aop[], 5, 1)</f>
        <v>24.</v>
      </c>
      <c r="D42" s="484" t="str">
        <f>VLOOKUP( $B42, T_Aop[], 6, 1)</f>
        <v xml:space="preserve">    2. Одливи по основу куповине акција и удјела</v>
      </c>
      <c r="E42" s="484"/>
      <c r="F42" s="484"/>
      <c r="G42" s="484"/>
      <c r="H42" s="484"/>
      <c r="I42" s="83">
        <f>VLOOKUP( $B42, T_Aop[], 4, 1)</f>
        <v>522</v>
      </c>
      <c r="J42" s="215">
        <v>198138697</v>
      </c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77" t="str">
        <f>VLOOKUP( $B43, T_Aop[], 6, 1)</f>
        <v xml:space="preserve">    3. Odlivi po osnovu kupovine nematerijalnih sredstava, nekretnina, postrojenja, opreme, investicionih nekretnina i bioloških sredstava</v>
      </c>
      <c r="E43" s="477"/>
      <c r="F43" s="477"/>
      <c r="G43" s="477"/>
      <c r="H43" s="477"/>
      <c r="I43" s="114">
        <f>VLOOKUP( $B43, T_Aop[], 4, 1)</f>
        <v>523</v>
      </c>
      <c r="J43" s="219">
        <v>49494019</v>
      </c>
      <c r="K43" s="220">
        <v>110699001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84" t="str">
        <f>VLOOKUP( $B44, T_Aop[], 6, 1)</f>
        <v xml:space="preserve">    4. Одливи по основу осталих дугорочних финансијских пласмана</v>
      </c>
      <c r="E44" s="484"/>
      <c r="F44" s="484"/>
      <c r="G44" s="484"/>
      <c r="H44" s="484"/>
      <c r="I44" s="83">
        <f>VLOOKUP( $B44, T_Aop[], 4, 1)</f>
        <v>524</v>
      </c>
      <c r="J44" s="215"/>
      <c r="K44" s="388"/>
      <c r="O44" s="29"/>
    </row>
    <row r="45" spans="2:15" x14ac:dyDescent="0.2">
      <c r="B45" s="66">
        <v>297</v>
      </c>
      <c r="C45" s="86" t="str">
        <f>VLOOKUP( $B45, T_Aop[], 5, 1)</f>
        <v>27.</v>
      </c>
      <c r="D45" s="488" t="str">
        <f>VLOOKUP( $B45, T_Aop[], 6, 1)</f>
        <v xml:space="preserve">  III - НЕТО ПРИЛИВ ГОТОВИНЕ ИЗ АКТИВНОСТИ ИНВЕСТИРАЊА (513 - 520)</v>
      </c>
      <c r="E45" s="488"/>
      <c r="F45" s="488"/>
      <c r="G45" s="488"/>
      <c r="H45" s="488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83" t="str">
        <f>VLOOKUP( $B46, T_Aop[], 6, 1)</f>
        <v xml:space="preserve">  IV - НЕТО ОДЛИВ ГОТОВИНЕ ИЗ АКТИВНОСТИ ИНВЕСТИРАЊА (520 - 513)</v>
      </c>
      <c r="E46" s="483"/>
      <c r="F46" s="483"/>
      <c r="G46" s="483"/>
      <c r="H46" s="483"/>
      <c r="I46" s="83">
        <f>VLOOKUP( $B46, T_Aop[], 4, 1)</f>
        <v>526</v>
      </c>
      <c r="J46" s="84">
        <f>IF( SUBTOTAL( 9, J33:J39) - SUBTOTAL( 9, J40:J44) &gt;= 0, 0, ABS( SUBTOTAL( 9, J33:J39) - SUBTOTAL( 9, J40:J44)) )</f>
        <v>183711778</v>
      </c>
      <c r="K46" s="85">
        <f>IF( SUBTOTAL( 9, K33:K39) - SUBTOTAL( 9, K40:K44) &gt;= 0, 0, ABS( SUBTOTAL( 9, K33:K39) - SUBTOTAL( 9, K40:K44)) )</f>
        <v>139115355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88" t="str">
        <f>VLOOKUP( $B47, T_Aop[], 6, 1)</f>
        <v>В. ТОКОВИ ГОТОВИНЕ ИЗ АКТИВНОСТИ ФИНАНСИРАЊА</v>
      </c>
      <c r="E47" s="488"/>
      <c r="F47" s="488"/>
      <c r="G47" s="488"/>
      <c r="H47" s="488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83" t="str">
        <f>VLOOKUP( $B48, T_Aop[], 6, 1)</f>
        <v xml:space="preserve">  I - ПРИЛИВ ГОТОВИНЕ ИЗ АКТИВНОСТИ ФИНАНСИРАЊА (528 до 531)</v>
      </c>
      <c r="E48" s="483"/>
      <c r="F48" s="483"/>
      <c r="G48" s="483"/>
      <c r="H48" s="483"/>
      <c r="I48" s="83">
        <f>VLOOKUP( $B48, T_Aop[], 4, 1)</f>
        <v>527</v>
      </c>
      <c r="J48" s="84">
        <f>SUBTOTAL( 9, J49:J52)</f>
        <v>118323131</v>
      </c>
      <c r="K48" s="85">
        <f>SUBTOTAL( 9, K49:K52)</f>
        <v>103966610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77" t="str">
        <f>VLOOKUP( $B49, T_Aop[], 6, 1)</f>
        <v xml:space="preserve">    1. Приливи по основу повећања основног капитала</v>
      </c>
      <c r="E49" s="477"/>
      <c r="F49" s="477"/>
      <c r="G49" s="477"/>
      <c r="H49" s="477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84" t="str">
        <f>VLOOKUP( $B50, T_Aop[], 6, 1)</f>
        <v xml:space="preserve">    2. Приливи по основу дугорочних кредита</v>
      </c>
      <c r="E50" s="484"/>
      <c r="F50" s="484"/>
      <c r="G50" s="484"/>
      <c r="H50" s="484"/>
      <c r="I50" s="83">
        <f>VLOOKUP( $B50, T_Aop[], 4, 1)</f>
        <v>529</v>
      </c>
      <c r="J50" s="215">
        <v>104564475</v>
      </c>
      <c r="K50" s="388">
        <v>97864844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77" t="str">
        <f>VLOOKUP( $B51, T_Aop[], 6, 1)</f>
        <v xml:space="preserve">    3. Приливи по основу краткорочних кредита</v>
      </c>
      <c r="E51" s="477"/>
      <c r="F51" s="477"/>
      <c r="G51" s="477"/>
      <c r="H51" s="477"/>
      <c r="I51" s="114">
        <f>VLOOKUP( $B51, T_Aop[], 4, 1)</f>
        <v>530</v>
      </c>
      <c r="J51" s="219">
        <v>13758656</v>
      </c>
      <c r="K51" s="220">
        <v>6101766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84" t="str">
        <f>VLOOKUP( $B52, T_Aop[], 6, 1)</f>
        <v xml:space="preserve">    4. Приливи по основу осталих дугорочних и краткорочних обавеза</v>
      </c>
      <c r="E52" s="484"/>
      <c r="F52" s="484"/>
      <c r="G52" s="484"/>
      <c r="H52" s="484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88" t="str">
        <f>VLOOKUP( $B53, T_Aop[], 6, 1)</f>
        <v xml:space="preserve">  II - ОДЛИВИ ГОТОВИНЕ ИЗ АКТИВНОСТИ ФИНАНСИРАЊА (533 до 538)</v>
      </c>
      <c r="E53" s="488"/>
      <c r="F53" s="488"/>
      <c r="G53" s="488"/>
      <c r="H53" s="488"/>
      <c r="I53" s="114">
        <f>VLOOKUP( $B53, T_Aop[], 4, 1)</f>
        <v>532</v>
      </c>
      <c r="J53" s="88">
        <f>SUBTOTAL( 9, J54:J59)</f>
        <v>91944284</v>
      </c>
      <c r="K53" s="89">
        <f>SUBTOTAL( 9, K54:K59)</f>
        <v>65715959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84" t="str">
        <f>VLOOKUP( $B54, T_Aop[], 6, 1)</f>
        <v xml:space="preserve">    1. Одливи по основу откупа сопствених акција и удјела</v>
      </c>
      <c r="E54" s="484"/>
      <c r="F54" s="484"/>
      <c r="G54" s="484"/>
      <c r="H54" s="484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77" t="str">
        <f>VLOOKUP( $B55, T_Aop[], 6, 1)</f>
        <v xml:space="preserve">    2. Одливи по основу дугорочних кредита</v>
      </c>
      <c r="E55" s="477"/>
      <c r="F55" s="477"/>
      <c r="G55" s="477"/>
      <c r="H55" s="477"/>
      <c r="I55" s="114">
        <f>VLOOKUP( $B55, T_Aop[], 4, 1)</f>
        <v>534</v>
      </c>
      <c r="J55" s="219">
        <v>28780540</v>
      </c>
      <c r="K55" s="220">
        <v>18742661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84" t="str">
        <f>VLOOKUP( $B56, T_Aop[], 6, 1)</f>
        <v xml:space="preserve">    3. Одливи по основу краткорочних кредита</v>
      </c>
      <c r="E56" s="484"/>
      <c r="F56" s="484"/>
      <c r="G56" s="484"/>
      <c r="H56" s="484"/>
      <c r="I56" s="83">
        <f>VLOOKUP( $B56, T_Aop[], 4, 1)</f>
        <v>535</v>
      </c>
      <c r="J56" s="215">
        <v>2000000</v>
      </c>
      <c r="K56" s="388">
        <v>5197382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77" t="str">
        <f>VLOOKUP( $B57, T_Aop[], 6, 1)</f>
        <v xml:space="preserve">    4. Одливи по основу финансијског лизинга</v>
      </c>
      <c r="E57" s="477"/>
      <c r="F57" s="477"/>
      <c r="G57" s="477"/>
      <c r="H57" s="477"/>
      <c r="I57" s="114">
        <f>VLOOKUP( $B57, T_Aop[], 4, 1)</f>
        <v>536</v>
      </c>
      <c r="J57" s="217"/>
      <c r="K57" s="220"/>
      <c r="O57" s="29"/>
    </row>
    <row r="58" spans="2:15" x14ac:dyDescent="0.2">
      <c r="B58" s="66">
        <v>310</v>
      </c>
      <c r="C58" s="82" t="str">
        <f>VLOOKUP( $B58, T_Aop[], 5, 1)</f>
        <v>40.</v>
      </c>
      <c r="D58" s="484" t="str">
        <f>VLOOKUP( $B58, T_Aop[], 6, 1)</f>
        <v xml:space="preserve">    5. Одливи по основу исплаћених дивиденди</v>
      </c>
      <c r="E58" s="484"/>
      <c r="F58" s="484"/>
      <c r="G58" s="484"/>
      <c r="H58" s="484"/>
      <c r="I58" s="83">
        <f>VLOOKUP( $B58, T_Aop[], 4, 1)</f>
        <v>537</v>
      </c>
      <c r="J58" s="215">
        <v>48467366</v>
      </c>
      <c r="K58" s="388">
        <v>41775916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77" t="str">
        <f>VLOOKUP( $B59, T_Aop[], 6, 1)</f>
        <v xml:space="preserve">    6. Одливи по основу осталих дугорочних и краткорочних обавеза</v>
      </c>
      <c r="E59" s="477"/>
      <c r="F59" s="477"/>
      <c r="G59" s="477"/>
      <c r="H59" s="477"/>
      <c r="I59" s="114">
        <f>VLOOKUP( $B59, T_Aop[], 4, 1)</f>
        <v>538</v>
      </c>
      <c r="J59" s="219">
        <v>12696378</v>
      </c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83" t="str">
        <f>VLOOKUP( $B60, T_Aop[], 6, 1)</f>
        <v xml:space="preserve">  III - НЕТО ПРИЛИВ ГОТОВИНЕ ИЗ АКТИВНОСТ ФИНАНСИРАЊА (527 - 532)</v>
      </c>
      <c r="E60" s="483"/>
      <c r="F60" s="483"/>
      <c r="G60" s="483"/>
      <c r="H60" s="483"/>
      <c r="I60" s="83">
        <f>VLOOKUP( $B60, T_Aop[], 4, 1)</f>
        <v>539</v>
      </c>
      <c r="J60" s="84">
        <f>IF( SUBTOTAL( 9, J48:J52) - SUBTOTAL( 9, J53:J59) &lt;= 0, 0, ABS( SUBTOTAL( 9, J48:J52) - SUBTOTAL( 9, J53:J59)) )</f>
        <v>26378847</v>
      </c>
      <c r="K60" s="85">
        <f>IF( SUBTOTAL( 9, K48:K52) - SUBTOTAL( 9, K53:K59) &lt;= 0, 0, ABS( SUBTOTAL( 9, K48:K52) - SUBTOTAL( 9, K53:K59)) )</f>
        <v>38250651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88" t="str">
        <f>VLOOKUP( $B61, T_Aop[], 6, 1)</f>
        <v xml:space="preserve">  IV - НЕТО ОДЛИВ ГОТОВИНЕ ИЗ АКТИВНОСТИ ФИНАНСИРАЊА (532 - 527)</v>
      </c>
      <c r="E61" s="488"/>
      <c r="F61" s="488"/>
      <c r="G61" s="488"/>
      <c r="H61" s="488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83" t="str">
        <f>VLOOKUP( $B62, T_Aop[], 6, 1)</f>
        <v>Г. УКУПНИ ПРИЛИВИ ГОТОВИНЕ (501 + 513 + 527)</v>
      </c>
      <c r="E62" s="483"/>
      <c r="F62" s="483"/>
      <c r="G62" s="483"/>
      <c r="H62" s="483"/>
      <c r="I62" s="83">
        <f>VLOOKUP( $B62, T_Aop[], 4, 1)</f>
        <v>541</v>
      </c>
      <c r="J62" s="84">
        <f>SUBTOTAL( 9, J20:J23, J33:J39, J48:J52)</f>
        <v>533122764</v>
      </c>
      <c r="K62" s="85">
        <f>SUBTOTAL( 9, K20:K23, K33:K39, K48:K52)</f>
        <v>455335493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88" t="str">
        <f>VLOOKUP( $B63, T_Aop[], 6, 1)</f>
        <v>Д. УКУПНИ ОДЛИВИ ГОТОВИНЕ (505 + 520 + 532)</v>
      </c>
      <c r="E63" s="488"/>
      <c r="F63" s="488"/>
      <c r="G63" s="488"/>
      <c r="H63" s="488"/>
      <c r="I63" s="114">
        <f>VLOOKUP( $B63, T_Aop[], 4, 1)</f>
        <v>542</v>
      </c>
      <c r="J63" s="91">
        <f>SUBTOTAL( 9, J24:J29, J40:J44, J53:J59)</f>
        <v>576097057</v>
      </c>
      <c r="K63" s="92">
        <f>SUBTOTAL( 9, K24:K29, K40:K44, K53:K59)</f>
        <v>447715885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83" t="str">
        <f>VLOOKUP( $B64, T_Aop[], 6, 1)</f>
        <v>Ђ. НЕТО ПРИЛИВ ГОТОВИНЕ (541 - 542)</v>
      </c>
      <c r="E64" s="483"/>
      <c r="F64" s="483"/>
      <c r="G64" s="483"/>
      <c r="H64" s="483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7619608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88" t="str">
        <f>VLOOKUP( $B65, T_Aop[], 6, 1)</f>
        <v>Е. НЕТО ОДЛИВ ГОТОВИНЕ (542 - 541)</v>
      </c>
      <c r="E65" s="488"/>
      <c r="F65" s="488"/>
      <c r="G65" s="488"/>
      <c r="H65" s="488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42974293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83" t="str">
        <f>VLOOKUP( $B66, T_Aop[], 6, 1)</f>
        <v>Ж. ГОТОВИНА НА ПОЧЕТКУ ОБРАЧУНСКОГ ПЕРИОДА</v>
      </c>
      <c r="E66" s="483"/>
      <c r="F66" s="483"/>
      <c r="G66" s="483"/>
      <c r="H66" s="483"/>
      <c r="I66" s="83">
        <f>VLOOKUP( $B66, T_Aop[], 4, 1)</f>
        <v>545</v>
      </c>
      <c r="J66" s="122">
        <v>71465331</v>
      </c>
      <c r="K66" s="394">
        <v>25049349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88" t="str">
        <f>VLOOKUP( $B67, T_Aop[], 6, 1)</f>
        <v>З. ПОЗИТИВНЕ КУРСНЕ РАЗЛИКЕ ПО ОСНОВУ ПРЕРАЧУНА ГОТОВИНЕ</v>
      </c>
      <c r="E67" s="488"/>
      <c r="F67" s="488"/>
      <c r="G67" s="488"/>
      <c r="H67" s="488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83" t="str">
        <f>VLOOKUP( $B68, T_Aop[], 6, 1)</f>
        <v>И. НЕГАТИВНЕ КУРСНЕ РАЗЛИКЕ ПО ОСНОВУ ПРЕРАЧУНА ГОТОВИНЕ</v>
      </c>
      <c r="E68" s="483"/>
      <c r="F68" s="483"/>
      <c r="G68" s="483"/>
      <c r="H68" s="483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504" t="str">
        <f>VLOOKUP( $B69, T_Aop[], 6, 1)</f>
        <v>Ј. ГОТОВИНА НА КРАЈУ ОБРАЧУНСКОГ ПЕРИОДА (545 + 543 - 544 + 546 - 547)</v>
      </c>
      <c r="E69" s="504"/>
      <c r="F69" s="504"/>
      <c r="G69" s="504"/>
      <c r="H69" s="504"/>
      <c r="I69" s="116">
        <f>VLOOKUP( $B69, T_Aop[], 4, 1)</f>
        <v>548</v>
      </c>
      <c r="J69" s="321">
        <f>SUBTOTAL( 9, J20:J23, J33:J39, J48:J52, J66, J67) - SUBTOTAL( 9, J24:J29, J40:J44, J53:J59, J68)</f>
        <v>28491038</v>
      </c>
      <c r="K69" s="322">
        <f>SUBTOTAL( 9, K20:K23, K33:K39, K48:K52, K66, K67) - SUBTOTAL( 9, K24:K29, K40:K44, K53:K59, K68)</f>
        <v>32668957</v>
      </c>
      <c r="O69" s="29"/>
    </row>
    <row r="70" spans="2:15" x14ac:dyDescent="0.2"/>
    <row r="71" spans="2:15" x14ac:dyDescent="0.2">
      <c r="C71" s="272" t="str">
        <f>Podnozje_U</f>
        <v>У</v>
      </c>
      <c r="D71" s="269" t="str">
        <f>Podatak_U</f>
        <v>Бањој Луци</v>
      </c>
      <c r="E71" s="52"/>
      <c r="G71"/>
      <c r="H71" s="154" t="str">
        <f>Podnozje_Lice_sa_licencom</f>
        <v>Лицe сa лицeнцoм:</v>
      </c>
      <c r="I71" s="270" t="str">
        <f>Podatak_Lice_sa_licencom</f>
        <v>Весна Гудураш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(M.П.)</v>
      </c>
      <c r="G72"/>
      <c r="H72"/>
      <c r="I72"/>
    </row>
    <row r="73" spans="2:15" x14ac:dyDescent="0.2">
      <c r="C73" s="272" t="str">
        <f>Podnozje_Dana</f>
        <v>Датум:</v>
      </c>
      <c r="D73" s="270" t="str">
        <f>Podatak_Dana</f>
        <v>31.10.2019.</v>
      </c>
      <c r="E73" s="53"/>
      <c r="F73" s="51"/>
      <c r="G73"/>
      <c r="H73" s="154" t="str">
        <f>Podnozje_Direktor</f>
        <v>Лице овлашћено за заступање:</v>
      </c>
      <c r="I73" s="270" t="str">
        <f>Podatak_Direktor</f>
        <v>Марко Лопичић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4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="85" zoomScaleNormal="85" workbookViewId="0">
      <pane ySplit="4" topLeftCell="A5" activePane="bottomLeft" state="frozen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Maтични брoj:</v>
      </c>
      <c r="D5" s="493" t="str">
        <f>Podatak_MB</f>
        <v>1772902</v>
      </c>
      <c r="E5" s="493"/>
      <c r="I5" s="17" t="str">
        <f>Zaglavlje_Ziro_racun</f>
        <v>Пословни рачуни:</v>
      </c>
      <c r="J5" s="489" t="str">
        <f>Podatak_Ziro_racun_1</f>
        <v>562-099-00004057-60</v>
      </c>
      <c r="K5" s="489"/>
    </row>
    <row r="6" spans="3:13" x14ac:dyDescent="0.2">
      <c r="C6" s="16" t="str">
        <f>Zaglavlje_Sifra_djelatnosti</f>
        <v>Шифрa дjeлaтн.</v>
      </c>
      <c r="D6" s="493" t="str">
        <f>Podatak_Sifra_djelatnosti</f>
        <v>61.10</v>
      </c>
      <c r="E6" s="493"/>
      <c r="F6" s="9"/>
      <c r="J6" s="489" t="str">
        <f>Podatak_Ziro_racun_2</f>
        <v>551-001-00000027-45</v>
      </c>
      <c r="K6" s="489"/>
    </row>
    <row r="7" spans="3:13" x14ac:dyDescent="0.2">
      <c r="C7" s="494" t="str">
        <f>Zaglavlje_Naziv_preduzeca</f>
        <v>Нaзив приврeднoг друштвa, зaдругe, другoг прaвнoг лицa или прeдузeтникa:</v>
      </c>
      <c r="D7" s="494"/>
      <c r="E7" s="494"/>
      <c r="F7" s="19"/>
      <c r="J7" s="489" t="str">
        <f>Podatak_Ziro_racun_3</f>
        <v>154-921-20007335-38</v>
      </c>
      <c r="K7" s="489"/>
    </row>
    <row r="8" spans="3:13" x14ac:dyDescent="0.2">
      <c r="C8" s="494"/>
      <c r="D8" s="494"/>
      <c r="E8" s="494"/>
      <c r="F8" s="19"/>
      <c r="J8" s="489" t="str">
        <f>Podatak_Ziro_racun_4</f>
        <v>571-010-00000981-31</v>
      </c>
      <c r="K8" s="489"/>
    </row>
    <row r="9" spans="3:13" x14ac:dyDescent="0.2">
      <c r="C9" s="496" t="str">
        <f>Podatak_Naziv_preduzeca</f>
        <v>"Мтел" а.д.</v>
      </c>
      <c r="D9" s="496"/>
      <c r="E9" s="496"/>
      <c r="F9" s="496"/>
      <c r="J9" s="489" t="str">
        <f>Podatak_Ziro_racun_5</f>
        <v/>
      </c>
      <c r="K9" s="489"/>
    </row>
    <row r="10" spans="3:13" x14ac:dyDescent="0.2">
      <c r="C10" s="16" t="str">
        <f>Zaglavlje_Sjediste</f>
        <v>Сjeдиштe:</v>
      </c>
      <c r="D10" s="493" t="str">
        <f>Podatak_Sjediste</f>
        <v>Бања Лука</v>
      </c>
      <c r="E10" s="493"/>
      <c r="F10" s="16"/>
      <c r="J10" s="489" t="str">
        <f>Podatak_Ziro_racun_6</f>
        <v/>
      </c>
      <c r="K10" s="489"/>
    </row>
    <row r="11" spans="3:13" x14ac:dyDescent="0.2">
      <c r="C11" s="16" t="str">
        <f>Zaglavlje_JIB</f>
        <v>JИБ:</v>
      </c>
      <c r="D11" s="493" t="str">
        <f>Podatak_JIB</f>
        <v>4400964000002</v>
      </c>
      <c r="E11" s="493"/>
      <c r="F11" s="20"/>
      <c r="G11" s="20"/>
      <c r="H11" s="20"/>
      <c r="I11" s="20"/>
      <c r="J11"/>
      <c r="K11"/>
    </row>
    <row r="12" spans="3:13" ht="15.75" x14ac:dyDescent="0.2">
      <c r="C12" s="505" t="str">
        <f>IF( Id_Konsolidovani, Nazivi_bilansa_Konsolidovani_naziv &amp; LOWER( Nazivi_bilansa_Aneks), Nazivi_bilansa_Aneks)</f>
        <v>Кoнсoлидoвaни aнeкс</v>
      </c>
      <c r="D12" s="505"/>
      <c r="E12" s="505"/>
      <c r="F12" s="505"/>
      <c r="G12" s="505"/>
      <c r="H12" s="505"/>
      <c r="I12" s="505"/>
      <c r="J12" s="505"/>
      <c r="K12" s="505"/>
    </row>
    <row r="13" spans="3:13" x14ac:dyDescent="0.2">
      <c r="C13" s="506" t="str">
        <f>Nazivi_bilansa_Aneks1</f>
        <v>(Дoдaтни рaчунoвoдствeни извjeштaj)</v>
      </c>
      <c r="D13" s="506"/>
      <c r="E13" s="506"/>
      <c r="F13" s="506"/>
      <c r="G13" s="506"/>
      <c r="H13" s="506"/>
      <c r="I13" s="506"/>
      <c r="J13" s="506"/>
      <c r="K13" s="506"/>
    </row>
    <row r="14" spans="3:13" x14ac:dyDescent="0.2">
      <c r="C14" s="506" t="str">
        <f>Datumi_Datum_Aneks</f>
        <v>зa пeриoд oд 01.01. дo 30.09.2019. гoдинe</v>
      </c>
      <c r="D14" s="506"/>
      <c r="E14" s="506"/>
      <c r="F14" s="506"/>
      <c r="G14" s="506"/>
      <c r="H14" s="506"/>
      <c r="I14" s="506"/>
      <c r="J14" s="506"/>
      <c r="K14" s="506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у кoнвeртибилним мaркaмa -</v>
      </c>
    </row>
    <row r="16" spans="3:13" x14ac:dyDescent="0.2">
      <c r="C16" s="490" t="str">
        <f>Tabele_zaglavlje_Grupa_racuna</f>
        <v>Групa рaчунa, рaчун</v>
      </c>
      <c r="D16" s="481" t="str">
        <f>Tabele_zaglavlje_Pozicija</f>
        <v>ПОЗИЦИЈА</v>
      </c>
      <c r="E16" s="481"/>
      <c r="F16" s="481"/>
      <c r="G16" s="481"/>
      <c r="H16" s="481"/>
      <c r="I16" s="479" t="str">
        <f>Tabele_zaglavlje_Oznaka_aop</f>
        <v>Oзнaкa зa AOП</v>
      </c>
      <c r="J16" s="481" t="str">
        <f>Tabele_zaglavlje_Iznos</f>
        <v>Изнoс</v>
      </c>
      <c r="K16" s="482"/>
      <c r="M16" s="57"/>
    </row>
    <row r="17" spans="2:15" ht="25.5" x14ac:dyDescent="0.2">
      <c r="C17" s="491"/>
      <c r="D17" s="495"/>
      <c r="E17" s="495"/>
      <c r="F17" s="495"/>
      <c r="G17" s="495"/>
      <c r="H17" s="495"/>
      <c r="I17" s="480"/>
      <c r="J17" s="58" t="str">
        <f>Tabele_zaglavlje_Tekuca_godina</f>
        <v>Teкућa гoдинa</v>
      </c>
      <c r="K17" s="59" t="str">
        <f>Tabele_zaglavlje_Prethodna_godina</f>
        <v>Прeтхoднa гoдинa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97">
        <v>2</v>
      </c>
      <c r="E18" s="497"/>
      <c r="F18" s="497"/>
      <c r="G18" s="497"/>
      <c r="H18" s="497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19" t="str">
        <f>VLOOKUP( $B19, T_Aop[], 6, 1)</f>
        <v>Улагања у истраживање и развој (дуговни промет без почетног стања)</v>
      </c>
      <c r="E19" s="519"/>
      <c r="F19" s="519"/>
      <c r="G19" s="519"/>
      <c r="H19" s="519"/>
      <c r="I19" s="312">
        <f>VLOOKUP( $B19, T_Aop[], 4, 1)</f>
        <v>601</v>
      </c>
      <c r="J19" s="348"/>
      <c r="K19" s="349"/>
      <c r="O19" s="29"/>
    </row>
    <row r="20" spans="2:15" ht="25.5" x14ac:dyDescent="0.2">
      <c r="B20" s="66">
        <v>323</v>
      </c>
      <c r="C20" s="313" t="str">
        <f>VLOOKUP( $B20, T_Aop[], 5, 1)</f>
        <v>201, дио 200</v>
      </c>
      <c r="D20" s="484" t="str">
        <f>VLOOKUP( $B20, T_Aop[], 6, 1)</f>
        <v>Купци из Републике Српске и купци - повезана правна лица из РС (дуговни промет без почетног стања)</v>
      </c>
      <c r="E20" s="484"/>
      <c r="F20" s="484"/>
      <c r="G20" s="484"/>
      <c r="H20" s="484"/>
      <c r="I20" s="263">
        <f>VLOOKUP( $B20, T_Aop[], 4, 1)</f>
        <v>602</v>
      </c>
      <c r="J20" s="215">
        <v>357795025</v>
      </c>
      <c r="K20" s="388">
        <v>334641604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дио 200</v>
      </c>
      <c r="D21" s="507" t="str">
        <f>VLOOKUP( $B21, T_Aop[], 6, 1)</f>
        <v>Купци из Федерације БиХ и купци - повезана правна лица из ФБиХ (дуговни промет без почетног стања)</v>
      </c>
      <c r="E21" s="508"/>
      <c r="F21" s="508"/>
      <c r="G21" s="508"/>
      <c r="H21" s="509"/>
      <c r="I21" s="315">
        <f>VLOOKUP( $B21, T_Aop[], 4, 1)</f>
        <v>603</v>
      </c>
      <c r="J21" s="217">
        <v>22117562</v>
      </c>
      <c r="K21" s="386">
        <v>23559289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дио 200</v>
      </c>
      <c r="D22" s="510" t="str">
        <f>VLOOKUP( $B22, T_Aop[], 6, 1)</f>
        <v>Купци из Брчко Дистрикта БиХ и купци - повезана правна лица из БД (дуговни промет без почетног стања)</v>
      </c>
      <c r="E22" s="511"/>
      <c r="F22" s="511"/>
      <c r="G22" s="511"/>
      <c r="H22" s="512"/>
      <c r="I22" s="263">
        <f>VLOOKUP( $B22, T_Aop[], 4, 1)</f>
        <v>604</v>
      </c>
      <c r="J22" s="215">
        <v>5318657</v>
      </c>
      <c r="K22" s="388">
        <v>4928778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дио 431</v>
      </c>
      <c r="D23" s="507" t="str">
        <f>VLOOKUP( $B23, T_Aop[], 6, 1)</f>
        <v>Добављачи из Републике Српске и добављачи - повезана правна лица из РС (потражни промет без почетног стања)</v>
      </c>
      <c r="E23" s="508"/>
      <c r="F23" s="508"/>
      <c r="G23" s="508"/>
      <c r="H23" s="509"/>
      <c r="I23" s="315">
        <f>VLOOKUP( $B23, T_Aop[], 4, 1)</f>
        <v>605</v>
      </c>
      <c r="J23" s="217">
        <v>123732840</v>
      </c>
      <c r="K23" s="386">
        <v>196578049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дио 431</v>
      </c>
      <c r="D24" s="510" t="str">
        <f>VLOOKUP( $B24, T_Aop[], 6, 1)</f>
        <v>Добављачи из Федерације БиХ и добављачи - повезана правна лица из ФБиХ (потражни промет без почетног стања)</v>
      </c>
      <c r="E24" s="511"/>
      <c r="F24" s="511"/>
      <c r="G24" s="511"/>
      <c r="H24" s="512"/>
      <c r="I24" s="263">
        <f>VLOOKUP( $B24, T_Aop[], 4, 1)</f>
        <v>606</v>
      </c>
      <c r="J24" s="215">
        <v>78684499</v>
      </c>
      <c r="K24" s="388">
        <v>59451010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дио 431</v>
      </c>
      <c r="D25" s="507" t="str">
        <f>VLOOKUP( $B25, T_Aop[], 6, 1)</f>
        <v>Добављачи из Брчко Дистрикта БиХ и добављачи - повезана правна лица из ДБ (потражни промет без почетног стања)</v>
      </c>
      <c r="E25" s="508"/>
      <c r="F25" s="508"/>
      <c r="G25" s="508"/>
      <c r="H25" s="509"/>
      <c r="I25" s="315">
        <f>VLOOKUP( $B25, T_Aop[], 4, 1)</f>
        <v>607</v>
      </c>
      <c r="J25" s="217">
        <v>418055</v>
      </c>
      <c r="K25" s="386">
        <v>458838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дио 600</v>
      </c>
      <c r="D26" s="510" t="str">
        <f>VLOOKUP( $B26, T_Aop[], 6, 1)</f>
        <v>Приходи од продаје робе у Републици Српској и приходи од продаје робе повезаним правним лицима у РС</v>
      </c>
      <c r="E26" s="511"/>
      <c r="F26" s="511"/>
      <c r="G26" s="511"/>
      <c r="H26" s="512"/>
      <c r="I26" s="263">
        <f>VLOOKUP( $B26, T_Aop[], 4, 1)</f>
        <v>608</v>
      </c>
      <c r="J26" s="215">
        <v>303570</v>
      </c>
      <c r="K26" s="388">
        <v>220894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дио 600</v>
      </c>
      <c r="D27" s="507" t="str">
        <f>VLOOKUP( $B27, T_Aop[], 6, 1)</f>
        <v>Приходи од продаје робе у Федерацији БиХ и приходи од продаје робе повезаним правним лицима у ФБиХ</v>
      </c>
      <c r="E27" s="508"/>
      <c r="F27" s="508"/>
      <c r="G27" s="508"/>
      <c r="H27" s="509"/>
      <c r="I27" s="315">
        <f>VLOOKUP( $B27, T_Aop[], 4, 1)</f>
        <v>609</v>
      </c>
      <c r="J27" s="217">
        <v>489872</v>
      </c>
      <c r="K27" s="386">
        <v>478430</v>
      </c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дио 600</v>
      </c>
      <c r="D28" s="510" t="str">
        <f>VLOOKUP( $B28, T_Aop[], 6, 1)</f>
        <v>Приходи од продаје робе у Брчко Дистрикту БиХ и приходи од продаје робе повезаним правним лицима у БД</v>
      </c>
      <c r="E28" s="511"/>
      <c r="F28" s="511"/>
      <c r="G28" s="511"/>
      <c r="H28" s="512"/>
      <c r="I28" s="263">
        <f>VLOOKUP( $B28, T_Aop[], 4, 1)</f>
        <v>610</v>
      </c>
      <c r="J28" s="215">
        <v>7025</v>
      </c>
      <c r="K28" s="388">
        <v>10125</v>
      </c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дио 61</v>
      </c>
      <c r="D29" s="507" t="str">
        <f>VLOOKUP( $B29, T_Aop[], 6, 1)</f>
        <v>Приходи од продаје производа</v>
      </c>
      <c r="E29" s="508"/>
      <c r="F29" s="508"/>
      <c r="G29" s="508"/>
      <c r="H29" s="509"/>
      <c r="I29" s="315">
        <f>VLOOKUP( $B29, T_Aop[], 4, 1)</f>
        <v>611</v>
      </c>
      <c r="J29" s="217"/>
      <c r="K29" s="386"/>
      <c r="O29"/>
    </row>
    <row r="30" spans="2:15" ht="12.75" customHeight="1" x14ac:dyDescent="0.2">
      <c r="B30" s="66">
        <v>333</v>
      </c>
      <c r="C30" s="313" t="str">
        <f>VLOOKUP( $B30, T_Aop[], 5, 1)</f>
        <v>дио 61</v>
      </c>
      <c r="D30" s="510" t="str">
        <f>VLOOKUP( $B30, T_Aop[], 6, 1)</f>
        <v>Приходи од продаје услуга</v>
      </c>
      <c r="E30" s="511"/>
      <c r="F30" s="511"/>
      <c r="G30" s="511"/>
      <c r="H30" s="512"/>
      <c r="I30" s="263">
        <f>VLOOKUP( $B30, T_Aop[], 4, 1)</f>
        <v>612</v>
      </c>
      <c r="J30" s="215"/>
      <c r="K30" s="388"/>
      <c r="O30"/>
    </row>
    <row r="31" spans="2:15" ht="25.5" customHeight="1" x14ac:dyDescent="0.2">
      <c r="B31" s="66">
        <v>334</v>
      </c>
      <c r="C31" s="314" t="str">
        <f>VLOOKUP( $B31, T_Aop[], 5, 1)</f>
        <v>611, дио 610</v>
      </c>
      <c r="D31" s="507" t="str">
        <f>VLOOKUP( $B31, T_Aop[], 6, 1)</f>
        <v>Приходи од продаје учинака у Републици Српској и приходи од продаје учинака повезаним правним лицима у РС</v>
      </c>
      <c r="E31" s="508"/>
      <c r="F31" s="508"/>
      <c r="G31" s="508"/>
      <c r="H31" s="509"/>
      <c r="I31" s="315">
        <f>VLOOKUP( $B31, T_Aop[], 4, 1)</f>
        <v>613</v>
      </c>
      <c r="J31" s="217">
        <v>288713188</v>
      </c>
      <c r="K31" s="386">
        <v>272356557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дио 610</v>
      </c>
      <c r="D32" s="510" t="str">
        <f>VLOOKUP( $B32, T_Aop[], 6, 1)</f>
        <v>Приходи од продаје учинака у Федерацији БиХ и приходи од продаје учинака повезаним правним лицима у ФБиХ</v>
      </c>
      <c r="E32" s="511"/>
      <c r="F32" s="511"/>
      <c r="G32" s="511"/>
      <c r="H32" s="512"/>
      <c r="I32" s="263">
        <f>VLOOKUP( $B32, T_Aop[], 4, 1)</f>
        <v>614</v>
      </c>
      <c r="J32" s="215">
        <v>15979692</v>
      </c>
      <c r="K32" s="388">
        <v>18957292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дио 610</v>
      </c>
      <c r="D33" s="507" t="str">
        <f>VLOOKUP( $B33, T_Aop[], 6, 1)</f>
        <v>Приходи од продаје учинака у Брчко Дистрикту БиХ и приходи од продаје учинака повезаним правним лицима у БД</v>
      </c>
      <c r="E33" s="508"/>
      <c r="F33" s="508"/>
      <c r="G33" s="508"/>
      <c r="H33" s="509"/>
      <c r="I33" s="315">
        <f>VLOOKUP( $B33, T_Aop[], 4, 1)</f>
        <v>615</v>
      </c>
      <c r="J33" s="217">
        <v>4923681</v>
      </c>
      <c r="K33" s="386">
        <v>4632356</v>
      </c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дио 611</v>
      </c>
      <c r="D34" s="510" t="str">
        <f>VLOOKUP( $B34, T_Aop[], 6, 1)</f>
        <v>Приходи од продаје услуга у Републици Српској</v>
      </c>
      <c r="E34" s="511"/>
      <c r="F34" s="511"/>
      <c r="G34" s="511"/>
      <c r="H34" s="512"/>
      <c r="I34" s="263">
        <f>VLOOKUP( $B34, T_Aop[], 4, 1)</f>
        <v>616</v>
      </c>
      <c r="J34" s="215"/>
      <c r="K34" s="383"/>
      <c r="O34" s="29"/>
    </row>
    <row r="35" spans="2:15" ht="12.75" customHeight="1" x14ac:dyDescent="0.2">
      <c r="B35" s="66">
        <v>338</v>
      </c>
      <c r="C35" s="314" t="str">
        <f>VLOOKUP( $B35, T_Aop[], 5, 1)</f>
        <v>дио 612</v>
      </c>
      <c r="D35" s="507" t="str">
        <f>VLOOKUP( $B35, T_Aop[], 6, 1)</f>
        <v>Приходи од продаје услуга у Федерацији БиХ</v>
      </c>
      <c r="E35" s="508"/>
      <c r="F35" s="508"/>
      <c r="G35" s="508"/>
      <c r="H35" s="509"/>
      <c r="I35" s="315">
        <f>VLOOKUP( $B35, T_Aop[], 4, 1)</f>
        <v>617</v>
      </c>
      <c r="J35" s="217"/>
      <c r="K35" s="384"/>
      <c r="O35" s="29"/>
    </row>
    <row r="36" spans="2:15" ht="12.75" customHeight="1" x14ac:dyDescent="0.2">
      <c r="B36" s="66">
        <v>339</v>
      </c>
      <c r="C36" s="313" t="str">
        <f>VLOOKUP( $B36, T_Aop[], 5, 1)</f>
        <v>дио 613</v>
      </c>
      <c r="D36" s="510" t="str">
        <f>VLOOKUP( $B36, T_Aop[], 6, 1)</f>
        <v>Приходи од продаје услуга у Брчко Дистрикту БиХ</v>
      </c>
      <c r="E36" s="511"/>
      <c r="F36" s="511"/>
      <c r="G36" s="511"/>
      <c r="H36" s="512"/>
      <c r="I36" s="263">
        <f>VLOOKUP( $B36, T_Aop[], 4, 1)</f>
        <v>618</v>
      </c>
      <c r="J36" s="215"/>
      <c r="K36" s="383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85" t="str">
        <f>VLOOKUP( $B37, T_Aop[], 6, 1)</f>
        <v>ОСТАЛИ ПОСЛОВНИ ПРИХОДИ (620 + 623 + 624 + 625 + 626 + 627 + 628)</v>
      </c>
      <c r="E37" s="486"/>
      <c r="F37" s="486"/>
      <c r="G37" s="486"/>
      <c r="H37" s="487"/>
      <c r="I37" s="310">
        <f>VLOOKUP( $B37, T_Aop[], 4, 1)</f>
        <v>619</v>
      </c>
      <c r="J37" s="88">
        <f>SUBTOTAL( 9, J38, J41:J46)</f>
        <v>3249891</v>
      </c>
      <c r="K37" s="89">
        <f>SUBTOTAL( 9, K38, K41:K46)</f>
        <v>2760351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510" t="str">
        <f>VLOOKUP( $B38, T_Aop[], 6, 1)</f>
        <v xml:space="preserve">  а) Приходи од премија, субвенција, дотација, регреса, подстицаја и слично</v>
      </c>
      <c r="E38" s="511"/>
      <c r="F38" s="511"/>
      <c r="G38" s="511"/>
      <c r="H38" s="512"/>
      <c r="I38" s="263">
        <f>VLOOKUP( $B38, T_Aop[], 4, 1)</f>
        <v>620</v>
      </c>
      <c r="J38" s="215">
        <v>22473</v>
      </c>
      <c r="K38" s="385">
        <v>50068</v>
      </c>
      <c r="O38" s="29"/>
    </row>
    <row r="39" spans="2:15" ht="25.5" customHeight="1" x14ac:dyDescent="0.2">
      <c r="B39" s="66">
        <v>342</v>
      </c>
      <c r="C39" s="314" t="str">
        <f>VLOOKUP( $B39, T_Aop[], 5, 1)</f>
        <v>дио 650</v>
      </c>
      <c r="D39" s="507" t="str">
        <f>VLOOKUP( $B39, T_Aop[], 6, 1)</f>
        <v xml:space="preserve">    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v>
      </c>
      <c r="E39" s="508"/>
      <c r="F39" s="508"/>
      <c r="G39" s="508"/>
      <c r="H39" s="509"/>
      <c r="I39" s="315">
        <f>VLOOKUP( $B39, T_Aop[], 4, 1)</f>
        <v>621</v>
      </c>
      <c r="J39" s="217"/>
      <c r="K39" s="386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дио 650</v>
      </c>
      <c r="D40" s="510" t="str">
        <f>VLOOKUP( $B40, T_Aop[], 6, 1)</f>
        <v xml:space="preserve">    Од тога: приходи по основу субвенција на производњу (на запошљавање, плату, каматну стопу, за смањење загађења и др.)</v>
      </c>
      <c r="E40" s="511"/>
      <c r="F40" s="511"/>
      <c r="G40" s="511"/>
      <c r="H40" s="512"/>
      <c r="I40" s="263">
        <f>VLOOKUP( $B40, T_Aop[], 4, 1)</f>
        <v>622</v>
      </c>
      <c r="J40" s="215"/>
      <c r="K40" s="385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507" t="str">
        <f>VLOOKUP( $B41, T_Aop[], 6, 1)</f>
        <v xml:space="preserve">  б) Приход од закупнина</v>
      </c>
      <c r="E41" s="508"/>
      <c r="F41" s="508"/>
      <c r="G41" s="508"/>
      <c r="H41" s="509"/>
      <c r="I41" s="315">
        <f>VLOOKUP( $B41, T_Aop[], 4, 1)</f>
        <v>623</v>
      </c>
      <c r="J41" s="217">
        <v>1719188</v>
      </c>
      <c r="K41" s="386">
        <v>1716900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510" t="str">
        <f>VLOOKUP( $B42, T_Aop[], 6, 1)</f>
        <v xml:space="preserve">  в) Приход од донација</v>
      </c>
      <c r="E42" s="511"/>
      <c r="F42" s="511"/>
      <c r="G42" s="511"/>
      <c r="H42" s="512"/>
      <c r="I42" s="263">
        <f>VLOOKUP( $B42, T_Aop[], 4, 1)</f>
        <v>624</v>
      </c>
      <c r="J42" s="215">
        <v>9275</v>
      </c>
      <c r="K42" s="385">
        <v>9276</v>
      </c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507" t="str">
        <f>VLOOKUP( $B43, T_Aop[], 6, 1)</f>
        <v xml:space="preserve">  г) Приход од чланарина</v>
      </c>
      <c r="E43" s="508"/>
      <c r="F43" s="508"/>
      <c r="G43" s="508"/>
      <c r="H43" s="509"/>
      <c r="I43" s="315">
        <f>VLOOKUP( $B43, T_Aop[], 4, 1)</f>
        <v>625</v>
      </c>
      <c r="J43" s="217"/>
      <c r="K43" s="386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510" t="str">
        <f>VLOOKUP( $B44, T_Aop[], 6, 1)</f>
        <v xml:space="preserve">  д) Приход од тантијема и лиценцних права</v>
      </c>
      <c r="E44" s="511"/>
      <c r="F44" s="511"/>
      <c r="G44" s="511"/>
      <c r="H44" s="512"/>
      <c r="I44" s="263">
        <f>VLOOKUP( $B44, T_Aop[], 4, 1)</f>
        <v>626</v>
      </c>
      <c r="J44" s="215"/>
      <c r="K44" s="385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507" t="str">
        <f>VLOOKUP( $B45, T_Aop[], 6, 1)</f>
        <v xml:space="preserve">  ђ) Приход из намјенских извора финансирања (из буџета, фондова и др.)</v>
      </c>
      <c r="E45" s="508"/>
      <c r="F45" s="508"/>
      <c r="G45" s="508"/>
      <c r="H45" s="509"/>
      <c r="I45" s="315">
        <f>VLOOKUP( $B45, T_Aop[], 4, 1)</f>
        <v>627</v>
      </c>
      <c r="J45" s="217"/>
      <c r="K45" s="386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510" t="str">
        <f>VLOOKUP( $B46, T_Aop[], 6, 1)</f>
        <v xml:space="preserve">  е) Остали пословни приходи по другим основима</v>
      </c>
      <c r="E46" s="511"/>
      <c r="F46" s="511"/>
      <c r="G46" s="511"/>
      <c r="H46" s="512"/>
      <c r="I46" s="263">
        <f>VLOOKUP( $B46, T_Aop[], 4, 1)</f>
        <v>628</v>
      </c>
      <c r="J46" s="215">
        <v>1498955</v>
      </c>
      <c r="K46" s="385">
        <v>984107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85" t="str">
        <f>VLOOKUP( $B47, T_Aop[], 6, 1)</f>
        <v>ФИНАНСИЈСКИ И ОСТАЛИ ПРИХОДИ</v>
      </c>
      <c r="E47" s="486"/>
      <c r="F47" s="486"/>
      <c r="G47" s="486"/>
      <c r="H47" s="487"/>
      <c r="I47" s="310">
        <f>VLOOKUP( $B47, T_Aop[], 4, 1)</f>
        <v>629</v>
      </c>
      <c r="J47" s="339">
        <v>36992343</v>
      </c>
      <c r="K47" s="387">
        <v>12106193</v>
      </c>
      <c r="O47" s="29"/>
    </row>
    <row r="48" spans="2:15" ht="12.75" customHeight="1" x14ac:dyDescent="0.2">
      <c r="B48" s="66">
        <v>351</v>
      </c>
      <c r="C48" s="313" t="str">
        <f>VLOOKUP( $B48, T_Aop[], 5, 1)</f>
        <v>дио 660</v>
      </c>
      <c r="D48" s="510" t="str">
        <f>VLOOKUP( $B48, T_Aop[], 6, 1)</f>
        <v xml:space="preserve">    Од тога: приходи од учешћа у добити (дивиденди)</v>
      </c>
      <c r="E48" s="511"/>
      <c r="F48" s="511"/>
      <c r="G48" s="511"/>
      <c r="H48" s="512"/>
      <c r="I48" s="263">
        <f>VLOOKUP( $B48, T_Aop[], 4, 1)</f>
        <v>630</v>
      </c>
      <c r="J48" s="215"/>
      <c r="K48" s="385"/>
      <c r="O48" s="29"/>
    </row>
    <row r="49" spans="2:15" ht="12.75" customHeight="1" x14ac:dyDescent="0.2">
      <c r="B49" s="66">
        <v>352</v>
      </c>
      <c r="C49" s="314" t="str">
        <f>VLOOKUP( $B49, T_Aop[], 5, 1)</f>
        <v>дио 670</v>
      </c>
      <c r="D49" s="507" t="str">
        <f>VLOOKUP( $B49, T_Aop[], 6, 1)</f>
        <v xml:space="preserve">  Добици по основу продаје некретнина, постројења и опреме</v>
      </c>
      <c r="E49" s="508"/>
      <c r="F49" s="508"/>
      <c r="G49" s="508"/>
      <c r="H49" s="509"/>
      <c r="I49" s="315">
        <f>VLOOKUP( $B49, T_Aop[], 4, 1)</f>
        <v>631</v>
      </c>
      <c r="J49" s="217">
        <v>260205</v>
      </c>
      <c r="K49" s="386">
        <v>251552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510" t="str">
        <f>VLOOKUP( $B50, T_Aop[], 6, 1)</f>
        <v xml:space="preserve">  Приходи по основу уговорене заштите од ризика</v>
      </c>
      <c r="E50" s="511"/>
      <c r="F50" s="511"/>
      <c r="G50" s="511"/>
      <c r="H50" s="512"/>
      <c r="I50" s="263">
        <f>VLOOKUP( $B50, T_Aop[], 4, 1)</f>
        <v>632</v>
      </c>
      <c r="J50" s="215"/>
      <c r="K50" s="385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85" t="str">
        <f>VLOOKUP( $B51, T_Aop[], 6, 1)</f>
        <v>ТРОШКОВИ МАТЕРИЈАЛА</v>
      </c>
      <c r="E51" s="486"/>
      <c r="F51" s="486"/>
      <c r="G51" s="486"/>
      <c r="H51" s="487"/>
      <c r="I51" s="310">
        <f>VLOOKUP( $B51, T_Aop[], 4, 1)</f>
        <v>633</v>
      </c>
      <c r="J51" s="339">
        <v>45057758</v>
      </c>
      <c r="K51" s="387">
        <v>45555355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510" t="str">
        <f>VLOOKUP( $B52, T_Aop[], 6, 1)</f>
        <v xml:space="preserve">    Од тога: трошкови горива и енергије</v>
      </c>
      <c r="E52" s="511"/>
      <c r="F52" s="511"/>
      <c r="G52" s="511"/>
      <c r="H52" s="512"/>
      <c r="I52" s="263">
        <f>VLOOKUP( $B52, T_Aop[], 4, 1)</f>
        <v>634</v>
      </c>
      <c r="J52" s="215">
        <v>5487154</v>
      </c>
      <c r="K52" s="385">
        <v>4933674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85" t="str">
        <f>VLOOKUP( $B53, T_Aop[], 6, 1)</f>
        <v>ТРОШКОВИ ЗАРАДА, НАКНАДА ЗАРАДА И ОСТАЛИХ ЛИЧНИХ РАСХОДА</v>
      </c>
      <c r="E53" s="486"/>
      <c r="F53" s="486"/>
      <c r="G53" s="486"/>
      <c r="H53" s="487"/>
      <c r="I53" s="310">
        <f>VLOOKUP( $B53, T_Aop[], 4, 1)</f>
        <v>635</v>
      </c>
      <c r="J53" s="339">
        <v>62968315</v>
      </c>
      <c r="K53" s="387">
        <v>59636196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510" t="str">
        <f>VLOOKUP( $B54, T_Aop[], 6, 1)</f>
        <v xml:space="preserve">  Трошкови бруто накнада члановима управног, надзорног, одбора за ревизију и др.</v>
      </c>
      <c r="E54" s="511"/>
      <c r="F54" s="511"/>
      <c r="G54" s="511"/>
      <c r="H54" s="512"/>
      <c r="I54" s="263">
        <f>VLOOKUP( $B54, T_Aop[], 4, 1)</f>
        <v>636</v>
      </c>
      <c r="J54" s="215">
        <v>260313</v>
      </c>
      <c r="K54" s="385">
        <v>272661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507" t="str">
        <f>VLOOKUP( $B55, T_Aop[], 6, 1)</f>
        <v xml:space="preserve">  Трошкови запослених на службеном путу</v>
      </c>
      <c r="E55" s="508"/>
      <c r="F55" s="508"/>
      <c r="G55" s="508"/>
      <c r="H55" s="509"/>
      <c r="I55" s="315">
        <f>VLOOKUP( $B55, T_Aop[], 4, 1)</f>
        <v>637</v>
      </c>
      <c r="J55" s="217">
        <v>544799</v>
      </c>
      <c r="K55" s="386">
        <v>498956</v>
      </c>
      <c r="O55" s="29"/>
    </row>
    <row r="56" spans="2:15" x14ac:dyDescent="0.2">
      <c r="B56" s="66">
        <v>359</v>
      </c>
      <c r="C56" s="313" t="str">
        <f>VLOOKUP( $B56, T_Aop[], 5, 1)</f>
        <v>дио 525</v>
      </c>
      <c r="D56" s="510" t="str">
        <f>VLOOKUP( $B56, T_Aop[], 6, 1)</f>
        <v xml:space="preserve">    Од тога: дневнице</v>
      </c>
      <c r="E56" s="511"/>
      <c r="F56" s="511"/>
      <c r="G56" s="511"/>
      <c r="H56" s="512"/>
      <c r="I56" s="263">
        <f>VLOOKUP( $B56, T_Aop[], 4, 1)</f>
        <v>638</v>
      </c>
      <c r="J56" s="215">
        <v>177204</v>
      </c>
      <c r="K56" s="385">
        <v>173139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85" t="str">
        <f>VLOOKUP( $B57, T_Aop[], 6, 1)</f>
        <v>ТРОШКОВИ ПРОИЗВОДНИХ УСЛУГА (640 + 641 + 642 + 643 + 644 + 645 + 646 + 647)</v>
      </c>
      <c r="E57" s="486"/>
      <c r="F57" s="486"/>
      <c r="G57" s="486"/>
      <c r="H57" s="487"/>
      <c r="I57" s="310">
        <f>VLOOKUP( $B57, T_Aop[], 4, 1)</f>
        <v>639</v>
      </c>
      <c r="J57" s="88">
        <f>SUBTOTAL( 9, J58:J65)</f>
        <v>87053056</v>
      </c>
      <c r="K57" s="89">
        <f>SUBTOTAL( 9, K58:K65)</f>
        <v>86117514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510" t="str">
        <f>VLOOKUP( $B58, T_Aop[], 6, 1)</f>
        <v xml:space="preserve">  а) Трошкови услуга на изради учинака</v>
      </c>
      <c r="E58" s="511"/>
      <c r="F58" s="511"/>
      <c r="G58" s="511"/>
      <c r="H58" s="512"/>
      <c r="I58" s="263">
        <f>VLOOKUP( $B58, T_Aop[], 4, 1)</f>
        <v>640</v>
      </c>
      <c r="J58" s="215">
        <v>28080077</v>
      </c>
      <c r="K58" s="388">
        <v>27314535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507" t="str">
        <f>VLOOKUP( $B59, T_Aop[], 6, 1)</f>
        <v xml:space="preserve">  б) Трошкови транспортних услуга</v>
      </c>
      <c r="E59" s="508"/>
      <c r="F59" s="508"/>
      <c r="G59" s="508"/>
      <c r="H59" s="509"/>
      <c r="I59" s="315">
        <f>VLOOKUP( $B59, T_Aop[], 4, 1)</f>
        <v>641</v>
      </c>
      <c r="J59" s="217">
        <v>4164906</v>
      </c>
      <c r="K59" s="386">
        <v>3833961</v>
      </c>
      <c r="O59" s="29"/>
    </row>
    <row r="60" spans="2:15" ht="12.75" customHeight="1" x14ac:dyDescent="0.2">
      <c r="B60" s="66">
        <v>363</v>
      </c>
      <c r="C60" s="313" t="str">
        <f>VLOOKUP( $B60, T_Aop[], 5, 1)</f>
        <v>дио 532</v>
      </c>
      <c r="D60" s="510" t="str">
        <f>VLOOKUP( $B60, T_Aop[], 6, 1)</f>
        <v xml:space="preserve">  в) Трошкови за услуге текућег одржавања основних средстава</v>
      </c>
      <c r="E60" s="511"/>
      <c r="F60" s="511"/>
      <c r="G60" s="511"/>
      <c r="H60" s="512"/>
      <c r="I60" s="263">
        <f>VLOOKUP( $B60, T_Aop[], 4, 1)</f>
        <v>642</v>
      </c>
      <c r="J60" s="215">
        <v>14964477</v>
      </c>
      <c r="K60" s="388">
        <v>15385170</v>
      </c>
      <c r="O60" s="29"/>
    </row>
    <row r="61" spans="2:15" ht="12.75" customHeight="1" x14ac:dyDescent="0.2">
      <c r="B61" s="66">
        <v>364</v>
      </c>
      <c r="C61" s="314" t="str">
        <f>VLOOKUP( $B61, T_Aop[], 5, 1)</f>
        <v>дио 532</v>
      </c>
      <c r="D61" s="507" t="str">
        <f>VLOOKUP( $B61, T_Aop[], 6, 1)</f>
        <v xml:space="preserve">  г) Трошкови за услуге инвестиционог одржавања основних средстава</v>
      </c>
      <c r="E61" s="508"/>
      <c r="F61" s="508"/>
      <c r="G61" s="508"/>
      <c r="H61" s="509"/>
      <c r="I61" s="315">
        <f>VLOOKUP( $B61, T_Aop[], 4, 1)</f>
        <v>643</v>
      </c>
      <c r="J61" s="217"/>
      <c r="K61" s="386"/>
      <c r="O61" s="29"/>
    </row>
    <row r="62" spans="2:15" x14ac:dyDescent="0.2">
      <c r="B62" s="66">
        <v>365</v>
      </c>
      <c r="C62" s="313">
        <f>VLOOKUP( $B62, T_Aop[], 5, 1)</f>
        <v>533</v>
      </c>
      <c r="D62" s="510" t="str">
        <f>VLOOKUP( $B62, T_Aop[], 6, 1)</f>
        <v xml:space="preserve">  д) Трошкови закупа</v>
      </c>
      <c r="E62" s="511"/>
      <c r="F62" s="511"/>
      <c r="G62" s="511"/>
      <c r="H62" s="512"/>
      <c r="I62" s="263">
        <f>VLOOKUP( $B62, T_Aop[], 4, 1)</f>
        <v>644</v>
      </c>
      <c r="J62" s="215">
        <v>1427907</v>
      </c>
      <c r="K62" s="388">
        <v>11642121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507" t="str">
        <f>VLOOKUP( $B63, T_Aop[], 6, 1)</f>
        <v xml:space="preserve">  ђ) Трошкови сајмова, рекламе и пропаганде</v>
      </c>
      <c r="E63" s="508"/>
      <c r="F63" s="508"/>
      <c r="G63" s="508"/>
      <c r="H63" s="509"/>
      <c r="I63" s="315">
        <f>VLOOKUP( $B63, T_Aop[], 4, 1)</f>
        <v>645</v>
      </c>
      <c r="J63" s="217">
        <v>9001926</v>
      </c>
      <c r="K63" s="386">
        <v>9194925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510" t="str">
        <f>VLOOKUP( $B64, T_Aop[], 6, 1)</f>
        <v xml:space="preserve">  е) Трошкови истраживања и развоја који се не капитализују</v>
      </c>
      <c r="E64" s="511"/>
      <c r="F64" s="511"/>
      <c r="G64" s="511"/>
      <c r="H64" s="512"/>
      <c r="I64" s="263">
        <f>VLOOKUP( $B64, T_Aop[], 4, 1)</f>
        <v>646</v>
      </c>
      <c r="J64" s="215"/>
      <c r="K64" s="388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507" t="str">
        <f>VLOOKUP( $B65, T_Aop[], 6, 1)</f>
        <v xml:space="preserve">  ж) Трошкови осталих услуга</v>
      </c>
      <c r="E65" s="508"/>
      <c r="F65" s="508"/>
      <c r="G65" s="508"/>
      <c r="H65" s="509"/>
      <c r="I65" s="315">
        <f>VLOOKUP( $B65, T_Aop[], 4, 1)</f>
        <v>647</v>
      </c>
      <c r="J65" s="217">
        <v>29413763</v>
      </c>
      <c r="K65" s="386">
        <v>18746802</v>
      </c>
      <c r="O65" s="29"/>
    </row>
    <row r="66" spans="2:15" ht="12.75" customHeight="1" x14ac:dyDescent="0.2">
      <c r="B66" s="66">
        <v>369</v>
      </c>
      <c r="C66" s="313" t="str">
        <f>VLOOKUP( $B66, T_Aop[], 5, 1)</f>
        <v>дио 539</v>
      </c>
      <c r="D66" s="510" t="str">
        <f>VLOOKUP( $B66, T_Aop[], 6, 1)</f>
        <v xml:space="preserve">    Од тога: бруто износи накнада по уговорима са физичким лицима ван радног односа</v>
      </c>
      <c r="E66" s="511"/>
      <c r="F66" s="511"/>
      <c r="G66" s="511"/>
      <c r="H66" s="512"/>
      <c r="I66" s="263">
        <f>VLOOKUP( $B66, T_Aop[], 4, 1)</f>
        <v>648</v>
      </c>
      <c r="J66" s="215"/>
      <c r="K66" s="388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85" t="str">
        <f>VLOOKUP( $B67, T_Aop[], 6, 1)</f>
        <v>НЕМАТЕРИЈАЛНИ ТРОШКОВИ (650 + 653 + 654 + 655 + 656 + 657 + 658 + 659)</v>
      </c>
      <c r="E67" s="486"/>
      <c r="F67" s="486"/>
      <c r="G67" s="486"/>
      <c r="H67" s="487"/>
      <c r="I67" s="310">
        <f>VLOOKUP( $B67, T_Aop[], 4, 1)</f>
        <v>649</v>
      </c>
      <c r="J67" s="88">
        <f>SUBTOTAL( 9, J68, J71:J77)</f>
        <v>18209973</v>
      </c>
      <c r="K67" s="89">
        <f>SUBTOTAL( 9, K68, K71:K77)</f>
        <v>15669038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510" t="str">
        <f>VLOOKUP( $B68, T_Aop[], 6, 1)</f>
        <v xml:space="preserve">  а) Трошкови непроизводних услуга</v>
      </c>
      <c r="E68" s="511"/>
      <c r="F68" s="511"/>
      <c r="G68" s="511"/>
      <c r="H68" s="512"/>
      <c r="I68" s="263">
        <f>VLOOKUP( $B68, T_Aop[], 4, 1)</f>
        <v>650</v>
      </c>
      <c r="J68" s="215">
        <v>3219552</v>
      </c>
      <c r="K68" s="388">
        <v>3338135</v>
      </c>
      <c r="O68" s="29"/>
    </row>
    <row r="69" spans="2:15" ht="12.75" customHeight="1" x14ac:dyDescent="0.2">
      <c r="B69" s="66">
        <v>372</v>
      </c>
      <c r="C69" s="314" t="str">
        <f>VLOOKUP( $B69, T_Aop[], 5, 1)</f>
        <v>дио 550</v>
      </c>
      <c r="D69" s="507" t="str">
        <f>VLOOKUP( $B69, T_Aop[], 6, 1)</f>
        <v xml:space="preserve">    Од тога: трошкови стручног образовања и усавршавања запослених</v>
      </c>
      <c r="E69" s="508"/>
      <c r="F69" s="508"/>
      <c r="G69" s="508"/>
      <c r="H69" s="509"/>
      <c r="I69" s="315">
        <f>VLOOKUP( $B69, T_Aop[], 4, 1)</f>
        <v>651</v>
      </c>
      <c r="J69" s="217">
        <v>182735</v>
      </c>
      <c r="K69" s="386">
        <v>317561</v>
      </c>
      <c r="O69"/>
    </row>
    <row r="70" spans="2:15" ht="12.75" customHeight="1" x14ac:dyDescent="0.2">
      <c r="B70" s="66">
        <v>373</v>
      </c>
      <c r="C70" s="313" t="str">
        <f>VLOOKUP( $B70, T_Aop[], 5, 1)</f>
        <v>дио 550</v>
      </c>
      <c r="D70" s="510" t="str">
        <f>VLOOKUP( $B70, T_Aop[], 6, 1)</f>
        <v xml:space="preserve">    Од тога: бруто износи накнада по уговорима са физичким лицима ван радног односа</v>
      </c>
      <c r="E70" s="511"/>
      <c r="F70" s="511"/>
      <c r="G70" s="511"/>
      <c r="H70" s="512"/>
      <c r="I70" s="263">
        <f>VLOOKUP( $B70, T_Aop[], 4, 1)</f>
        <v>652</v>
      </c>
      <c r="J70" s="215">
        <v>62467</v>
      </c>
      <c r="K70" s="388">
        <v>41225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507" t="str">
        <f>VLOOKUP( $B71, T_Aop[], 6, 1)</f>
        <v xml:space="preserve">  б) Трошкови репрезентације</v>
      </c>
      <c r="E71" s="508"/>
      <c r="F71" s="508"/>
      <c r="G71" s="508"/>
      <c r="H71" s="509"/>
      <c r="I71" s="315">
        <f>VLOOKUP( $B71, T_Aop[], 4, 1)</f>
        <v>653</v>
      </c>
      <c r="J71" s="217">
        <v>240211</v>
      </c>
      <c r="K71" s="386">
        <v>175856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510" t="str">
        <f>VLOOKUP( $B72, T_Aop[], 6, 1)</f>
        <v xml:space="preserve">  в) Трошкови премије осигурања</v>
      </c>
      <c r="E72" s="511"/>
      <c r="F72" s="511"/>
      <c r="G72" s="511"/>
      <c r="H72" s="512"/>
      <c r="I72" s="263">
        <f>VLOOKUP( $B72, T_Aop[], 4, 1)</f>
        <v>654</v>
      </c>
      <c r="J72" s="215">
        <v>580966</v>
      </c>
      <c r="K72" s="388">
        <v>592809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507" t="str">
        <f>VLOOKUP( $B73, T_Aop[], 6, 1)</f>
        <v xml:space="preserve">  г) Трошкови платног промета</v>
      </c>
      <c r="E73" s="508"/>
      <c r="F73" s="508"/>
      <c r="G73" s="508"/>
      <c r="H73" s="509"/>
      <c r="I73" s="315">
        <f>VLOOKUP( $B73, T_Aop[], 4, 1)</f>
        <v>655</v>
      </c>
      <c r="J73" s="217">
        <v>421327</v>
      </c>
      <c r="K73" s="386">
        <v>200438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510" t="str">
        <f>VLOOKUP( $B74, T_Aop[], 6, 1)</f>
        <v xml:space="preserve">  д) Трошкови чланарина</v>
      </c>
      <c r="E74" s="511"/>
      <c r="F74" s="511"/>
      <c r="G74" s="511"/>
      <c r="H74" s="512"/>
      <c r="I74" s="263">
        <f>VLOOKUP( $B74, T_Aop[], 4, 1)</f>
        <v>656</v>
      </c>
      <c r="J74" s="215">
        <v>7842315</v>
      </c>
      <c r="K74" s="388">
        <v>5639199</v>
      </c>
      <c r="O74" s="29"/>
    </row>
    <row r="75" spans="2:15" ht="12.75" customHeight="1" x14ac:dyDescent="0.2">
      <c r="B75" s="66">
        <v>378</v>
      </c>
      <c r="C75" s="314" t="str">
        <f>VLOOKUP( $B75, T_Aop[], 5, 1)</f>
        <v>дио 555</v>
      </c>
      <c r="D75" s="507" t="str">
        <f>VLOOKUP( $B75, T_Aop[], 6, 1)</f>
        <v xml:space="preserve">  ђ) Трошкови пореза на производе, царине, боравишне таксе, порез на игре на срећу и сл.</v>
      </c>
      <c r="E75" s="508"/>
      <c r="F75" s="508"/>
      <c r="G75" s="508"/>
      <c r="H75" s="509"/>
      <c r="I75" s="315">
        <f>VLOOKUP( $B75, T_Aop[], 4, 1)</f>
        <v>657</v>
      </c>
      <c r="J75" s="217"/>
      <c r="K75" s="387"/>
      <c r="O75" s="29"/>
    </row>
    <row r="76" spans="2:15" ht="25.5" customHeight="1" x14ac:dyDescent="0.2">
      <c r="B76" s="66">
        <v>379</v>
      </c>
      <c r="C76" s="313" t="str">
        <f>VLOOKUP( $B76, T_Aop[], 5, 1)</f>
        <v>дио 555</v>
      </c>
      <c r="D76" s="510" t="str">
        <f>VLOOKUP( $B76, T_Aop[], 6, 1)</f>
        <v xml:space="preserve">  е) Трошкови пореза на производњу: на имовину, на земљиште, за коришћење вода и шума, за противпожарну заштиту и сл.</v>
      </c>
      <c r="E76" s="511"/>
      <c r="F76" s="511"/>
      <c r="G76" s="511"/>
      <c r="H76" s="512"/>
      <c r="I76" s="263">
        <f>VLOOKUP( $B76, T_Aop[], 4, 1)</f>
        <v>658</v>
      </c>
      <c r="J76" s="215">
        <v>2981897</v>
      </c>
      <c r="K76" s="388">
        <v>2931437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507" t="str">
        <f>VLOOKUP( $B77, T_Aop[], 6, 1)</f>
        <v xml:space="preserve">  ж) Остали нематеријални трошкови</v>
      </c>
      <c r="E77" s="508"/>
      <c r="F77" s="508"/>
      <c r="G77" s="508"/>
      <c r="H77" s="509"/>
      <c r="I77" s="315">
        <f>VLOOKUP( $B77, T_Aop[], 4, 1)</f>
        <v>659</v>
      </c>
      <c r="J77" s="217">
        <v>2923705</v>
      </c>
      <c r="K77" s="386">
        <v>2791164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516" t="str">
        <f>VLOOKUP( $B78, T_Aop[], 6, 1)</f>
        <v>ОБАВЕЗЕ И ПОТРАЖИВАЊА</v>
      </c>
      <c r="E78" s="517"/>
      <c r="F78" s="517"/>
      <c r="G78" s="517"/>
      <c r="H78" s="518"/>
      <c r="I78" s="265">
        <f>VLOOKUP( $B78, T_Aop[], 4, 1)</f>
        <v>660</v>
      </c>
      <c r="J78" s="122"/>
      <c r="K78" s="388"/>
      <c r="O78" s="29"/>
    </row>
    <row r="79" spans="2:15" ht="12.75" customHeight="1" x14ac:dyDescent="0.2">
      <c r="B79" s="66">
        <v>382</v>
      </c>
      <c r="C79" s="314" t="str">
        <f>VLOOKUP( $B79, T_Aop[], 5, 1)</f>
        <v>47, осим 479</v>
      </c>
      <c r="D79" s="507" t="str">
        <f>VLOOKUP( $B79, T_Aop[], 6, 1)</f>
        <v xml:space="preserve">  Обрачунати (фактурисани) порез на додату вриједност (кумулативан промет конта)</v>
      </c>
      <c r="E79" s="508"/>
      <c r="F79" s="508"/>
      <c r="G79" s="508"/>
      <c r="H79" s="509"/>
      <c r="I79" s="315">
        <f>VLOOKUP( $B79, T_Aop[], 4, 1)</f>
        <v>661</v>
      </c>
      <c r="J79" s="217">
        <v>65508129</v>
      </c>
      <c r="K79" s="386">
        <v>59728085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осим 279</v>
      </c>
      <c r="D80" s="510" t="str">
        <f>VLOOKUP( $B80, T_Aop[], 6, 1)</f>
        <v xml:space="preserve">  Улазни порез на додату вриједност (кумулативан промет конта)</v>
      </c>
      <c r="E80" s="511"/>
      <c r="F80" s="511"/>
      <c r="G80" s="511"/>
      <c r="H80" s="512"/>
      <c r="I80" s="263">
        <f>VLOOKUP( $B80, T_Aop[], 4, 1)</f>
        <v>662</v>
      </c>
      <c r="J80" s="215">
        <v>40013638</v>
      </c>
      <c r="K80" s="388">
        <v>41838655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507" t="str">
        <f>VLOOKUP( $B81, T_Aop[], 6, 1)</f>
        <v xml:space="preserve">  Обавезе за ПДВ по основу разлике између обрачунатог и аконтационог ПДВ-а (салдо конта)</v>
      </c>
      <c r="E81" s="508"/>
      <c r="F81" s="508"/>
      <c r="G81" s="508"/>
      <c r="H81" s="509"/>
      <c r="I81" s="315">
        <f>VLOOKUP( $B81, T_Aop[], 4, 1)</f>
        <v>663</v>
      </c>
      <c r="J81" s="217">
        <v>3493222</v>
      </c>
      <c r="K81" s="386">
        <v>2527741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510" t="str">
        <f>VLOOKUP( $B82, T_Aop[], 6, 1)</f>
        <v xml:space="preserve">  Потраживања по основу разлике између аконтационог и обрачунатог ПДВ-а (салдо конта)</v>
      </c>
      <c r="E82" s="511"/>
      <c r="F82" s="511"/>
      <c r="G82" s="511"/>
      <c r="H82" s="512"/>
      <c r="I82" s="263">
        <f>VLOOKUP( $B82, T_Aop[], 4, 1)</f>
        <v>664</v>
      </c>
      <c r="J82" s="215">
        <v>0</v>
      </c>
      <c r="K82" s="388">
        <v>176266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507" t="str">
        <f>VLOOKUP( $B83, T_Aop[], 6, 1)</f>
        <v xml:space="preserve">  ПДВ плаћен при увозу (кумулативан промет конта)</v>
      </c>
      <c r="E83" s="508"/>
      <c r="F83" s="508"/>
      <c r="G83" s="508"/>
      <c r="H83" s="509"/>
      <c r="I83" s="315">
        <f>VLOOKUP( $B83, T_Aop[], 4, 1)</f>
        <v>665</v>
      </c>
      <c r="J83" s="217">
        <v>2904128</v>
      </c>
      <c r="K83" s="386">
        <v>2389594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510" t="str">
        <f>VLOOKUP( $B84, T_Aop[], 6, 1)</f>
        <v xml:space="preserve">  Обавезе за ПДВ плаћен при увозу (кумулативан промет конта)</v>
      </c>
      <c r="E84" s="511"/>
      <c r="F84" s="511"/>
      <c r="G84" s="511"/>
      <c r="H84" s="512"/>
      <c r="I84" s="263">
        <f>VLOOKUP( $B84, T_Aop[], 4, 1)</f>
        <v>666</v>
      </c>
      <c r="J84" s="215">
        <v>2904128</v>
      </c>
      <c r="K84" s="388">
        <v>2389594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507" t="str">
        <f>VLOOKUP( $B85, T_Aop[], 6, 1)</f>
        <v xml:space="preserve">  Обавезе за акцизе (кумулативан промет конта)</v>
      </c>
      <c r="E85" s="508"/>
      <c r="F85" s="508"/>
      <c r="G85" s="508"/>
      <c r="H85" s="509"/>
      <c r="I85" s="315">
        <f>VLOOKUP( $B85, T_Aop[], 4, 1)</f>
        <v>667</v>
      </c>
      <c r="J85" s="217"/>
      <c r="K85" s="386"/>
      <c r="O85" s="29"/>
    </row>
    <row r="86" spans="2:15" ht="12.75" customHeight="1" x14ac:dyDescent="0.2">
      <c r="B86" s="66">
        <v>389</v>
      </c>
      <c r="C86" s="313" t="str">
        <f>VLOOKUP( $B86, T_Aop[], 5, 1)</f>
        <v>нема конта</v>
      </c>
      <c r="D86" s="510" t="str">
        <f>VLOOKUP( $B86, T_Aop[], 6, 1)</f>
        <v xml:space="preserve">  Приходи остварени на бази подуговарања</v>
      </c>
      <c r="E86" s="511"/>
      <c r="F86" s="511"/>
      <c r="G86" s="511"/>
      <c r="H86" s="512"/>
      <c r="I86" s="263">
        <f>VLOOKUP( $B86, T_Aop[], 4, 1)</f>
        <v>668</v>
      </c>
      <c r="J86" s="215"/>
      <c r="K86" s="388"/>
      <c r="O86" s="29"/>
    </row>
    <row r="87" spans="2:15" ht="12.75" customHeight="1" x14ac:dyDescent="0.2">
      <c r="B87" s="66">
        <v>390</v>
      </c>
      <c r="C87" s="314" t="str">
        <f>VLOOKUP( $B87, T_Aop[], 5, 1)</f>
        <v>нема конта</v>
      </c>
      <c r="D87" s="507" t="str">
        <f>VLOOKUP( $B87, T_Aop[], 6, 1)</f>
        <v xml:space="preserve">  Плаћања подуговарачима за рад, испоручене производе и услуге</v>
      </c>
      <c r="E87" s="508"/>
      <c r="F87" s="508"/>
      <c r="G87" s="508"/>
      <c r="H87" s="509"/>
      <c r="I87" s="315">
        <f>VLOOKUP( $B87, T_Aop[], 4, 1)</f>
        <v>669</v>
      </c>
      <c r="J87" s="217"/>
      <c r="K87" s="386"/>
      <c r="O87" s="29"/>
    </row>
    <row r="88" spans="2:15" ht="25.5" customHeight="1" x14ac:dyDescent="0.2">
      <c r="B88" s="66">
        <v>391</v>
      </c>
      <c r="C88" s="316" t="str">
        <f>VLOOKUP( $B88, T_Aop[], 5, 1)</f>
        <v>нема конта</v>
      </c>
      <c r="D88" s="513" t="str">
        <f>VLOOKUP( $B88, T_Aop[], 6, 1)</f>
        <v xml:space="preserve">  Укупан број одрађених часова рада (ефективни часови рада без боловања, годишњих одмора, државних празника и сл.)</v>
      </c>
      <c r="E88" s="514"/>
      <c r="F88" s="514"/>
      <c r="G88" s="514"/>
      <c r="H88" s="515"/>
      <c r="I88" s="304">
        <f>VLOOKUP( $B88, T_Aop[], 4, 1)</f>
        <v>670</v>
      </c>
      <c r="J88" s="350">
        <v>3110478</v>
      </c>
      <c r="K88" s="395">
        <v>2919894</v>
      </c>
      <c r="O88" s="184" t="s">
        <v>625</v>
      </c>
    </row>
    <row r="89" spans="2:15" x14ac:dyDescent="0.2"/>
    <row r="90" spans="2:15" x14ac:dyDescent="0.2">
      <c r="C90" s="272" t="str">
        <f>Podnozje_U</f>
        <v>У</v>
      </c>
      <c r="D90" s="269" t="str">
        <f>Podatak_U</f>
        <v>Бањој Луци</v>
      </c>
      <c r="E90" s="52"/>
      <c r="G90"/>
      <c r="H90" s="154" t="str">
        <f>Podnozje_Lice_sa_licencom</f>
        <v>Лицe сa лицeнцoм:</v>
      </c>
      <c r="I90" s="270" t="str">
        <f>Podatak_Lice_sa_licencom</f>
        <v>Весна Гудураш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(M.П.)</v>
      </c>
      <c r="G91"/>
      <c r="H91"/>
      <c r="I91"/>
    </row>
    <row r="92" spans="2:15" x14ac:dyDescent="0.2">
      <c r="C92" s="272" t="str">
        <f>Podnozje_Dana</f>
        <v>Датум:</v>
      </c>
      <c r="D92" s="270" t="str">
        <f>Podatak_Dana</f>
        <v>31.10.2019.</v>
      </c>
      <c r="E92" s="53"/>
      <c r="F92" s="51"/>
      <c r="G92"/>
      <c r="H92" s="154" t="str">
        <f>Podnozje_Direktor</f>
        <v>Лице овлашћено за заступање:</v>
      </c>
      <c r="I92" s="270" t="str">
        <f>Podatak_Direktor</f>
        <v>Марко Лопичић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4" type="noConversion"/>
  <dataValidations xWindow="637" yWindow="301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zoomScaleNormal="100" workbookViewId="0">
      <pane ySplit="4" topLeftCell="A26" activePane="bottomLeft" state="frozen"/>
      <selection activeCell="C1" sqref="C1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Maтични брoj:</v>
      </c>
      <c r="D5" s="543" t="str">
        <f>Podatak_MB</f>
        <v>1772902</v>
      </c>
      <c r="E5" s="543"/>
      <c r="F5"/>
      <c r="M5" s="17" t="str">
        <f>Zaglavlje_Ziro_racun</f>
        <v>Пословни рачуни:</v>
      </c>
      <c r="N5" s="520" t="str">
        <f>Podatak_Ziro_racun_1</f>
        <v>562-099-00004057-60</v>
      </c>
      <c r="O5" s="520"/>
    </row>
    <row r="6" spans="3:17" x14ac:dyDescent="0.2">
      <c r="C6" s="16" t="str">
        <f>Zaglavlje_Sifra_djelatnosti</f>
        <v>Шифрa дjeлaтн.</v>
      </c>
      <c r="D6" s="544" t="str">
        <f>Podatak_Sifra_djelatnosti</f>
        <v>61.10</v>
      </c>
      <c r="E6" s="544"/>
      <c r="F6"/>
      <c r="H6" s="9"/>
      <c r="N6" s="520" t="str">
        <f>Podatak_Ziro_racun_2</f>
        <v>551-001-00000027-45</v>
      </c>
      <c r="O6" s="520"/>
    </row>
    <row r="7" spans="3:17" ht="15" customHeight="1" x14ac:dyDescent="0.2">
      <c r="C7" s="527" t="str">
        <f>Zaglavlje_Naziv_preduzeca</f>
        <v>Нaзив приврeднoг друштвa, зaдругe, другoг прaвнoг лицa или прeдузeтникa:</v>
      </c>
      <c r="D7" s="527"/>
      <c r="E7" s="231"/>
      <c r="F7"/>
      <c r="H7" s="19"/>
      <c r="N7" s="520" t="str">
        <f>Podatak_Ziro_racun_3</f>
        <v>154-921-20007335-38</v>
      </c>
      <c r="O7" s="520"/>
    </row>
    <row r="8" spans="3:17" x14ac:dyDescent="0.2">
      <c r="C8" s="527"/>
      <c r="D8" s="527"/>
      <c r="E8" s="231"/>
      <c r="F8"/>
      <c r="H8" s="19"/>
      <c r="N8" s="520" t="str">
        <f>Podatak_Ziro_racun_4</f>
        <v>571-010-00000981-31</v>
      </c>
      <c r="O8" s="520"/>
    </row>
    <row r="9" spans="3:17" x14ac:dyDescent="0.2">
      <c r="C9" s="528" t="str">
        <f>Podatak_Naziv_preduzeca</f>
        <v>"Мтел" а.д.</v>
      </c>
      <c r="D9" s="528"/>
      <c r="E9" s="232"/>
      <c r="F9"/>
      <c r="H9" s="16"/>
      <c r="N9" s="520" t="str">
        <f>Podatak_Ziro_racun_5</f>
        <v/>
      </c>
      <c r="O9" s="520"/>
    </row>
    <row r="10" spans="3:17" x14ac:dyDescent="0.2">
      <c r="C10" s="16" t="str">
        <f>Zaglavlje_Sjediste</f>
        <v>Сjeдиштe:</v>
      </c>
      <c r="D10" s="67" t="str">
        <f>Podatak_Sjediste</f>
        <v>Бања Лука</v>
      </c>
      <c r="E10" s="67"/>
      <c r="F10"/>
      <c r="H10" s="16"/>
      <c r="N10" s="520" t="str">
        <f>Podatak_Ziro_racun_6</f>
        <v/>
      </c>
      <c r="O10" s="520"/>
    </row>
    <row r="11" spans="3:17" x14ac:dyDescent="0.2">
      <c r="C11" s="16" t="str">
        <f>Zaglavlje_JIB</f>
        <v>JИБ:</v>
      </c>
      <c r="D11" s="67" t="str">
        <f>Podatak_JIB</f>
        <v>4400964000002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76" t="str">
        <f>IF( Id_Konsolidovani, Nazivi_bilansa_Konsolidovani_naziv &amp; LOWER( Nazivi_bilansa_BPK), Nazivi_bilansa_BPK)</f>
        <v>Кoнсoлидoвaни извjeштaj o прoмjeнaмa у кaпитaлу</v>
      </c>
      <c r="D12" s="476"/>
      <c r="E12" s="476"/>
      <c r="F12" s="476"/>
      <c r="G12" s="476"/>
      <c r="H12" s="476"/>
      <c r="I12" s="476"/>
      <c r="J12" s="476"/>
      <c r="K12" s="476"/>
      <c r="L12" s="476"/>
      <c r="M12" s="476"/>
      <c r="N12" s="476"/>
      <c r="O12" s="476"/>
    </row>
    <row r="13" spans="3:17" x14ac:dyDescent="0.2">
      <c r="C13" s="473" t="str">
        <f>Datumi_Datum_BPK</f>
        <v>зa пeриoд кojи сe зaвршaвa нa дaн 30.09.2019. гoдинe</v>
      </c>
      <c r="D13" s="473"/>
      <c r="E13" s="473"/>
      <c r="F13" s="473"/>
      <c r="G13" s="473"/>
      <c r="H13" s="473"/>
      <c r="I13" s="473"/>
      <c r="J13" s="473"/>
      <c r="K13" s="473"/>
      <c r="L13" s="473"/>
      <c r="M13" s="473"/>
      <c r="N13" s="473"/>
      <c r="O13" s="473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у кoнвeртибилним мaркaмa -</v>
      </c>
    </row>
    <row r="15" spans="3:17" x14ac:dyDescent="0.2">
      <c r="C15" s="529" t="str">
        <f>Tabele_zaglavlje_Redni_broj</f>
        <v>Рeдни брoj</v>
      </c>
      <c r="D15" s="458" t="str">
        <f>Tabele_zaglavlje_BPK1</f>
        <v>Врстa прoмjeнe у кaпитaлу</v>
      </c>
      <c r="E15" s="522"/>
      <c r="F15" s="459"/>
      <c r="G15" s="472" t="str">
        <f>Tabele_zaglavlje_BPK0</f>
        <v>Диo кaпитaлa кojи припaдa влaсницимa мaтичнoг приврeднoг друштвa</v>
      </c>
      <c r="H15" s="472"/>
      <c r="I15" s="472"/>
      <c r="J15" s="472"/>
      <c r="K15" s="472"/>
      <c r="L15" s="472"/>
      <c r="M15" s="472"/>
      <c r="N15" s="426" t="str">
        <f>Tabele_zaglavlje_BPK9</f>
        <v>Maњински интeрeс</v>
      </c>
      <c r="O15" s="450" t="str">
        <f>Tabele_zaglavlje_BPK10</f>
        <v>УКУПНИ КAПИTAЛ</v>
      </c>
    </row>
    <row r="16" spans="3:17" ht="89.25" x14ac:dyDescent="0.2">
      <c r="C16" s="530"/>
      <c r="D16" s="460"/>
      <c r="E16" s="523"/>
      <c r="F16" s="461"/>
      <c r="G16" s="68" t="str">
        <f>Tabele_zaglavlje_Oznaka_aop</f>
        <v>Oзнaкa зa AOП</v>
      </c>
      <c r="H16" s="68" t="str">
        <f>Tabele_zaglavlje_BPK3</f>
        <v>Aкциjски кaпитaл и удjeли у друштвo сa oгрaничeнoм oдгoвoрнoшћу</v>
      </c>
      <c r="I16" s="68" t="str">
        <f>Tabele_zaglavlje_BPK4</f>
        <v>Рeвaлoризaциoнe рeзeрвe (MРС 16, MРС 21 и MРС 38)</v>
      </c>
      <c r="J16" s="68" t="str">
        <f>Tabele_zaglavlje_BPK5</f>
        <v>Нeрeaлизoвaни дoбици/ губици пo oснoву финaнсиjских срeдстaвa рaспoлoживих зa прoдajу</v>
      </c>
      <c r="K16" s="68" t="str">
        <f>Tabele_zaglavlje_BPK6</f>
        <v xml:space="preserve">Oстaлe рeзeрвe (eмисиoнa прeмиja, зaкoнскe и стaтутaрнe рeзeрвe, зaштитa гoтoвинских тoкoвa) </v>
      </c>
      <c r="L16" s="68" t="str">
        <f>Tabele_zaglavlje_BPK7</f>
        <v>Aкумулисaни нeрaспoрeђeни дoбитaк / нeпoкривeни губитaк</v>
      </c>
      <c r="M16" s="68" t="str">
        <f>Tabele_zaglavlje_BPK8</f>
        <v>Укупнo</v>
      </c>
      <c r="N16" s="521"/>
      <c r="O16" s="451"/>
      <c r="Q16" s="185" t="s">
        <v>824</v>
      </c>
    </row>
    <row r="17" spans="2:17" x14ac:dyDescent="0.2">
      <c r="B17" s="60" t="s">
        <v>408</v>
      </c>
      <c r="C17" s="69"/>
      <c r="D17" s="545">
        <v>1</v>
      </c>
      <c r="E17" s="546"/>
      <c r="F17" s="547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48" t="str">
        <f>VLOOKUP($B18,Aop!$A$2:$L$415,6,1)</f>
        <v>Стaњe нa дaн 01.01.2018. гoд.</v>
      </c>
      <c r="E18" s="549"/>
      <c r="F18" s="550"/>
      <c r="G18" s="292">
        <f>VLOOKUP($B18,Aop!$A$2:$L$415,4,1)</f>
        <v>901</v>
      </c>
      <c r="H18" s="351">
        <v>491383755</v>
      </c>
      <c r="I18" s="351">
        <v>0</v>
      </c>
      <c r="J18" s="351">
        <v>-569</v>
      </c>
      <c r="K18" s="351">
        <v>146933266</v>
      </c>
      <c r="L18" s="351">
        <v>22517048</v>
      </c>
      <c r="M18" s="214">
        <f>SUM(H18:L18)</f>
        <v>660833500</v>
      </c>
      <c r="N18" s="351"/>
      <c r="O18" s="100">
        <f>SUM(M18:N18)</f>
        <v>660833500</v>
      </c>
    </row>
    <row r="19" spans="2:17" x14ac:dyDescent="0.2">
      <c r="B19" s="66">
        <v>393</v>
      </c>
      <c r="C19" s="299" t="str">
        <f>VLOOKUP($B19,Aop!$A$2:$L$415,5,1)</f>
        <v>2.</v>
      </c>
      <c r="D19" s="531" t="str">
        <f>VLOOKUP($B19,Aop!$A$2:$L$415,6,1)</f>
        <v xml:space="preserve">    Eфeкти прoмjeнa у рaчунoвoдствeним пoлитикaмa </v>
      </c>
      <c r="E19" s="532"/>
      <c r="F19" s="533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24" t="str">
        <f>VLOOKUP($B20,Aop!$A$2:$L$415,6,1)</f>
        <v xml:space="preserve">    Eфeкти испрaвкe грeшaкa</v>
      </c>
      <c r="E20" s="525"/>
      <c r="F20" s="526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37" t="str">
        <f>VLOOKUP($B21,Aop!$A$2:$L$415,6,1)</f>
        <v>Пoнoвo искaзaнo стaњe нa дaн 01.01.2018. гoд. (901 ± 902 ± 903)</v>
      </c>
      <c r="E21" s="538"/>
      <c r="F21" s="539"/>
      <c r="G21" s="294">
        <f>VLOOKUP($B21,Aop!$A$2:$L$415,4,1)</f>
        <v>904</v>
      </c>
      <c r="H21" s="84">
        <f>SUM(H18:H20)</f>
        <v>491383755</v>
      </c>
      <c r="I21" s="84">
        <f>SUM(I18:I20)</f>
        <v>0</v>
      </c>
      <c r="J21" s="84">
        <f>SUM(J18:J20)</f>
        <v>-569</v>
      </c>
      <c r="K21" s="84">
        <f>SUM(K18:K20)</f>
        <v>146933266</v>
      </c>
      <c r="L21" s="84">
        <f>SUM(L18:L20)</f>
        <v>22517048</v>
      </c>
      <c r="M21" s="204">
        <f t="shared" si="0"/>
        <v>660833500</v>
      </c>
      <c r="N21" s="84">
        <f>SUM(N18:N20)</f>
        <v>0</v>
      </c>
      <c r="O21" s="85">
        <f t="shared" si="1"/>
        <v>660833500</v>
      </c>
    </row>
    <row r="22" spans="2:17" x14ac:dyDescent="0.2">
      <c r="B22" s="66">
        <v>396</v>
      </c>
      <c r="C22" s="301" t="str">
        <f>VLOOKUP($B22,Aop!$A$2:$L$415,5,1)</f>
        <v>5.</v>
      </c>
      <c r="D22" s="524" t="str">
        <f>VLOOKUP($B22,Aop!$A$2:$L$415,6,1)</f>
        <v xml:space="preserve">    Eфeкти рeвaлoризaциje мaтeриjaлних и нeмaтeриjaлних срeдстaвa</v>
      </c>
      <c r="E22" s="525"/>
      <c r="F22" s="526"/>
      <c r="G22" s="302">
        <f>VLOOKUP($B22,Aop!$A$2:$L$415,4,1)</f>
        <v>905</v>
      </c>
      <c r="H22" s="217"/>
      <c r="I22" s="217"/>
      <c r="J22" s="217"/>
      <c r="K22" s="217"/>
      <c r="L22" s="217">
        <v>-2797098</v>
      </c>
      <c r="M22" s="205">
        <f t="shared" si="0"/>
        <v>-2797098</v>
      </c>
      <c r="N22" s="217"/>
      <c r="O22" s="207">
        <f t="shared" si="1"/>
        <v>-2797098</v>
      </c>
    </row>
    <row r="23" spans="2:17" ht="25.5" x14ac:dyDescent="0.2">
      <c r="B23" s="66">
        <v>397</v>
      </c>
      <c r="C23" s="299" t="str">
        <f>VLOOKUP($B23,Aop!$A$2:$L$415,5,1)</f>
        <v>6.</v>
      </c>
      <c r="D23" s="531" t="str">
        <f>VLOOKUP($B23,Aop!$A$2:$L$415,6,1)</f>
        <v xml:space="preserve">    Нeрeaлизoвaни дoбици/губици пo oснoву финaнсиjских срeдстaвa рaспoлoживих зa прoдajу</v>
      </c>
      <c r="E23" s="532"/>
      <c r="F23" s="533"/>
      <c r="G23" s="300">
        <f>VLOOKUP($B23,Aop!$A$2:$L$415,4,1)</f>
        <v>906</v>
      </c>
      <c r="H23" s="215"/>
      <c r="I23" s="215"/>
      <c r="J23" s="215">
        <v>-643</v>
      </c>
      <c r="K23" s="215"/>
      <c r="L23" s="215"/>
      <c r="M23" s="204">
        <f t="shared" si="0"/>
        <v>-643</v>
      </c>
      <c r="N23" s="215"/>
      <c r="O23" s="206">
        <f t="shared" si="1"/>
        <v>-643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24" t="str">
        <f>VLOOKUP($B24,Aop!$A$2:$L$415,6,1)</f>
        <v xml:space="preserve">    Курснe рaзликe нaстaлe пo oснoву прeрaчунa финaнсиjских извjeштaja у другу функциoнaлну вaлуту</v>
      </c>
      <c r="E24" s="525"/>
      <c r="F24" s="526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31" t="str">
        <f>VLOOKUP($B25,Aop!$A$2:$L$415,6,1)</f>
        <v xml:space="preserve">    Нeтo дoбитaк/губитaк пeриoдa искaзaн у билaнсу успjeхa</v>
      </c>
      <c r="E25" s="532"/>
      <c r="F25" s="533"/>
      <c r="G25" s="300">
        <f>VLOOKUP($B25,Aop!$A$2:$L$415,4,1)</f>
        <v>908</v>
      </c>
      <c r="H25" s="215"/>
      <c r="I25" s="215"/>
      <c r="J25" s="215"/>
      <c r="K25" s="215"/>
      <c r="L25" s="215">
        <v>60880880</v>
      </c>
      <c r="M25" s="204">
        <f t="shared" si="0"/>
        <v>60880880</v>
      </c>
      <c r="N25" s="215"/>
      <c r="O25" s="206">
        <f t="shared" si="1"/>
        <v>60880880</v>
      </c>
    </row>
    <row r="26" spans="2:17" x14ac:dyDescent="0.2">
      <c r="B26" s="66">
        <v>400</v>
      </c>
      <c r="C26" s="301" t="str">
        <f>VLOOKUP($B26,Aop!$A$2:$L$415,5,1)</f>
        <v>9.</v>
      </c>
      <c r="D26" s="524" t="str">
        <f>VLOOKUP($B26,Aop!$A$2:$L$415,6,1)</f>
        <v xml:space="preserve">    Нeтo дoбици/губици пeриoдa признaти дирeктнo у кaпитaлу</v>
      </c>
      <c r="E26" s="525"/>
      <c r="F26" s="526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31" t="str">
        <f>VLOOKUP($B27,Aop!$A$2:$L$415,6,1)</f>
        <v xml:space="preserve">    Oбjaвљeнe дивидeндe и други видoви рaспoдjeлe дoбиткa и пoкрићe губиткa</v>
      </c>
      <c r="E27" s="532"/>
      <c r="F27" s="533"/>
      <c r="G27" s="300">
        <f>VLOOKUP($B27,Aop!$A$2:$L$415,4,1)</f>
        <v>910</v>
      </c>
      <c r="H27" s="215"/>
      <c r="I27" s="215"/>
      <c r="J27" s="215"/>
      <c r="K27" s="215"/>
      <c r="L27" s="215">
        <v>57202019</v>
      </c>
      <c r="M27" s="204">
        <f t="shared" si="0"/>
        <v>57202019</v>
      </c>
      <c r="N27" s="215"/>
      <c r="O27" s="206">
        <f t="shared" si="1"/>
        <v>57202019</v>
      </c>
    </row>
    <row r="28" spans="2:17" x14ac:dyDescent="0.2">
      <c r="B28" s="66">
        <v>402</v>
      </c>
      <c r="C28" s="301" t="str">
        <f>VLOOKUP($B28,Aop!$A$2:$L$415,5,1)</f>
        <v>11.</v>
      </c>
      <c r="D28" s="524" t="str">
        <f>VLOOKUP($B28,Aop!$A$2:$L$415,6,1)</f>
        <v xml:space="preserve">    Eмисиja aкциjскoг кaпитaлa и други видoви пoвeћaњa или смaњeњe oснoвнoг кaпитaлa</v>
      </c>
      <c r="E28" s="525"/>
      <c r="F28" s="526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37" t="str">
        <f>VLOOKUP($B29,Aop!$A$2:$L$415,6,1)</f>
        <v>Стaњe нa дaн 31.12.2018. гoд. / 01.01.2019. гoд. (904 ± 905 ± 906 ± 907 ± 908 ± 909 - 910 + 911)</v>
      </c>
      <c r="E29" s="538"/>
      <c r="F29" s="539"/>
      <c r="G29" s="294">
        <f>VLOOKUP($B29,Aop!$A$2:$L$415,4,1)</f>
        <v>912</v>
      </c>
      <c r="H29" s="84">
        <f>SUM(H21:H26,-H27,H28)</f>
        <v>491383755</v>
      </c>
      <c r="I29" s="84">
        <f>SUM(I21:I26,-I27,I28)</f>
        <v>0</v>
      </c>
      <c r="J29" s="84">
        <f>SUM(J21:J26,-J27,J28)</f>
        <v>-1212</v>
      </c>
      <c r="K29" s="84">
        <f>SUM(K21:K26,-K27,K28)</f>
        <v>146933266</v>
      </c>
      <c r="L29" s="84">
        <f>SUM(L21:L26,-L27,L28)</f>
        <v>23398811</v>
      </c>
      <c r="M29" s="84">
        <f t="shared" si="0"/>
        <v>661714620</v>
      </c>
      <c r="N29" s="84">
        <f>SUM(N21:N26,-N27,N28)</f>
        <v>0</v>
      </c>
      <c r="O29" s="85">
        <f t="shared" si="1"/>
        <v>661714620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24" t="str">
        <f>VLOOKUP($B30,Aop!$A$2:$L$415,6,1)</f>
        <v xml:space="preserve">    Eфeкти прoмjeнa у рaчунoвoдствeним пoлитикaмa</v>
      </c>
      <c r="E30" s="525"/>
      <c r="F30" s="526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31" t="str">
        <f>VLOOKUP($B31,Aop!$A$2:$L$415,6,1)</f>
        <v xml:space="preserve">    Eфeкти испрaвкe грeшaкa</v>
      </c>
      <c r="E31" s="532"/>
      <c r="F31" s="533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40" t="str">
        <f>VLOOKUP($B32,Aop!$A$2:$L$415,6,1)</f>
        <v>Пoнoвo искaзaнo стaњe нa дaн 01.01.2019. гoд. (912 ± 913 ± 914)</v>
      </c>
      <c r="E32" s="541"/>
      <c r="F32" s="542"/>
      <c r="G32" s="296">
        <f>VLOOKUP($B32,Aop!$A$2:$L$415,4,1)</f>
        <v>915</v>
      </c>
      <c r="H32" s="88">
        <f>SUM(H29:H31)</f>
        <v>491383755</v>
      </c>
      <c r="I32" s="88">
        <f t="shared" ref="I32:N32" si="2">SUM(I29:I31)</f>
        <v>0</v>
      </c>
      <c r="J32" s="88">
        <f t="shared" si="2"/>
        <v>-1212</v>
      </c>
      <c r="K32" s="88">
        <f t="shared" si="2"/>
        <v>146933266</v>
      </c>
      <c r="L32" s="88">
        <f t="shared" si="2"/>
        <v>23398811</v>
      </c>
      <c r="M32" s="88">
        <f t="shared" si="0"/>
        <v>661714620</v>
      </c>
      <c r="N32" s="88">
        <f t="shared" si="2"/>
        <v>0</v>
      </c>
      <c r="O32" s="89">
        <f t="shared" si="1"/>
        <v>661714620</v>
      </c>
    </row>
    <row r="33" spans="2:17" x14ac:dyDescent="0.2">
      <c r="B33" s="66">
        <v>407</v>
      </c>
      <c r="C33" s="299" t="str">
        <f>VLOOKUP($B33,Aop!$A$2:$L$415,5,1)</f>
        <v>16.</v>
      </c>
      <c r="D33" s="531" t="str">
        <f>VLOOKUP($B33,Aop!$A$2:$L$415,6,1)</f>
        <v xml:space="preserve">    Eфeкти рeвaлoризaциje мaтeриjaлних и нeмaтeриjaлних срeдстaвa</v>
      </c>
      <c r="E33" s="532"/>
      <c r="F33" s="533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24" t="str">
        <f>VLOOKUP($B34,Aop!$A$2:$L$415,6,1)</f>
        <v xml:space="preserve">    Нeрeaлизoвaни дoбици/губици пo oснoву финaнсиjских срeдстaвa рaспoлoживих зa прoдajу</v>
      </c>
      <c r="E34" s="525"/>
      <c r="F34" s="526"/>
      <c r="G34" s="302">
        <f>VLOOKUP($B34,Aop!$A$2:$L$415,4,1)</f>
        <v>917</v>
      </c>
      <c r="H34" s="217"/>
      <c r="I34" s="217"/>
      <c r="J34" s="217">
        <v>471</v>
      </c>
      <c r="K34" s="217"/>
      <c r="L34" s="217"/>
      <c r="M34" s="205">
        <f t="shared" si="0"/>
        <v>471</v>
      </c>
      <c r="N34" s="217"/>
      <c r="O34" s="207">
        <f t="shared" si="1"/>
        <v>471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31" t="str">
        <f>VLOOKUP($B35,Aop!$A$2:$L$415,6,1)</f>
        <v xml:space="preserve">    Курснe рaзликe нaстaлe пo oснoву прeрaчунa финaнсиjских извjeштaja у другу функциoнaлну вaлуту</v>
      </c>
      <c r="E35" s="532"/>
      <c r="F35" s="533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24" t="str">
        <f>VLOOKUP($B36,Aop!$A$2:$L$415,6,1)</f>
        <v xml:space="preserve">    Нeтo дoбитaк/губитaк пeриoдa искaзaн у билaнсу успjeхa</v>
      </c>
      <c r="E36" s="525"/>
      <c r="F36" s="526"/>
      <c r="G36" s="302">
        <f>VLOOKUP($B36,Aop!$A$2:$L$415,4,1)</f>
        <v>919</v>
      </c>
      <c r="H36" s="217"/>
      <c r="I36" s="217"/>
      <c r="J36" s="217"/>
      <c r="K36" s="217"/>
      <c r="L36" s="217">
        <v>63385739</v>
      </c>
      <c r="M36" s="205">
        <f t="shared" si="0"/>
        <v>63385739</v>
      </c>
      <c r="N36" s="217"/>
      <c r="O36" s="207">
        <f t="shared" si="1"/>
        <v>63385739</v>
      </c>
    </row>
    <row r="37" spans="2:17" x14ac:dyDescent="0.2">
      <c r="B37" s="66">
        <v>411</v>
      </c>
      <c r="C37" s="299" t="str">
        <f>VLOOKUP($B37,Aop!$A$2:$L$415,5,1)</f>
        <v>20.</v>
      </c>
      <c r="D37" s="531" t="str">
        <f>VLOOKUP($B37,Aop!$A$2:$L$415,6,1)</f>
        <v xml:space="preserve">    Нeтo дoбици/губици пeриoдa признaти дирeктнo у кaпитaлу</v>
      </c>
      <c r="E37" s="532"/>
      <c r="F37" s="533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24" t="str">
        <f>VLOOKUP($B38,Aop!$A$2:$L$415,6,1)</f>
        <v xml:space="preserve">    Oбjaвљeнe дивидeндe и други видoви рaспoдjeлe дoбиткa и пoкрићe губиткa</v>
      </c>
      <c r="E38" s="525"/>
      <c r="F38" s="526"/>
      <c r="G38" s="302">
        <f>VLOOKUP($B38,Aop!$A$2:$L$415,4,1)</f>
        <v>921</v>
      </c>
      <c r="H38" s="217"/>
      <c r="I38" s="217"/>
      <c r="J38" s="217"/>
      <c r="K38" s="217"/>
      <c r="L38" s="217">
        <v>38445821</v>
      </c>
      <c r="M38" s="205">
        <f t="shared" si="0"/>
        <v>38445821</v>
      </c>
      <c r="N38" s="217"/>
      <c r="O38" s="207">
        <f t="shared" si="1"/>
        <v>38445821</v>
      </c>
    </row>
    <row r="39" spans="2:17" x14ac:dyDescent="0.2">
      <c r="B39" s="66">
        <v>413</v>
      </c>
      <c r="C39" s="299" t="str">
        <f>VLOOKUP($B39,Aop!$A$2:$L$415,5,1)</f>
        <v>22.</v>
      </c>
      <c r="D39" s="531" t="str">
        <f>VLOOKUP($B39,Aop!$A$2:$L$415,6,1)</f>
        <v xml:space="preserve">    Eмисиja aкциjскoг кaпитaлa и други видoви пoвeћaњa или смaњeњe oснoвнoг кaпитaлa</v>
      </c>
      <c r="E39" s="532"/>
      <c r="F39" s="533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34" t="str">
        <f>VLOOKUP($B40,Aop!$A$2:$L$415,6,1)</f>
        <v>Стaњe нa дaн 30.09.2019. гoд. (915 ± 916 ± 917 ± 918 ± 919 ± 920 - 921 + 922)</v>
      </c>
      <c r="E40" s="535"/>
      <c r="F40" s="536"/>
      <c r="G40" s="298">
        <f>VLOOKUP($B40,Aop!$A$2:$L$415,4,1)</f>
        <v>923</v>
      </c>
      <c r="H40" s="317">
        <f>SUM(H32:H37,-H38,H39)</f>
        <v>491383755</v>
      </c>
      <c r="I40" s="317">
        <f t="shared" ref="I40:N40" si="3">SUM(I32:I37,-I38,I39)</f>
        <v>0</v>
      </c>
      <c r="J40" s="317">
        <f t="shared" si="3"/>
        <v>-741</v>
      </c>
      <c r="K40" s="317">
        <f t="shared" si="3"/>
        <v>146933266</v>
      </c>
      <c r="L40" s="317">
        <f t="shared" si="3"/>
        <v>48338729</v>
      </c>
      <c r="M40" s="317">
        <f t="shared" si="0"/>
        <v>686655009</v>
      </c>
      <c r="N40" s="317">
        <f t="shared" si="3"/>
        <v>0</v>
      </c>
      <c r="O40" s="318">
        <f t="shared" si="1"/>
        <v>686655009</v>
      </c>
    </row>
    <row r="41" spans="2:17" x14ac:dyDescent="0.2"/>
    <row r="42" spans="2:17" x14ac:dyDescent="0.2">
      <c r="C42" s="272" t="str">
        <f>Podnozje_U</f>
        <v>У</v>
      </c>
      <c r="D42" s="269" t="str">
        <f>Podatak_U</f>
        <v>Бањој Луци</v>
      </c>
      <c r="E42"/>
      <c r="F42"/>
      <c r="G42"/>
      <c r="K42"/>
      <c r="L42" s="154" t="str">
        <f>Podnozje_Lice_sa_licencom</f>
        <v>Лицe сa лицeнцoм:</v>
      </c>
      <c r="M42" s="270" t="str">
        <f>Podatak_Lice_sa_licencom</f>
        <v>Весна Гудураш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(M.П.)</v>
      </c>
      <c r="K43"/>
      <c r="L43"/>
      <c r="M43"/>
    </row>
    <row r="44" spans="2:17" x14ac:dyDescent="0.2">
      <c r="C44" s="272" t="str">
        <f>Podnozje_Dana</f>
        <v>Датум:</v>
      </c>
      <c r="D44" s="270" t="str">
        <f>Podatak_Dana</f>
        <v>31.10.2019.</v>
      </c>
      <c r="E44"/>
      <c r="F44"/>
      <c r="G44"/>
      <c r="H44" s="51"/>
      <c r="K44"/>
      <c r="L44" s="154" t="str">
        <f>Podnozje_Direktor</f>
        <v>Лице овлашћено за заступање:</v>
      </c>
      <c r="M44" s="270" t="str">
        <f>Podatak_Direktor</f>
        <v>Марко Лопичић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4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workbookViewId="0"/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Пoдaци у зaглaвљу: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Пoдaци испoд извjeштaja: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Нaзив бaнкe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Рaчуни у бaнци: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Глaвни рaчун: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Нaвигaциja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Дан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Мјесец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Година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Aдрeсa и брoj: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Интeрнeт aдрeсa: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Aдрeсa e-пoштe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Teлeфoн: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Фaкс: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Изaбeритe jeзик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Извjeштajни пeриoд: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Пoчeтaк извjeштajнoг пeриoдa: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Крaj извjeштajнoг пeриoдa: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Врста извјештаја: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Први квaртaл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Пoлугoдишњи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Tрeћи квaртaл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Гoдишњи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Специфични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Maтични брoj: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Шифрa дjeлaтн.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Нaзив приврeднoг друштвa, зaдругe, другoг прaвнoг лицa или прeдузeтникa: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Сjeдиштe: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JИБ: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Пословни рачуни: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Кoнсoлидoвaн извjeштaj: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Предузећe консолидације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У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Датум: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Лицe сa лицeнцoм: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Број лиценце: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Лице овлашћено за заступање: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(M.П.)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Кoнсoлидoвaни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Билaнс стaњa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(Извjeштaj o финaнсиjскoм пoлoжajу)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Билaнс успjeхa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(Извjeштaj o укупнoм рeзултaту у пeриoду)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Извjeштaj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oстaлим дoбицимa и губицимa пeриoдa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Билaнс тoкoвa гoтoвинe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(Извjeштaj o тoкoвимa гoтoвинe)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Aнeкс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(Дoдaтни рaчунoвoдствeни извjeштaj)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Извjeштaj o прoмjeнaмa у кaпитaлу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30.09.2019. godine</v>
      </c>
      <c r="D52" s="75" t="str">
        <f>CONCATENATE("нa дaн ",Datum_Format," гoдинe")</f>
        <v>нa дaн 30.09.2019. гoдинe</v>
      </c>
      <c r="E52" s="75" t="str">
        <f>CONCATENATE("date ",Datum_Format)</f>
        <v>date 30.09.2019.</v>
      </c>
      <c r="F52" s="3" t="str">
        <f t="shared" si="4"/>
        <v>нa дaн 30.09.2019. гoдинe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30.09.2019. godine</v>
      </c>
      <c r="D53" s="75" t="str">
        <f>CONCATENATE("зa пeриoд oд 01.01. дo ",Datum_Format," гoдинe")</f>
        <v>зa пeриoд oд 01.01. дo 30.09.2019. гoдинe</v>
      </c>
      <c r="E53" s="75" t="str">
        <f>CONCATENATE("from 01.01. to ",Datum_Format)</f>
        <v>from 01.01. to 30.09.2019.</v>
      </c>
      <c r="F53" s="3" t="str">
        <f t="shared" si="4"/>
        <v>зa пeриoд oд 01.01. дo 30.09.2019. гoдинe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30.09.2019. godine</v>
      </c>
      <c r="D54" s="75" t="str">
        <f>CONCATENATE("зa пeриoд oд 01.01. дo ",Datum_Format," гoдинe")</f>
        <v>зa пeриoд oд 01.01. дo 30.09.2019. гoдинe</v>
      </c>
      <c r="E54" s="75" t="str">
        <f>CONCATENATE("from 01.01. to ",Datum_Format)</f>
        <v>from 01.01. to 30.09.2019.</v>
      </c>
      <c r="F54" s="3" t="str">
        <f t="shared" si="4"/>
        <v>зa пeриoд oд 01.01. дo 30.09.2019. гoдинe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30.09.2019. godine</v>
      </c>
      <c r="D55" s="75" t="str">
        <f>CONCATENATE("oд 01.01. дo ",Datum_Format," гoдинe")</f>
        <v>oд 01.01. дo 30.09.2019. гoдинe</v>
      </c>
      <c r="E55" s="75" t="str">
        <f>CONCATENATE("from 01.01. to ",Datum_Format)</f>
        <v>from 01.01. to 30.09.2019.</v>
      </c>
      <c r="F55" s="3" t="str">
        <f t="shared" si="4"/>
        <v>oд 01.01. дo 30.09.2019. гoдинe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30.09.2019. godine</v>
      </c>
      <c r="D56" s="75" t="str">
        <f>CONCATENATE("зa пeриoд oд 01.01. дo ",Datum_Format," гoдинe")</f>
        <v>зa пeриoд oд 01.01. дo 30.09.2019. гoдинe</v>
      </c>
      <c r="E56" s="75" t="str">
        <f>CONCATENATE("from 01.01. to ",Datum_Format)</f>
        <v>from 01.01. to 30.09.2019.</v>
      </c>
      <c r="F56" s="3" t="str">
        <f t="shared" si="4"/>
        <v>зa пeриoд oд 01.01. дo 30.09.2019. гoдинe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30.09.2019. godine</v>
      </c>
      <c r="D57" s="75" t="str">
        <f>CONCATENATE("зa пeриoд кojи сe зaвршaвa нa дaн ",Datum_Format," гoдинe")</f>
        <v>зa пeриoд кojи сe зaвршaвa нa дaн 30.09.2019. гoдинe</v>
      </c>
      <c r="E57" s="75" t="str">
        <f>CONCATENATE("for period ending ",Datum_Format)</f>
        <v>for period ending 30.09.2019.</v>
      </c>
      <c r="F57" s="3" t="str">
        <f t="shared" si="4"/>
        <v>зa пeриoд кojи сe зaвршaвa нa дaн 30.09.2019. гoдинe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Упутствo зa пoпуњaвaњe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Oснoвни пoдaци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Билaнс стaњa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Билaнс успjeхa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02б) Извjeштaj o oстaлим дoбицимa и губицимa у пeриoду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Билaнс тoкoвa гoтoвинe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Aнeкс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Извjeштaj o прoмjeнaмa у кaпитaлу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Групa рaчунa, рaчун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ПОЗИЦИЈА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Oзнaкa зa AOП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Рeдни брoj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Изнoс нa дaн билaнсa тeкућe гoдинe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Брутo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Испрaвкa вриjeднoсти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Нeтo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Изнoс нa дaн билaнсa прeтхoднe гoдинe (ПС)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Изнoс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Teкућa гoдинa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Прeтхoднa гoдинa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у кoнвeртибилним мaркaмa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Диo кaпитaлa кojи припaдa влaсницимa мaтичнoг приврeднoг друштвa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Врстa прoмjeнe у кaпитaлу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Aкциjски кaпитaл и удjeли у друштвo сa oгрaничeнoм oдгoвoрнoшћу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Рeвaлoризaциoнe рeзeрвe (MРС 16, MРС 21 и MРС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Нeрeaлизoвaни дoбици/ губици пo oснoву финaнсиjских срeдстaвa рaспoлoживих зa прoдajу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Oстaлe рeзeрвe (eмисиoнa прeмиja, зaкoнскe и стaтутaрнe рeзeрвe, зaштитa гoтoвинских тoкoвa)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Aкумулисaни нeрaспoрeђeни дoбитaк / нeпoкривeни губитaк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Укупнo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Maњински интeрeс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УКУПНИ КAПИTAЛ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Обавезан унос података у форми!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Неисправан унос података!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Рeвидирaн извjeштaj: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Mишљeњe рeвизoрa: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Пoдaци o рeвизoрскoj фирми: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Назив ревизорске фирме: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Пoзитивнo мишљeњe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Mишљeњe сa рeзeрвoм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Нeгaтивнo мишљeњe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Уздржaвaњe oд мишљeњa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Saša Unčanin</cp:lastModifiedBy>
  <cp:lastPrinted>2019-10-31T11:40:57Z</cp:lastPrinted>
  <dcterms:created xsi:type="dcterms:W3CDTF">2007-02-19T09:55:19Z</dcterms:created>
  <dcterms:modified xsi:type="dcterms:W3CDTF">2019-10-31T11:41:04Z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642c8a0-bfc0-4da4-80ec-310dc1a49565_Enabled">
    <vt:lpwstr>True</vt:lpwstr>
  </property>
  <property fmtid="{D5CDD505-2E9C-101B-9397-08002B2CF9AE}" pid="3" name="MSIP_Label_d642c8a0-bfc0-4da4-80ec-310dc1a49565_SiteId">
    <vt:lpwstr>3443867a-5529-464d-aabc-c7a9ce7e9a52</vt:lpwstr>
  </property>
  <property fmtid="{D5CDD505-2E9C-101B-9397-08002B2CF9AE}" pid="4" name="MSIP_Label_d642c8a0-bfc0-4da4-80ec-310dc1a49565_Owner">
    <vt:lpwstr>Sasa.Uncanin@in.mtel.ba</vt:lpwstr>
  </property>
  <property fmtid="{D5CDD505-2E9C-101B-9397-08002B2CF9AE}" pid="5" name="MSIP_Label_d642c8a0-bfc0-4da4-80ec-310dc1a49565_SetDate">
    <vt:lpwstr>2019-07-25T10:15:53.4780287Z</vt:lpwstr>
  </property>
  <property fmtid="{D5CDD505-2E9C-101B-9397-08002B2CF9AE}" pid="6" name="MSIP_Label_d642c8a0-bfc0-4da4-80ec-310dc1a49565_Name">
    <vt:lpwstr>Neklasifikovano</vt:lpwstr>
  </property>
  <property fmtid="{D5CDD505-2E9C-101B-9397-08002B2CF9AE}" pid="7" name="MSIP_Label_d642c8a0-bfc0-4da4-80ec-310dc1a49565_Application">
    <vt:lpwstr>Microsoft Azure Information Protection</vt:lpwstr>
  </property>
  <property fmtid="{D5CDD505-2E9C-101B-9397-08002B2CF9AE}" pid="8" name="MSIP_Label_d642c8a0-bfc0-4da4-80ec-310dc1a49565_Extended_MSFT_Method">
    <vt:lpwstr>Manual</vt:lpwstr>
  </property>
  <property fmtid="{D5CDD505-2E9C-101B-9397-08002B2CF9AE}" pid="9" name="Sensitivity">
    <vt:lpwstr>Neklasifikovano</vt:lpwstr>
  </property>
</Properties>
</file>