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iljana\Desktop\OBRACUN 30.06.2018\"/>
    </mc:Choice>
  </mc:AlternateContent>
  <workbookProtection workbookPassword="832E" lockStructure="1"/>
  <bookViews>
    <workbookView xWindow="0" yWindow="0" windowWidth="15240" windowHeight="459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F4" i="34" s="1"/>
  <c r="A5" i="34"/>
  <c r="E5" i="34" s="1"/>
  <c r="A6" i="34"/>
  <c r="F6" i="34" s="1"/>
  <c r="A7" i="34"/>
  <c r="E7" i="34" s="1"/>
  <c r="A8" i="34"/>
  <c r="F8" i="34" s="1"/>
  <c r="A9" i="34"/>
  <c r="E9" i="34" s="1"/>
  <c r="A10" i="34"/>
  <c r="F10" i="34" s="1"/>
  <c r="A11" i="34"/>
  <c r="E11" i="34" s="1"/>
  <c r="A12" i="34"/>
  <c r="F12" i="34" s="1"/>
  <c r="A13" i="34"/>
  <c r="E13" i="34" s="1"/>
  <c r="A14" i="34"/>
  <c r="F14" i="34" s="1"/>
  <c r="A15" i="34"/>
  <c r="E15" i="34" s="1"/>
  <c r="A16" i="34"/>
  <c r="F16" i="34" s="1"/>
  <c r="A17" i="34"/>
  <c r="E17" i="34" s="1"/>
  <c r="A18" i="34"/>
  <c r="F18" i="34" s="1"/>
  <c r="A19" i="34"/>
  <c r="E19" i="34" s="1"/>
  <c r="A20" i="34"/>
  <c r="F20" i="34" s="1"/>
  <c r="A21" i="34"/>
  <c r="E21" i="34" s="1"/>
  <c r="A22" i="34"/>
  <c r="F22" i="34" s="1"/>
  <c r="A23" i="34"/>
  <c r="E23" i="34" s="1"/>
  <c r="A24" i="34"/>
  <c r="F24" i="34" s="1"/>
  <c r="A25" i="34"/>
  <c r="E25" i="34" s="1"/>
  <c r="A26" i="34"/>
  <c r="F26" i="34" s="1"/>
  <c r="A27" i="34"/>
  <c r="E27" i="34" s="1"/>
  <c r="A28" i="34"/>
  <c r="F28" i="34" s="1"/>
  <c r="A29" i="34"/>
  <c r="E29" i="34" s="1"/>
  <c r="A30" i="34"/>
  <c r="F30" i="34" s="1"/>
  <c r="A31" i="34"/>
  <c r="E31" i="34" s="1"/>
  <c r="A32" i="34"/>
  <c r="F32" i="34" s="1"/>
  <c r="A33" i="34"/>
  <c r="E33" i="34" s="1"/>
  <c r="A34" i="34"/>
  <c r="F34" i="34" s="1"/>
  <c r="A35" i="34"/>
  <c r="E35" i="34" s="1"/>
  <c r="A36" i="34"/>
  <c r="F36" i="34" s="1"/>
  <c r="A37" i="34"/>
  <c r="E37" i="34" s="1"/>
  <c r="A38" i="34"/>
  <c r="F38" i="34" s="1"/>
  <c r="A39" i="34"/>
  <c r="E39" i="34" s="1"/>
  <c r="A40" i="34"/>
  <c r="F40" i="34" s="1"/>
  <c r="A41" i="34"/>
  <c r="E41" i="34" s="1"/>
  <c r="A42" i="34"/>
  <c r="F42" i="34" s="1"/>
  <c r="A43" i="34"/>
  <c r="E43" i="34" s="1"/>
  <c r="A44" i="34"/>
  <c r="F44" i="34" s="1"/>
  <c r="A45" i="34"/>
  <c r="E45" i="34" s="1"/>
  <c r="A46" i="34"/>
  <c r="F46" i="34" s="1"/>
  <c r="A47" i="34"/>
  <c r="E47" i="34" s="1"/>
  <c r="A48" i="34"/>
  <c r="F48" i="34" s="1"/>
  <c r="A49" i="34"/>
  <c r="E49" i="34" s="1"/>
  <c r="A50" i="34"/>
  <c r="F50" i="34" s="1"/>
  <c r="A51" i="34"/>
  <c r="E51" i="34" s="1"/>
  <c r="A52" i="34"/>
  <c r="F52" i="34" s="1"/>
  <c r="A53" i="34"/>
  <c r="E53" i="34" s="1"/>
  <c r="A54" i="34"/>
  <c r="F54" i="34" s="1"/>
  <c r="A55" i="34"/>
  <c r="E55" i="34" s="1"/>
  <c r="A56" i="34"/>
  <c r="F56" i="34" s="1"/>
  <c r="A57" i="34"/>
  <c r="E57" i="34" s="1"/>
  <c r="A58" i="34"/>
  <c r="F58" i="34" s="1"/>
  <c r="A59" i="34"/>
  <c r="E59" i="34" s="1"/>
  <c r="A60" i="34"/>
  <c r="F60" i="34" s="1"/>
  <c r="A61" i="34"/>
  <c r="E61" i="34" s="1"/>
  <c r="A62" i="34"/>
  <c r="F62" i="34" s="1"/>
  <c r="A63" i="34"/>
  <c r="E63" i="34" s="1"/>
  <c r="A64" i="34"/>
  <c r="F64" i="34" s="1"/>
  <c r="A65" i="34"/>
  <c r="E65" i="34" s="1"/>
  <c r="A66" i="34"/>
  <c r="F66" i="34" s="1"/>
  <c r="A67" i="34"/>
  <c r="E67" i="34" s="1"/>
  <c r="A68" i="34"/>
  <c r="F68" i="34" s="1"/>
  <c r="A69" i="34"/>
  <c r="E69" i="34" s="1"/>
  <c r="A70" i="34"/>
  <c r="F70" i="34" s="1"/>
  <c r="A71" i="34"/>
  <c r="E71" i="34" s="1"/>
  <c r="A72" i="34"/>
  <c r="F72" i="34" s="1"/>
  <c r="A73" i="34"/>
  <c r="E73" i="34" s="1"/>
  <c r="A74" i="34"/>
  <c r="F74" i="34" s="1"/>
  <c r="A75" i="34"/>
  <c r="E75" i="34" s="1"/>
  <c r="A76" i="34"/>
  <c r="F76" i="34" s="1"/>
  <c r="A77" i="34"/>
  <c r="E77" i="34" s="1"/>
  <c r="A78" i="34"/>
  <c r="F78" i="34" s="1"/>
  <c r="A79" i="34"/>
  <c r="E79" i="34" s="1"/>
  <c r="A80" i="34"/>
  <c r="F80" i="34" s="1"/>
  <c r="A81" i="34"/>
  <c r="E81" i="34" s="1"/>
  <c r="A82" i="34"/>
  <c r="F82" i="34" s="1"/>
  <c r="A83" i="34"/>
  <c r="E83" i="34" s="1"/>
  <c r="A84" i="34"/>
  <c r="F84" i="34" s="1"/>
  <c r="A85" i="34"/>
  <c r="E85" i="34" s="1"/>
  <c r="A86" i="34"/>
  <c r="F86" i="34" s="1"/>
  <c r="A87" i="34"/>
  <c r="E87" i="34" s="1"/>
  <c r="A88" i="34"/>
  <c r="F88" i="34" s="1"/>
  <c r="A89" i="34"/>
  <c r="E89" i="34" s="1"/>
  <c r="A90" i="34"/>
  <c r="F90" i="34" s="1"/>
  <c r="A91" i="34"/>
  <c r="E91" i="34" s="1"/>
  <c r="A92" i="34"/>
  <c r="F92" i="34" s="1"/>
  <c r="A93" i="34"/>
  <c r="E93" i="34" s="1"/>
  <c r="A94" i="34"/>
  <c r="F94" i="34" s="1"/>
  <c r="A95" i="34"/>
  <c r="E95" i="34" s="1"/>
  <c r="A96" i="34"/>
  <c r="F96" i="34" s="1"/>
  <c r="A97" i="34"/>
  <c r="E97" i="34" s="1"/>
  <c r="A98" i="34"/>
  <c r="F98" i="34" s="1"/>
  <c r="A99" i="34"/>
  <c r="E99" i="34" s="1"/>
  <c r="A100" i="34"/>
  <c r="F100" i="34" s="1"/>
  <c r="A101" i="34"/>
  <c r="E101" i="34" s="1"/>
  <c r="A102" i="34"/>
  <c r="F102" i="34" s="1"/>
  <c r="A103" i="34"/>
  <c r="E103" i="34" s="1"/>
  <c r="A104" i="34"/>
  <c r="F104" i="34" s="1"/>
  <c r="A105" i="34"/>
  <c r="E105" i="34" s="1"/>
  <c r="A106" i="34"/>
  <c r="F106" i="34" s="1"/>
  <c r="A107" i="34"/>
  <c r="E107" i="34" s="1"/>
  <c r="A108" i="34"/>
  <c r="F108" i="34" s="1"/>
  <c r="A109" i="34"/>
  <c r="E109" i="34" s="1"/>
  <c r="A110" i="34"/>
  <c r="F110" i="34" s="1"/>
  <c r="A111" i="34"/>
  <c r="E111" i="34" s="1"/>
  <c r="A112" i="34"/>
  <c r="F112" i="34" s="1"/>
  <c r="A113" i="34"/>
  <c r="E113" i="34" s="1"/>
  <c r="A114" i="34"/>
  <c r="F114" i="34" s="1"/>
  <c r="A115" i="34"/>
  <c r="E115" i="34" s="1"/>
  <c r="A116" i="34"/>
  <c r="F116" i="34" s="1"/>
  <c r="A117" i="34"/>
  <c r="E117" i="34" s="1"/>
  <c r="A118" i="34"/>
  <c r="F118" i="34" s="1"/>
  <c r="A119" i="34"/>
  <c r="E119" i="34" s="1"/>
  <c r="A120" i="34"/>
  <c r="F120" i="34" s="1"/>
  <c r="A121" i="34"/>
  <c r="E121" i="34" s="1"/>
  <c r="A122" i="34"/>
  <c r="F122" i="34" s="1"/>
  <c r="A123" i="34"/>
  <c r="E123" i="34" s="1"/>
  <c r="A124" i="34"/>
  <c r="F124" i="34" s="1"/>
  <c r="A125" i="34"/>
  <c r="E125" i="34" s="1"/>
  <c r="A126" i="34"/>
  <c r="F126" i="34" s="1"/>
  <c r="A127" i="34"/>
  <c r="E127" i="34" s="1"/>
  <c r="A128" i="34"/>
  <c r="F128" i="34" s="1"/>
  <c r="A129" i="34"/>
  <c r="E129" i="34" s="1"/>
  <c r="A130" i="34"/>
  <c r="F130" i="34" s="1"/>
  <c r="A131" i="34"/>
  <c r="E131" i="34" s="1"/>
  <c r="A132" i="34"/>
  <c r="F132" i="34" s="1"/>
  <c r="A133" i="34"/>
  <c r="E133" i="34" s="1"/>
  <c r="A134" i="34"/>
  <c r="F134" i="34" s="1"/>
  <c r="A135" i="34"/>
  <c r="E135" i="34" s="1"/>
  <c r="A136" i="34"/>
  <c r="F136" i="34" s="1"/>
  <c r="A137" i="34"/>
  <c r="E137" i="34" s="1"/>
  <c r="A138" i="34"/>
  <c r="F138" i="34" s="1"/>
  <c r="A139" i="34"/>
  <c r="E139" i="34" s="1"/>
  <c r="A140" i="34"/>
  <c r="F140" i="34" s="1"/>
  <c r="A141" i="34"/>
  <c r="E141" i="34" s="1"/>
  <c r="A142" i="34"/>
  <c r="F142" i="34" s="1"/>
  <c r="A143" i="34"/>
  <c r="E143" i="34" s="1"/>
  <c r="A144" i="34"/>
  <c r="F144" i="34" s="1"/>
  <c r="A145" i="34"/>
  <c r="E145" i="34" s="1"/>
  <c r="A146" i="34"/>
  <c r="F146" i="34" s="1"/>
  <c r="A147" i="34"/>
  <c r="E147" i="34" s="1"/>
  <c r="A148" i="34"/>
  <c r="F148" i="34" s="1"/>
  <c r="A149" i="34"/>
  <c r="E149" i="34" s="1"/>
  <c r="A150" i="34"/>
  <c r="F150" i="34" s="1"/>
  <c r="A151" i="34"/>
  <c r="E151" i="34" s="1"/>
  <c r="A152" i="34"/>
  <c r="F152" i="34" s="1"/>
  <c r="A153" i="34"/>
  <c r="E153" i="34" s="1"/>
  <c r="A154" i="34"/>
  <c r="F154" i="34" s="1"/>
  <c r="A155" i="34"/>
  <c r="E155" i="34" s="1"/>
  <c r="A156" i="34"/>
  <c r="F156" i="34" s="1"/>
  <c r="A157" i="34"/>
  <c r="E157" i="34" s="1"/>
  <c r="A158" i="34"/>
  <c r="F158" i="34" s="1"/>
  <c r="A159" i="34"/>
  <c r="E159" i="34" s="1"/>
  <c r="A160" i="34"/>
  <c r="F160" i="34" s="1"/>
  <c r="A161" i="34"/>
  <c r="E161" i="34" s="1"/>
  <c r="A162" i="34"/>
  <c r="F162" i="34" s="1"/>
  <c r="A163" i="34"/>
  <c r="E163" i="34" s="1"/>
  <c r="A164" i="34"/>
  <c r="F164" i="34" s="1"/>
  <c r="A165" i="34"/>
  <c r="E165" i="34" s="1"/>
  <c r="A166" i="34"/>
  <c r="F166" i="34" s="1"/>
  <c r="A167" i="34"/>
  <c r="E167" i="34" s="1"/>
  <c r="A168" i="34"/>
  <c r="F168" i="34" s="1"/>
  <c r="A169" i="34"/>
  <c r="E169" i="34" s="1"/>
  <c r="A170" i="34"/>
  <c r="F170" i="34" s="1"/>
  <c r="A171" i="34"/>
  <c r="E171" i="34" s="1"/>
  <c r="A172" i="34"/>
  <c r="F172" i="34" s="1"/>
  <c r="A173" i="34"/>
  <c r="E173" i="34" s="1"/>
  <c r="A174" i="34"/>
  <c r="F174" i="34" s="1"/>
  <c r="A175" i="34"/>
  <c r="E175" i="34" s="1"/>
  <c r="A176" i="34"/>
  <c r="F176" i="34" s="1"/>
  <c r="A177" i="34"/>
  <c r="E177" i="34" s="1"/>
  <c r="A178" i="34"/>
  <c r="F178" i="34" s="1"/>
  <c r="A179" i="34"/>
  <c r="E179" i="34" s="1"/>
  <c r="A180" i="34"/>
  <c r="F180" i="34" s="1"/>
  <c r="A181" i="34"/>
  <c r="E181" i="34" s="1"/>
  <c r="A182" i="34"/>
  <c r="F182" i="34" s="1"/>
  <c r="A183" i="34"/>
  <c r="E183" i="34" s="1"/>
  <c r="A184" i="34"/>
  <c r="F184" i="34" s="1"/>
  <c r="A185" i="34"/>
  <c r="E185" i="34" s="1"/>
  <c r="A186" i="34"/>
  <c r="F186" i="34" s="1"/>
  <c r="A187" i="34"/>
  <c r="E187" i="34" s="1"/>
  <c r="A188" i="34"/>
  <c r="F188" i="34" s="1"/>
  <c r="A189" i="34"/>
  <c r="E189" i="34" s="1"/>
  <c r="A190" i="34"/>
  <c r="F190" i="34" s="1"/>
  <c r="A191" i="34"/>
  <c r="E191" i="34" s="1"/>
  <c r="A192" i="34"/>
  <c r="F192" i="34" s="1"/>
  <c r="A193" i="34"/>
  <c r="E193" i="34" s="1"/>
  <c r="A194" i="34"/>
  <c r="F194" i="34" s="1"/>
  <c r="A195" i="34"/>
  <c r="E195" i="34" s="1"/>
  <c r="A196" i="34"/>
  <c r="F196" i="34" s="1"/>
  <c r="A197" i="34"/>
  <c r="E197" i="34" s="1"/>
  <c r="A198" i="34"/>
  <c r="F198" i="34" s="1"/>
  <c r="A199" i="34"/>
  <c r="E199" i="34" s="1"/>
  <c r="A200" i="34"/>
  <c r="F200" i="34" s="1"/>
  <c r="A201" i="34"/>
  <c r="E201" i="34" s="1"/>
  <c r="A202" i="34"/>
  <c r="F202" i="34" s="1"/>
  <c r="A203" i="34"/>
  <c r="E203" i="34" s="1"/>
  <c r="A204" i="34"/>
  <c r="F204" i="34" s="1"/>
  <c r="A205" i="34"/>
  <c r="E205" i="34" s="1"/>
  <c r="A206" i="34"/>
  <c r="F206" i="34" s="1"/>
  <c r="A207" i="34"/>
  <c r="E207" i="34" s="1"/>
  <c r="A208" i="34"/>
  <c r="F208" i="34" s="1"/>
  <c r="A209" i="34"/>
  <c r="E209" i="34" s="1"/>
  <c r="A210" i="34"/>
  <c r="F210" i="34" s="1"/>
  <c r="A211" i="34"/>
  <c r="E211" i="34" s="1"/>
  <c r="A212" i="34"/>
  <c r="F212" i="34" s="1"/>
  <c r="A213" i="34"/>
  <c r="E213" i="34" s="1"/>
  <c r="A214" i="34"/>
  <c r="F214" i="34" s="1"/>
  <c r="A215" i="34"/>
  <c r="E215" i="34" s="1"/>
  <c r="A216" i="34"/>
  <c r="F216" i="34" s="1"/>
  <c r="A217" i="34"/>
  <c r="E217" i="34" s="1"/>
  <c r="A218" i="34"/>
  <c r="F218" i="34" s="1"/>
  <c r="A219" i="34"/>
  <c r="E219" i="34" s="1"/>
  <c r="A220" i="34"/>
  <c r="F220" i="34" s="1"/>
  <c r="A221" i="34"/>
  <c r="E221" i="34" s="1"/>
  <c r="A222" i="34"/>
  <c r="F222" i="34" s="1"/>
  <c r="A223" i="34"/>
  <c r="E223" i="34" s="1"/>
  <c r="A224" i="34"/>
  <c r="F224" i="34" s="1"/>
  <c r="A225" i="34"/>
  <c r="E225" i="34" s="1"/>
  <c r="A226" i="34"/>
  <c r="F226" i="34" s="1"/>
  <c r="A227" i="34"/>
  <c r="E227" i="34" s="1"/>
  <c r="A228" i="34"/>
  <c r="F228" i="34" s="1"/>
  <c r="A229" i="34"/>
  <c r="E229" i="34" s="1"/>
  <c r="A230" i="34"/>
  <c r="F230" i="34" s="1"/>
  <c r="A231" i="34"/>
  <c r="E231" i="34" s="1"/>
  <c r="A232" i="34"/>
  <c r="F232" i="34" s="1"/>
  <c r="A233" i="34"/>
  <c r="E233" i="34" s="1"/>
  <c r="A234" i="34"/>
  <c r="F234" i="34" s="1"/>
  <c r="A235" i="34"/>
  <c r="E235" i="34" s="1"/>
  <c r="A236" i="34"/>
  <c r="F236" i="34" s="1"/>
  <c r="A237" i="34"/>
  <c r="E237" i="34" s="1"/>
  <c r="A238" i="34"/>
  <c r="F238" i="34" s="1"/>
  <c r="A239" i="34"/>
  <c r="E239" i="34" s="1"/>
  <c r="A240" i="34"/>
  <c r="F240" i="34" s="1"/>
  <c r="A241" i="34"/>
  <c r="E241" i="34" s="1"/>
  <c r="A242" i="34"/>
  <c r="F242" i="34" s="1"/>
  <c r="A243" i="34"/>
  <c r="E243" i="34" s="1"/>
  <c r="A244" i="34"/>
  <c r="F244" i="34" s="1"/>
  <c r="A245" i="34"/>
  <c r="E245" i="34" s="1"/>
  <c r="A246" i="34"/>
  <c r="F246" i="34" s="1"/>
  <c r="A247" i="34"/>
  <c r="E247" i="34" s="1"/>
  <c r="A248" i="34"/>
  <c r="F248" i="34" s="1"/>
  <c r="A249" i="34"/>
  <c r="E249" i="34" s="1"/>
  <c r="A250" i="34"/>
  <c r="F250" i="34" s="1"/>
  <c r="A251" i="34"/>
  <c r="E251" i="34" s="1"/>
  <c r="A252" i="34"/>
  <c r="F252" i="34" s="1"/>
  <c r="A253" i="34"/>
  <c r="E253" i="34" s="1"/>
  <c r="A254" i="34"/>
  <c r="F254" i="34" s="1"/>
  <c r="A255" i="34"/>
  <c r="E255" i="34" s="1"/>
  <c r="A256" i="34"/>
  <c r="F256" i="34" s="1"/>
  <c r="A257" i="34"/>
  <c r="E257" i="34" s="1"/>
  <c r="A258" i="34"/>
  <c r="F258" i="34" s="1"/>
  <c r="A259" i="34"/>
  <c r="E259" i="34" s="1"/>
  <c r="A260" i="34"/>
  <c r="F260" i="34" s="1"/>
  <c r="A261" i="34"/>
  <c r="E261" i="34" s="1"/>
  <c r="A262" i="34"/>
  <c r="F262" i="34" s="1"/>
  <c r="A263" i="34"/>
  <c r="E263" i="34" s="1"/>
  <c r="A264" i="34"/>
  <c r="F264" i="34" s="1"/>
  <c r="A265" i="34"/>
  <c r="E265" i="34" s="1"/>
  <c r="A266" i="34"/>
  <c r="F266" i="34" s="1"/>
  <c r="A267" i="34"/>
  <c r="E267" i="34" s="1"/>
  <c r="A268" i="34"/>
  <c r="F268" i="34" s="1"/>
  <c r="A269" i="34"/>
  <c r="E269" i="34" s="1"/>
  <c r="A270" i="34"/>
  <c r="F270" i="34" s="1"/>
  <c r="A271" i="34"/>
  <c r="E271" i="34" s="1"/>
  <c r="A272" i="34"/>
  <c r="F272" i="34" s="1"/>
  <c r="A273" i="34"/>
  <c r="E273" i="34" s="1"/>
  <c r="A274" i="34"/>
  <c r="F274" i="34" s="1"/>
  <c r="A275" i="34"/>
  <c r="E275" i="34" s="1"/>
  <c r="A276" i="34"/>
  <c r="F276" i="34" s="1"/>
  <c r="A277" i="34"/>
  <c r="E277" i="34" s="1"/>
  <c r="A278" i="34"/>
  <c r="F278" i="34" s="1"/>
  <c r="A279" i="34"/>
  <c r="E279" i="34" s="1"/>
  <c r="A280" i="34"/>
  <c r="F280" i="34" s="1"/>
  <c r="A281" i="34"/>
  <c r="E281" i="34" s="1"/>
  <c r="A282" i="34"/>
  <c r="F282" i="34" s="1"/>
  <c r="A283" i="34"/>
  <c r="E283" i="34" s="1"/>
  <c r="A284" i="34"/>
  <c r="F284" i="34" s="1"/>
  <c r="A285" i="34"/>
  <c r="E285" i="34" s="1"/>
  <c r="A286" i="34"/>
  <c r="F286" i="34" s="1"/>
  <c r="A287" i="34"/>
  <c r="E287" i="34" s="1"/>
  <c r="A288" i="34"/>
  <c r="F288" i="34" s="1"/>
  <c r="A289" i="34"/>
  <c r="E289" i="34" s="1"/>
  <c r="A290" i="34"/>
  <c r="F290" i="34" s="1"/>
  <c r="A291" i="34"/>
  <c r="E291" i="34" s="1"/>
  <c r="A292" i="34"/>
  <c r="F292" i="34" s="1"/>
  <c r="A293" i="34"/>
  <c r="E293" i="34" s="1"/>
  <c r="A294" i="34"/>
  <c r="F294" i="34" s="1"/>
  <c r="A295" i="34"/>
  <c r="E295" i="34" s="1"/>
  <c r="A296" i="34"/>
  <c r="F296" i="34" s="1"/>
  <c r="A297" i="34"/>
  <c r="E297" i="34" s="1"/>
  <c r="A298" i="34"/>
  <c r="F298" i="34" s="1"/>
  <c r="A299" i="34"/>
  <c r="E299" i="34" s="1"/>
  <c r="A300" i="34"/>
  <c r="F300" i="34" s="1"/>
  <c r="A301" i="34"/>
  <c r="E301" i="34" s="1"/>
  <c r="A302" i="34"/>
  <c r="F302" i="34" s="1"/>
  <c r="A303" i="34"/>
  <c r="E303" i="34" s="1"/>
  <c r="A304" i="34"/>
  <c r="F304" i="34" s="1"/>
  <c r="A305" i="34"/>
  <c r="E305" i="34" s="1"/>
  <c r="A306" i="34"/>
  <c r="F306" i="34" s="1"/>
  <c r="A307" i="34"/>
  <c r="E307" i="34" s="1"/>
  <c r="A308" i="34"/>
  <c r="F308" i="34" s="1"/>
  <c r="A309" i="34"/>
  <c r="E309" i="34" s="1"/>
  <c r="A310" i="34"/>
  <c r="F310" i="34" s="1"/>
  <c r="A311" i="34"/>
  <c r="E311" i="34" s="1"/>
  <c r="A312" i="34"/>
  <c r="F312" i="34" s="1"/>
  <c r="A313" i="34"/>
  <c r="E313" i="34" s="1"/>
  <c r="A314" i="34"/>
  <c r="F314" i="34" s="1"/>
  <c r="A315" i="34"/>
  <c r="E315" i="34" s="1"/>
  <c r="A316" i="34"/>
  <c r="F316" i="34" s="1"/>
  <c r="A317" i="34"/>
  <c r="E317" i="34" s="1"/>
  <c r="A318" i="34"/>
  <c r="F318" i="34" s="1"/>
  <c r="A319" i="34"/>
  <c r="E319" i="34" s="1"/>
  <c r="A320" i="34"/>
  <c r="F320" i="34" s="1"/>
  <c r="A321" i="34"/>
  <c r="E321" i="34" s="1"/>
  <c r="A322" i="34"/>
  <c r="F322" i="34" s="1"/>
  <c r="A323" i="34"/>
  <c r="E323" i="34" s="1"/>
  <c r="A324" i="34"/>
  <c r="F324" i="34" s="1"/>
  <c r="A325" i="34"/>
  <c r="E325" i="34" s="1"/>
  <c r="A326" i="34"/>
  <c r="F326" i="34" s="1"/>
  <c r="A327" i="34"/>
  <c r="E327" i="34" s="1"/>
  <c r="A328" i="34"/>
  <c r="F328" i="34" s="1"/>
  <c r="A329" i="34"/>
  <c r="E329" i="34" s="1"/>
  <c r="A330" i="34"/>
  <c r="F330" i="34" s="1"/>
  <c r="A331" i="34"/>
  <c r="E331" i="34" s="1"/>
  <c r="A332" i="34"/>
  <c r="F332" i="34" s="1"/>
  <c r="A333" i="34"/>
  <c r="E333" i="34" s="1"/>
  <c r="A334" i="34"/>
  <c r="F334" i="34" s="1"/>
  <c r="A335" i="34"/>
  <c r="E335" i="34" s="1"/>
  <c r="A336" i="34"/>
  <c r="F336" i="34" s="1"/>
  <c r="A337" i="34"/>
  <c r="E337" i="34" s="1"/>
  <c r="A338" i="34"/>
  <c r="F338" i="34" s="1"/>
  <c r="A339" i="34"/>
  <c r="E339" i="34" s="1"/>
  <c r="A340" i="34"/>
  <c r="F340" i="34" s="1"/>
  <c r="A341" i="34"/>
  <c r="E341" i="34" s="1"/>
  <c r="A342" i="34"/>
  <c r="F342" i="34" s="1"/>
  <c r="A343" i="34"/>
  <c r="E343" i="34" s="1"/>
  <c r="A344" i="34"/>
  <c r="F344" i="34" s="1"/>
  <c r="A345" i="34"/>
  <c r="E345" i="34" s="1"/>
  <c r="A346" i="34"/>
  <c r="F346" i="34" s="1"/>
  <c r="A347" i="34"/>
  <c r="E347" i="34" s="1"/>
  <c r="A348" i="34"/>
  <c r="F348" i="34" s="1"/>
  <c r="A349" i="34"/>
  <c r="E349" i="34" s="1"/>
  <c r="A350" i="34"/>
  <c r="F350" i="34" s="1"/>
  <c r="A351" i="34"/>
  <c r="E351" i="34" s="1"/>
  <c r="A352" i="34"/>
  <c r="F352" i="34" s="1"/>
  <c r="A353" i="34"/>
  <c r="E353" i="34" s="1"/>
  <c r="A354" i="34"/>
  <c r="F354" i="34" s="1"/>
  <c r="A355" i="34"/>
  <c r="E355" i="34" s="1"/>
  <c r="A356" i="34"/>
  <c r="F356" i="34" s="1"/>
  <c r="A357" i="34"/>
  <c r="E357" i="34" s="1"/>
  <c r="A358" i="34"/>
  <c r="F358" i="34" s="1"/>
  <c r="A359" i="34"/>
  <c r="E359" i="34" s="1"/>
  <c r="A360" i="34"/>
  <c r="F360" i="34" s="1"/>
  <c r="A361" i="34"/>
  <c r="E361" i="34" s="1"/>
  <c r="A362" i="34"/>
  <c r="F362" i="34" s="1"/>
  <c r="A363" i="34"/>
  <c r="E363" i="34" s="1"/>
  <c r="A364" i="34"/>
  <c r="F364" i="34" s="1"/>
  <c r="A365" i="34"/>
  <c r="E365" i="34" s="1"/>
  <c r="A366" i="34"/>
  <c r="F366" i="34" s="1"/>
  <c r="A367" i="34"/>
  <c r="E367" i="34" s="1"/>
  <c r="A368" i="34"/>
  <c r="F368" i="34" s="1"/>
  <c r="A369" i="34"/>
  <c r="E369" i="34" s="1"/>
  <c r="A370" i="34"/>
  <c r="F370" i="34" s="1"/>
  <c r="A371" i="34"/>
  <c r="E371" i="34" s="1"/>
  <c r="A372" i="34"/>
  <c r="F372" i="34" s="1"/>
  <c r="A373" i="34"/>
  <c r="E373" i="34" s="1"/>
  <c r="A374" i="34"/>
  <c r="F374" i="34" s="1"/>
  <c r="A375" i="34"/>
  <c r="E375" i="34" s="1"/>
  <c r="A376" i="34"/>
  <c r="F376" i="34" s="1"/>
  <c r="A377" i="34"/>
  <c r="E377" i="34" s="1"/>
  <c r="A378" i="34"/>
  <c r="F378" i="34" s="1"/>
  <c r="A379" i="34"/>
  <c r="E379" i="34" s="1"/>
  <c r="A380" i="34"/>
  <c r="F380" i="34" s="1"/>
  <c r="A381" i="34"/>
  <c r="E381" i="34" s="1"/>
  <c r="A382" i="34"/>
  <c r="F382" i="34" s="1"/>
  <c r="A383" i="34"/>
  <c r="E383" i="34" s="1"/>
  <c r="A384" i="34"/>
  <c r="F384" i="34" s="1"/>
  <c r="A385" i="34"/>
  <c r="E385" i="34" s="1"/>
  <c r="A386" i="34"/>
  <c r="F386" i="34" s="1"/>
  <c r="A387" i="34"/>
  <c r="E387" i="34" s="1"/>
  <c r="A388" i="34"/>
  <c r="F388" i="34" s="1"/>
  <c r="A389" i="34"/>
  <c r="E389" i="34" s="1"/>
  <c r="A390" i="34"/>
  <c r="F390" i="34" s="1"/>
  <c r="A391" i="34"/>
  <c r="E391" i="34" s="1"/>
  <c r="A392" i="34"/>
  <c r="F392" i="34" s="1"/>
  <c r="A393" i="34"/>
  <c r="E393" i="34" s="1"/>
  <c r="A394" i="34"/>
  <c r="E394" i="34" s="1"/>
  <c r="A395" i="34"/>
  <c r="E395" i="34" s="1"/>
  <c r="A396" i="34"/>
  <c r="E396" i="34" s="1"/>
  <c r="A397" i="34"/>
  <c r="E397" i="34" s="1"/>
  <c r="A398" i="34"/>
  <c r="F398" i="34" s="1"/>
  <c r="A399" i="34"/>
  <c r="E399" i="34" s="1"/>
  <c r="A400" i="34"/>
  <c r="F400" i="34" s="1"/>
  <c r="A401" i="34"/>
  <c r="E401" i="34" s="1"/>
  <c r="A402" i="34"/>
  <c r="F402" i="34" s="1"/>
  <c r="A403" i="34"/>
  <c r="E403" i="34" s="1"/>
  <c r="A404" i="34"/>
  <c r="E404" i="34" s="1"/>
  <c r="A405" i="34"/>
  <c r="E405" i="34" s="1"/>
  <c r="A406" i="34"/>
  <c r="E406" i="34" s="1"/>
  <c r="A407" i="34"/>
  <c r="E407" i="34" s="1"/>
  <c r="A408" i="34"/>
  <c r="F408" i="34" s="1"/>
  <c r="A409" i="34"/>
  <c r="E409" i="34" s="1"/>
  <c r="A410" i="34"/>
  <c r="F410" i="34" s="1"/>
  <c r="A411" i="34"/>
  <c r="E411" i="34" s="1"/>
  <c r="A412" i="34"/>
  <c r="F412" i="34" s="1"/>
  <c r="A413" i="34"/>
  <c r="E413" i="34" s="1"/>
  <c r="A414" i="34"/>
  <c r="F414" i="34" s="1"/>
  <c r="A415" i="34"/>
  <c r="E415" i="34" s="1"/>
  <c r="F5" i="34" l="1"/>
  <c r="F7" i="34"/>
  <c r="F9" i="34"/>
  <c r="F11" i="34"/>
  <c r="F13" i="34"/>
  <c r="F15" i="34"/>
  <c r="F17" i="34"/>
  <c r="F19" i="34"/>
  <c r="F21" i="34"/>
  <c r="F23" i="34"/>
  <c r="F25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F127" i="34"/>
  <c r="F129" i="34"/>
  <c r="F131" i="34"/>
  <c r="F133" i="34"/>
  <c r="F135" i="34"/>
  <c r="F137" i="34"/>
  <c r="F139" i="34"/>
  <c r="F141" i="34"/>
  <c r="F143" i="34"/>
  <c r="F145" i="34"/>
  <c r="F147" i="34"/>
  <c r="F149" i="34"/>
  <c r="F151" i="34"/>
  <c r="F153" i="34"/>
  <c r="F155" i="34"/>
  <c r="F157" i="34"/>
  <c r="F159" i="34"/>
  <c r="F161" i="34"/>
  <c r="F163" i="34"/>
  <c r="F165" i="34"/>
  <c r="F167" i="34"/>
  <c r="F169" i="34"/>
  <c r="F171" i="34"/>
  <c r="F173" i="34"/>
  <c r="F175" i="34"/>
  <c r="F177" i="34"/>
  <c r="F179" i="34"/>
  <c r="F181" i="34"/>
  <c r="F183" i="34"/>
  <c r="F185" i="34"/>
  <c r="F187" i="34"/>
  <c r="F189" i="34"/>
  <c r="F191" i="34"/>
  <c r="F193" i="34"/>
  <c r="F195" i="34"/>
  <c r="F197" i="34"/>
  <c r="F199" i="34"/>
  <c r="F201" i="34"/>
  <c r="F203" i="34"/>
  <c r="F205" i="34"/>
  <c r="F207" i="34"/>
  <c r="F209" i="34"/>
  <c r="F211" i="34"/>
  <c r="F213" i="34"/>
  <c r="F215" i="34"/>
  <c r="F217" i="34"/>
  <c r="F219" i="34"/>
  <c r="F221" i="34"/>
  <c r="F223" i="34"/>
  <c r="F225" i="34"/>
  <c r="F227" i="34"/>
  <c r="F229" i="34"/>
  <c r="F231" i="34"/>
  <c r="F233" i="34"/>
  <c r="F235" i="34"/>
  <c r="F237" i="34"/>
  <c r="F239" i="34"/>
  <c r="F241" i="34"/>
  <c r="F243" i="34"/>
  <c r="F245" i="34"/>
  <c r="F247" i="34"/>
  <c r="F249" i="34"/>
  <c r="F251" i="34"/>
  <c r="F253" i="34"/>
  <c r="F255" i="34"/>
  <c r="F257" i="34"/>
  <c r="F259" i="34"/>
  <c r="F261" i="34"/>
  <c r="F263" i="34"/>
  <c r="F265" i="34"/>
  <c r="F267" i="34"/>
  <c r="F269" i="34"/>
  <c r="F271" i="34"/>
  <c r="F273" i="34"/>
  <c r="F275" i="34"/>
  <c r="F277" i="34"/>
  <c r="F279" i="34"/>
  <c r="F281" i="34"/>
  <c r="F283" i="34"/>
  <c r="F285" i="34"/>
  <c r="F287" i="34"/>
  <c r="F289" i="34"/>
  <c r="F291" i="34"/>
  <c r="F293" i="34"/>
  <c r="F295" i="34"/>
  <c r="F297" i="34"/>
  <c r="F299" i="34"/>
  <c r="F301" i="34"/>
  <c r="F303" i="34"/>
  <c r="F305" i="34"/>
  <c r="F307" i="34"/>
  <c r="F309" i="34"/>
  <c r="F311" i="34"/>
  <c r="F313" i="34"/>
  <c r="F315" i="34"/>
  <c r="F317" i="34"/>
  <c r="F319" i="34"/>
  <c r="F321" i="34"/>
  <c r="F323" i="34"/>
  <c r="F325" i="34"/>
  <c r="F327" i="34"/>
  <c r="F329" i="34"/>
  <c r="F331" i="34"/>
  <c r="F333" i="34"/>
  <c r="F335" i="34"/>
  <c r="F337" i="34"/>
  <c r="F339" i="34"/>
  <c r="F341" i="34"/>
  <c r="F343" i="34"/>
  <c r="F345" i="34"/>
  <c r="F347" i="34"/>
  <c r="F349" i="34"/>
  <c r="F351" i="34"/>
  <c r="F353" i="34"/>
  <c r="F355" i="34"/>
  <c r="F357" i="34"/>
  <c r="F359" i="34"/>
  <c r="F361" i="34"/>
  <c r="F363" i="34"/>
  <c r="F365" i="34"/>
  <c r="F367" i="34"/>
  <c r="F369" i="34"/>
  <c r="F371" i="34"/>
  <c r="F373" i="34"/>
  <c r="F375" i="34"/>
  <c r="F377" i="34"/>
  <c r="F379" i="34"/>
  <c r="F381" i="34"/>
  <c r="F383" i="34"/>
  <c r="F385" i="34"/>
  <c r="F387" i="34"/>
  <c r="F389" i="34"/>
  <c r="F391" i="34"/>
  <c r="F394" i="34"/>
  <c r="F397" i="34"/>
  <c r="F399" i="34"/>
  <c r="F401" i="34"/>
  <c r="F403" i="34"/>
  <c r="F406" i="34"/>
  <c r="F409" i="34"/>
  <c r="F411" i="34"/>
  <c r="F413" i="34"/>
  <c r="E4" i="34"/>
  <c r="E6" i="34"/>
  <c r="E8" i="34"/>
  <c r="E10" i="34"/>
  <c r="E12" i="34"/>
  <c r="E14" i="34"/>
  <c r="E16" i="34"/>
  <c r="E18" i="34"/>
  <c r="E20" i="34"/>
  <c r="E22" i="34"/>
  <c r="E24" i="34"/>
  <c r="E26" i="34"/>
  <c r="E28" i="34"/>
  <c r="E30" i="34"/>
  <c r="E32" i="34"/>
  <c r="E34" i="34"/>
  <c r="E36" i="34"/>
  <c r="E38" i="34"/>
  <c r="E40" i="34"/>
  <c r="E42" i="34"/>
  <c r="E44" i="34"/>
  <c r="E46" i="34"/>
  <c r="E48" i="34"/>
  <c r="E50" i="34"/>
  <c r="E52" i="34"/>
  <c r="E54" i="34"/>
  <c r="E56" i="34"/>
  <c r="E58" i="34"/>
  <c r="E60" i="34"/>
  <c r="E62" i="34"/>
  <c r="E64" i="34"/>
  <c r="E66" i="34"/>
  <c r="E68" i="34"/>
  <c r="E70" i="34"/>
  <c r="E72" i="34"/>
  <c r="E74" i="34"/>
  <c r="E76" i="34"/>
  <c r="E78" i="34"/>
  <c r="E80" i="34"/>
  <c r="E82" i="34"/>
  <c r="E84" i="34"/>
  <c r="E86" i="34"/>
  <c r="E88" i="34"/>
  <c r="E90" i="34"/>
  <c r="E92" i="34"/>
  <c r="E94" i="34"/>
  <c r="E96" i="34"/>
  <c r="E98" i="34"/>
  <c r="E100" i="34"/>
  <c r="E102" i="34"/>
  <c r="E104" i="34"/>
  <c r="E106" i="34"/>
  <c r="E108" i="34"/>
  <c r="E110" i="34"/>
  <c r="E112" i="34"/>
  <c r="E114" i="34"/>
  <c r="E116" i="34"/>
  <c r="E118" i="34"/>
  <c r="E120" i="34"/>
  <c r="E122" i="34"/>
  <c r="E124" i="34"/>
  <c r="E126" i="34"/>
  <c r="E128" i="34"/>
  <c r="E130" i="34"/>
  <c r="E132" i="34"/>
  <c r="E134" i="34"/>
  <c r="E136" i="34"/>
  <c r="E138" i="34"/>
  <c r="E140" i="34"/>
  <c r="E142" i="34"/>
  <c r="E144" i="34"/>
  <c r="E146" i="34"/>
  <c r="E148" i="34"/>
  <c r="E150" i="34"/>
  <c r="E152" i="34"/>
  <c r="E154" i="34"/>
  <c r="E156" i="34"/>
  <c r="E158" i="34"/>
  <c r="E160" i="34"/>
  <c r="E162" i="34"/>
  <c r="E164" i="34"/>
  <c r="E166" i="34"/>
  <c r="E168" i="34"/>
  <c r="E170" i="34"/>
  <c r="E172" i="34"/>
  <c r="E174" i="34"/>
  <c r="E176" i="34"/>
  <c r="E178" i="34"/>
  <c r="E180" i="34"/>
  <c r="E182" i="34"/>
  <c r="E184" i="34"/>
  <c r="E186" i="34"/>
  <c r="E188" i="34"/>
  <c r="E190" i="34"/>
  <c r="E192" i="34"/>
  <c r="E194" i="34"/>
  <c r="E196" i="34"/>
  <c r="E198" i="34"/>
  <c r="E200" i="34"/>
  <c r="E202" i="34"/>
  <c r="E204" i="34"/>
  <c r="E206" i="34"/>
  <c r="E208" i="34"/>
  <c r="E210" i="34"/>
  <c r="E212" i="34"/>
  <c r="E214" i="34"/>
  <c r="E216" i="34"/>
  <c r="E218" i="34"/>
  <c r="E220" i="34"/>
  <c r="E222" i="34"/>
  <c r="E224" i="34"/>
  <c r="E226" i="34"/>
  <c r="E228" i="34"/>
  <c r="E230" i="34"/>
  <c r="E232" i="34"/>
  <c r="E234" i="34"/>
  <c r="E236" i="34"/>
  <c r="E238" i="34"/>
  <c r="E240" i="34"/>
  <c r="E242" i="34"/>
  <c r="E244" i="34"/>
  <c r="E246" i="34"/>
  <c r="E248" i="34"/>
  <c r="E250" i="34"/>
  <c r="E252" i="34"/>
  <c r="E254" i="34"/>
  <c r="E256" i="34"/>
  <c r="E258" i="34"/>
  <c r="E260" i="34"/>
  <c r="E262" i="34"/>
  <c r="E264" i="34"/>
  <c r="E266" i="34"/>
  <c r="E268" i="34"/>
  <c r="E270" i="34"/>
  <c r="E272" i="34"/>
  <c r="E274" i="34"/>
  <c r="E276" i="34"/>
  <c r="E278" i="34"/>
  <c r="E280" i="34"/>
  <c r="E282" i="34"/>
  <c r="E284" i="34"/>
  <c r="E286" i="34"/>
  <c r="E288" i="34"/>
  <c r="E290" i="34"/>
  <c r="E292" i="34"/>
  <c r="E294" i="34"/>
  <c r="E296" i="34"/>
  <c r="E298" i="34"/>
  <c r="E300" i="34"/>
  <c r="E302" i="34"/>
  <c r="E304" i="34"/>
  <c r="E306" i="34"/>
  <c r="E308" i="34"/>
  <c r="E310" i="34"/>
  <c r="E312" i="34"/>
  <c r="E314" i="34"/>
  <c r="E316" i="34"/>
  <c r="E318" i="34"/>
  <c r="E320" i="34"/>
  <c r="E322" i="34"/>
  <c r="E324" i="34"/>
  <c r="E326" i="34"/>
  <c r="E328" i="34"/>
  <c r="E330" i="34"/>
  <c r="E332" i="34"/>
  <c r="E334" i="34"/>
  <c r="E336" i="34"/>
  <c r="E338" i="34"/>
  <c r="E340" i="34"/>
  <c r="E342" i="34"/>
  <c r="E344" i="34"/>
  <c r="E346" i="34"/>
  <c r="E348" i="34"/>
  <c r="E350" i="34"/>
  <c r="E352" i="34"/>
  <c r="E354" i="34"/>
  <c r="E356" i="34"/>
  <c r="E358" i="34"/>
  <c r="E360" i="34"/>
  <c r="E362" i="34"/>
  <c r="E364" i="34"/>
  <c r="E366" i="34"/>
  <c r="E368" i="34"/>
  <c r="E370" i="34"/>
  <c r="E372" i="34"/>
  <c r="E374" i="34"/>
  <c r="E376" i="34"/>
  <c r="E378" i="34"/>
  <c r="E380" i="34"/>
  <c r="E382" i="34"/>
  <c r="E384" i="34"/>
  <c r="E386" i="34"/>
  <c r="E388" i="34"/>
  <c r="E390" i="34"/>
  <c r="E392" i="34"/>
  <c r="E398" i="34"/>
  <c r="E400" i="34"/>
  <c r="E402" i="34"/>
  <c r="E408" i="34"/>
  <c r="E410" i="34"/>
  <c r="E412" i="34"/>
  <c r="E414" i="34"/>
  <c r="F395" i="34"/>
  <c r="F405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35" i="2" s="1"/>
  <c r="K25" i="2"/>
  <c r="K21" i="2"/>
  <c r="K27" i="36"/>
  <c r="K35" i="36" s="1"/>
  <c r="K20" i="36"/>
  <c r="M140" i="1"/>
  <c r="M134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60" i="8" s="1"/>
  <c r="K40" i="8"/>
  <c r="K33" i="8"/>
  <c r="K45" i="8" s="1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30" i="8" s="1"/>
  <c r="J92" i="2"/>
  <c r="J78" i="2"/>
  <c r="J67" i="2"/>
  <c r="J58" i="2"/>
  <c r="J51" i="2"/>
  <c r="J38" i="2"/>
  <c r="J42" i="2"/>
  <c r="J25" i="2"/>
  <c r="J21" i="2"/>
  <c r="L140" i="1"/>
  <c r="L134" i="1" s="1"/>
  <c r="L125" i="1" s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 s="1"/>
  <c r="K50" i="1" s="1"/>
  <c r="M51" i="1"/>
  <c r="K51" i="1"/>
  <c r="M40" i="1"/>
  <c r="K40" i="1"/>
  <c r="M34" i="1"/>
  <c r="K34" i="1"/>
  <c r="L34" i="1" s="1"/>
  <c r="M27" i="1"/>
  <c r="K27" i="1"/>
  <c r="M21" i="1"/>
  <c r="M20" i="1" s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63" i="8"/>
  <c r="K20" i="1"/>
  <c r="J69" i="8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J126" i="2"/>
  <c r="J118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30" i="35" s="1"/>
  <c r="AB45" i="32"/>
  <c r="I40" i="36" s="1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0" i="14"/>
  <c r="L58" i="1" l="1"/>
  <c r="J49" i="2"/>
  <c r="J48" i="2"/>
  <c r="M50" i="1"/>
  <c r="M81" i="1" s="1"/>
  <c r="K46" i="8"/>
  <c r="K62" i="8"/>
  <c r="K64" i="8"/>
  <c r="K127" i="2"/>
  <c r="K90" i="2"/>
  <c r="AB43" i="32"/>
  <c r="D138" i="2" s="1"/>
  <c r="AB33" i="32"/>
  <c r="J8" i="14" s="1"/>
  <c r="AB31" i="32"/>
  <c r="J6" i="36"/>
  <c r="J6" i="2"/>
  <c r="L6" i="1"/>
  <c r="J6" i="8"/>
  <c r="N6" i="10"/>
  <c r="J6" i="14"/>
  <c r="D266" i="35"/>
  <c r="D12" i="35"/>
  <c r="D147" i="35"/>
  <c r="D323" i="35"/>
  <c r="C13" i="37"/>
  <c r="D132" i="35"/>
  <c r="D17" i="35"/>
  <c r="J64" i="2"/>
  <c r="J112" i="2"/>
  <c r="J50" i="1"/>
  <c r="L50" i="1" s="1"/>
  <c r="L51" i="1"/>
  <c r="L59" i="1"/>
  <c r="L66" i="1"/>
  <c r="L75" i="1"/>
  <c r="J62" i="8"/>
  <c r="K65" i="8"/>
  <c r="K30" i="8"/>
  <c r="K20" i="2"/>
  <c r="C6" i="38"/>
  <c r="C3" i="38"/>
  <c r="C5" i="38"/>
  <c r="C8" i="38"/>
  <c r="C10" i="38"/>
  <c r="C12" i="38"/>
  <c r="C14" i="38"/>
  <c r="C16" i="38"/>
  <c r="C18" i="38"/>
  <c r="C20" i="38"/>
  <c r="C22" i="38"/>
  <c r="C24" i="38"/>
  <c r="C26" i="38"/>
  <c r="C28" i="38"/>
  <c r="C30" i="38"/>
  <c r="C32" i="38"/>
  <c r="C34" i="38"/>
  <c r="C36" i="38"/>
  <c r="C38" i="38"/>
  <c r="C40" i="38"/>
  <c r="C42" i="38"/>
  <c r="C44" i="38"/>
  <c r="C46" i="38"/>
  <c r="C48" i="38"/>
  <c r="C50" i="38"/>
  <c r="C52" i="38"/>
  <c r="C54" i="38"/>
  <c r="C56" i="38"/>
  <c r="C58" i="38"/>
  <c r="C60" i="38"/>
  <c r="C62" i="38"/>
  <c r="C64" i="38"/>
  <c r="C66" i="38"/>
  <c r="C68" i="38"/>
  <c r="C70" i="38"/>
  <c r="C72" i="38"/>
  <c r="C74" i="38"/>
  <c r="C76" i="38"/>
  <c r="C78" i="38"/>
  <c r="C80" i="38"/>
  <c r="C82" i="38"/>
  <c r="C84" i="38"/>
  <c r="C86" i="38"/>
  <c r="C88" i="38"/>
  <c r="C90" i="38"/>
  <c r="C92" i="38"/>
  <c r="C94" i="38"/>
  <c r="C96" i="38"/>
  <c r="C98" i="38"/>
  <c r="C100" i="38"/>
  <c r="C102" i="38"/>
  <c r="C104" i="38"/>
  <c r="C106" i="38"/>
  <c r="C108" i="38"/>
  <c r="C110" i="38"/>
  <c r="C112" i="38"/>
  <c r="C114" i="38"/>
  <c r="C116" i="38"/>
  <c r="C118" i="38"/>
  <c r="C120" i="38"/>
  <c r="C122" i="38"/>
  <c r="C124" i="38"/>
  <c r="C126" i="38"/>
  <c r="C128" i="38"/>
  <c r="C130" i="38"/>
  <c r="C132" i="38"/>
  <c r="C134" i="38"/>
  <c r="C136" i="38"/>
  <c r="C138" i="38"/>
  <c r="C140" i="38"/>
  <c r="C142" i="38"/>
  <c r="C144" i="38"/>
  <c r="C146" i="38"/>
  <c r="C148" i="38"/>
  <c r="C150" i="38"/>
  <c r="C152" i="38"/>
  <c r="C154" i="38"/>
  <c r="C156" i="38"/>
  <c r="C158" i="38"/>
  <c r="C160" i="38"/>
  <c r="C162" i="38"/>
  <c r="C164" i="38"/>
  <c r="C166" i="38"/>
  <c r="C168" i="38"/>
  <c r="C170" i="38"/>
  <c r="C172" i="38"/>
  <c r="C174" i="38"/>
  <c r="C176" i="38"/>
  <c r="C178" i="38"/>
  <c r="C180" i="38"/>
  <c r="C182" i="38"/>
  <c r="C184" i="38"/>
  <c r="C186" i="38"/>
  <c r="C188" i="38"/>
  <c r="C190" i="38"/>
  <c r="C192" i="38"/>
  <c r="C194" i="38"/>
  <c r="C196" i="38"/>
  <c r="C198" i="38"/>
  <c r="C200" i="38"/>
  <c r="C202" i="38"/>
  <c r="C204" i="38"/>
  <c r="C206" i="38"/>
  <c r="C208" i="38"/>
  <c r="C210" i="38"/>
  <c r="C212" i="38"/>
  <c r="C214" i="38"/>
  <c r="C216" i="38"/>
  <c r="C218" i="38"/>
  <c r="C220" i="38"/>
  <c r="C222" i="38"/>
  <c r="C224" i="38"/>
  <c r="C226" i="38"/>
  <c r="C228" i="38"/>
  <c r="C230" i="38"/>
  <c r="C232" i="38"/>
  <c r="C234" i="38"/>
  <c r="C236" i="38"/>
  <c r="C238" i="38"/>
  <c r="C240" i="38"/>
  <c r="C242" i="38"/>
  <c r="C244" i="38"/>
  <c r="C246" i="38"/>
  <c r="C248" i="38"/>
  <c r="C250" i="38"/>
  <c r="C252" i="38"/>
  <c r="C254" i="38"/>
  <c r="C256" i="38"/>
  <c r="C258" i="38"/>
  <c r="C260" i="38"/>
  <c r="C262" i="38"/>
  <c r="C264" i="38"/>
  <c r="C266" i="38"/>
  <c r="C268" i="38"/>
  <c r="C270" i="38"/>
  <c r="C272" i="38"/>
  <c r="C274" i="38"/>
  <c r="C276" i="38"/>
  <c r="C278" i="38"/>
  <c r="C280" i="38"/>
  <c r="C282" i="38"/>
  <c r="C284" i="38"/>
  <c r="C286" i="38"/>
  <c r="C288" i="38"/>
  <c r="C290" i="38"/>
  <c r="C292" i="38"/>
  <c r="C294" i="38"/>
  <c r="C296" i="38"/>
  <c r="C298" i="38"/>
  <c r="C300" i="38"/>
  <c r="C302" i="38"/>
  <c r="C304" i="38"/>
  <c r="C306" i="38"/>
  <c r="C308" i="38"/>
  <c r="C310" i="38"/>
  <c r="C312" i="38"/>
  <c r="C314" i="38"/>
  <c r="C316" i="38"/>
  <c r="C318" i="38"/>
  <c r="C320" i="38"/>
  <c r="C322" i="38"/>
  <c r="C324" i="38"/>
  <c r="C326" i="38"/>
  <c r="C328" i="38"/>
  <c r="C330" i="38"/>
  <c r="C332" i="38"/>
  <c r="C334" i="38"/>
  <c r="C336" i="38"/>
  <c r="C338" i="38"/>
  <c r="C340" i="38"/>
  <c r="C342" i="38"/>
  <c r="C344" i="38"/>
  <c r="C346" i="38"/>
  <c r="C348" i="38"/>
  <c r="C350" i="38"/>
  <c r="C352" i="38"/>
  <c r="C354" i="38"/>
  <c r="C356" i="38"/>
  <c r="C358" i="38"/>
  <c r="C360" i="38"/>
  <c r="C362" i="38"/>
  <c r="C364" i="38"/>
  <c r="C366" i="38"/>
  <c r="C368" i="38"/>
  <c r="C370" i="38"/>
  <c r="C372" i="38"/>
  <c r="C374" i="38"/>
  <c r="C376" i="38"/>
  <c r="C378" i="38"/>
  <c r="C380" i="38"/>
  <c r="C382" i="38"/>
  <c r="C384" i="38"/>
  <c r="C386" i="38"/>
  <c r="C388" i="38"/>
  <c r="C390" i="38"/>
  <c r="C392" i="38"/>
  <c r="C394" i="38"/>
  <c r="C396" i="38"/>
  <c r="C398" i="38"/>
  <c r="C400" i="38"/>
  <c r="C402" i="38"/>
  <c r="C2" i="38"/>
  <c r="C4" i="38"/>
  <c r="C7" i="38"/>
  <c r="C9" i="38"/>
  <c r="C11" i="38"/>
  <c r="C13" i="38"/>
  <c r="C15" i="38"/>
  <c r="C17" i="38"/>
  <c r="C19" i="38"/>
  <c r="C21" i="38"/>
  <c r="C23" i="38"/>
  <c r="C25" i="38"/>
  <c r="C27" i="38"/>
  <c r="C29" i="38"/>
  <c r="C31" i="38"/>
  <c r="C33" i="38"/>
  <c r="C35" i="38"/>
  <c r="C37" i="38"/>
  <c r="C39" i="38"/>
  <c r="C41" i="38"/>
  <c r="C43" i="38"/>
  <c r="C45" i="38"/>
  <c r="C47" i="38"/>
  <c r="C49" i="38"/>
  <c r="C51" i="38"/>
  <c r="C53" i="38"/>
  <c r="C55" i="38"/>
  <c r="C57" i="38"/>
  <c r="C59" i="38"/>
  <c r="C61" i="38"/>
  <c r="C63" i="38"/>
  <c r="C65" i="38"/>
  <c r="C67" i="38"/>
  <c r="C69" i="38"/>
  <c r="C71" i="38"/>
  <c r="C73" i="38"/>
  <c r="C75" i="38"/>
  <c r="C77" i="38"/>
  <c r="C79" i="38"/>
  <c r="C81" i="38"/>
  <c r="C83" i="38"/>
  <c r="C85" i="38"/>
  <c r="C87" i="38"/>
  <c r="C89" i="38"/>
  <c r="C91" i="38"/>
  <c r="C93" i="38"/>
  <c r="C95" i="38"/>
  <c r="C97" i="38"/>
  <c r="C99" i="38"/>
  <c r="C101" i="38"/>
  <c r="C103" i="38"/>
  <c r="C105" i="38"/>
  <c r="C107" i="38"/>
  <c r="C109" i="38"/>
  <c r="C111" i="38"/>
  <c r="C113" i="38"/>
  <c r="C115" i="38"/>
  <c r="C117" i="38"/>
  <c r="C119" i="38"/>
  <c r="C121" i="38"/>
  <c r="C123" i="38"/>
  <c r="C125" i="38"/>
  <c r="C127" i="38"/>
  <c r="C129" i="38"/>
  <c r="C131" i="38"/>
  <c r="C133" i="38"/>
  <c r="C135" i="38"/>
  <c r="C137" i="38"/>
  <c r="C139" i="38"/>
  <c r="C141" i="38"/>
  <c r="C143" i="38"/>
  <c r="C145" i="38"/>
  <c r="C147" i="38"/>
  <c r="C149" i="38"/>
  <c r="C151" i="38"/>
  <c r="C153" i="38"/>
  <c r="C155" i="38"/>
  <c r="C157" i="38"/>
  <c r="C159" i="38"/>
  <c r="C161" i="38"/>
  <c r="C163" i="38"/>
  <c r="C165" i="38"/>
  <c r="C167" i="38"/>
  <c r="C169" i="38"/>
  <c r="C171" i="38"/>
  <c r="C173" i="38"/>
  <c r="C175" i="38"/>
  <c r="C177" i="38"/>
  <c r="C179" i="38"/>
  <c r="C181" i="38"/>
  <c r="C183" i="38"/>
  <c r="C185" i="38"/>
  <c r="C187" i="38"/>
  <c r="C189" i="38"/>
  <c r="C191" i="38"/>
  <c r="C193" i="38"/>
  <c r="C195" i="38"/>
  <c r="C197" i="38"/>
  <c r="C199" i="38"/>
  <c r="C201" i="38"/>
  <c r="C203" i="38"/>
  <c r="C205" i="38"/>
  <c r="C207" i="38"/>
  <c r="C209" i="38"/>
  <c r="C211" i="38"/>
  <c r="C213" i="38"/>
  <c r="C215" i="38"/>
  <c r="C217" i="38"/>
  <c r="C219" i="38"/>
  <c r="C221" i="38"/>
  <c r="C223" i="38"/>
  <c r="C225" i="38"/>
  <c r="C227" i="38"/>
  <c r="C229" i="38"/>
  <c r="C231" i="38"/>
  <c r="C233" i="38"/>
  <c r="C235" i="38"/>
  <c r="C237" i="38"/>
  <c r="C239" i="38"/>
  <c r="C241" i="38"/>
  <c r="C243" i="38"/>
  <c r="C245" i="38"/>
  <c r="C247" i="38"/>
  <c r="C249" i="38"/>
  <c r="C251" i="38"/>
  <c r="C253" i="38"/>
  <c r="C255" i="38"/>
  <c r="C257" i="38"/>
  <c r="C259" i="38"/>
  <c r="C261" i="38"/>
  <c r="C263" i="38"/>
  <c r="C265" i="38"/>
  <c r="C267" i="38"/>
  <c r="C269" i="38"/>
  <c r="C271" i="38"/>
  <c r="C273" i="38"/>
  <c r="C275" i="38"/>
  <c r="C277" i="38"/>
  <c r="C279" i="38"/>
  <c r="C281" i="38"/>
  <c r="C283" i="38"/>
  <c r="C285" i="38"/>
  <c r="C287" i="38"/>
  <c r="C289" i="38"/>
  <c r="C291" i="38"/>
  <c r="C293" i="38"/>
  <c r="C295" i="38"/>
  <c r="C297" i="38"/>
  <c r="C299" i="38"/>
  <c r="C301" i="38"/>
  <c r="C303" i="38"/>
  <c r="C305" i="38"/>
  <c r="C307" i="38"/>
  <c r="C309" i="38"/>
  <c r="C311" i="38"/>
  <c r="C313" i="38"/>
  <c r="C315" i="38"/>
  <c r="C317" i="38"/>
  <c r="C319" i="38"/>
  <c r="C321" i="38"/>
  <c r="C323" i="38"/>
  <c r="C325" i="38"/>
  <c r="C327" i="38"/>
  <c r="C329" i="38"/>
  <c r="C331" i="38"/>
  <c r="C333" i="38"/>
  <c r="C335" i="38"/>
  <c r="C337" i="38"/>
  <c r="C339" i="38"/>
  <c r="C341" i="38"/>
  <c r="C343" i="38"/>
  <c r="C345" i="38"/>
  <c r="C347" i="38"/>
  <c r="C349" i="38"/>
  <c r="C351" i="38"/>
  <c r="C353" i="38"/>
  <c r="C355" i="38"/>
  <c r="C357" i="38"/>
  <c r="C359" i="38"/>
  <c r="C361" i="38"/>
  <c r="C363" i="38"/>
  <c r="C365" i="38"/>
  <c r="C367" i="38"/>
  <c r="C369" i="38"/>
  <c r="C371" i="38"/>
  <c r="C373" i="38"/>
  <c r="C375" i="38"/>
  <c r="C377" i="38"/>
  <c r="C379" i="38"/>
  <c r="C381" i="38"/>
  <c r="C383" i="38"/>
  <c r="C385" i="38"/>
  <c r="C387" i="38"/>
  <c r="C389" i="38"/>
  <c r="C391" i="38"/>
  <c r="C393" i="38"/>
  <c r="C395" i="38"/>
  <c r="C397" i="38"/>
  <c r="C399" i="38"/>
  <c r="C401" i="38"/>
  <c r="M2" i="38"/>
  <c r="B2" i="35"/>
  <c r="B4" i="35"/>
  <c r="B6" i="35"/>
  <c r="B8" i="35"/>
  <c r="B10" i="35"/>
  <c r="B12" i="35"/>
  <c r="B14" i="35"/>
  <c r="B16" i="35"/>
  <c r="B18" i="35"/>
  <c r="B20" i="35"/>
  <c r="B22" i="35"/>
  <c r="B24" i="35"/>
  <c r="B26" i="35"/>
  <c r="B28" i="35"/>
  <c r="B30" i="35"/>
  <c r="B32" i="35"/>
  <c r="B34" i="35"/>
  <c r="B36" i="35"/>
  <c r="B38" i="35"/>
  <c r="B40" i="35"/>
  <c r="B42" i="35"/>
  <c r="B44" i="35"/>
  <c r="B46" i="35"/>
  <c r="B48" i="35"/>
  <c r="B50" i="35"/>
  <c r="B52" i="35"/>
  <c r="B54" i="35"/>
  <c r="B56" i="35"/>
  <c r="B58" i="35"/>
  <c r="B60" i="35"/>
  <c r="B62" i="35"/>
  <c r="B64" i="35"/>
  <c r="B66" i="35"/>
  <c r="B68" i="35"/>
  <c r="B70" i="35"/>
  <c r="B72" i="35"/>
  <c r="B74" i="35"/>
  <c r="B76" i="35"/>
  <c r="B78" i="35"/>
  <c r="B80" i="35"/>
  <c r="B82" i="35"/>
  <c r="B84" i="35"/>
  <c r="B86" i="35"/>
  <c r="B88" i="35"/>
  <c r="B90" i="35"/>
  <c r="B92" i="35"/>
  <c r="B94" i="35"/>
  <c r="B96" i="35"/>
  <c r="B98" i="35"/>
  <c r="B100" i="35"/>
  <c r="B102" i="35"/>
  <c r="B104" i="35"/>
  <c r="B106" i="35"/>
  <c r="B108" i="35"/>
  <c r="B110" i="35"/>
  <c r="B112" i="35"/>
  <c r="B114" i="35"/>
  <c r="B116" i="35"/>
  <c r="B118" i="35"/>
  <c r="B120" i="35"/>
  <c r="B122" i="35"/>
  <c r="B124" i="35"/>
  <c r="B126" i="35"/>
  <c r="B128" i="35"/>
  <c r="B130" i="35"/>
  <c r="B132" i="35"/>
  <c r="B134" i="35"/>
  <c r="B136" i="35"/>
  <c r="B138" i="35"/>
  <c r="B140" i="35"/>
  <c r="B142" i="35"/>
  <c r="B144" i="35"/>
  <c r="B146" i="35"/>
  <c r="B148" i="35"/>
  <c r="B150" i="35"/>
  <c r="B152" i="35"/>
  <c r="B154" i="35"/>
  <c r="B156" i="35"/>
  <c r="B158" i="35"/>
  <c r="B160" i="35"/>
  <c r="B162" i="35"/>
  <c r="B164" i="35"/>
  <c r="B166" i="35"/>
  <c r="B168" i="35"/>
  <c r="B170" i="35"/>
  <c r="B172" i="35"/>
  <c r="B174" i="35"/>
  <c r="B176" i="35"/>
  <c r="B178" i="35"/>
  <c r="B180" i="35"/>
  <c r="B182" i="35"/>
  <c r="B184" i="35"/>
  <c r="B186" i="35"/>
  <c r="B188" i="35"/>
  <c r="B190" i="35"/>
  <c r="B192" i="35"/>
  <c r="B194" i="35"/>
  <c r="B196" i="35"/>
  <c r="B198" i="35"/>
  <c r="B200" i="35"/>
  <c r="B202" i="35"/>
  <c r="B204" i="35"/>
  <c r="B206" i="35"/>
  <c r="B208" i="35"/>
  <c r="B210" i="35"/>
  <c r="B212" i="35"/>
  <c r="B214" i="35"/>
  <c r="B216" i="35"/>
  <c r="B218" i="35"/>
  <c r="B220" i="35"/>
  <c r="B222" i="35"/>
  <c r="B224" i="35"/>
  <c r="B226" i="35"/>
  <c r="B228" i="35"/>
  <c r="B230" i="35"/>
  <c r="B232" i="35"/>
  <c r="B234" i="35"/>
  <c r="B236" i="35"/>
  <c r="B238" i="35"/>
  <c r="B240" i="35"/>
  <c r="B242" i="35"/>
  <c r="B244" i="35"/>
  <c r="B246" i="35"/>
  <c r="B248" i="35"/>
  <c r="B250" i="35"/>
  <c r="B252" i="35"/>
  <c r="B254" i="35"/>
  <c r="B256" i="35"/>
  <c r="B258" i="35"/>
  <c r="B260" i="35"/>
  <c r="B262" i="35"/>
  <c r="B264" i="35"/>
  <c r="B266" i="35"/>
  <c r="B268" i="35"/>
  <c r="B270" i="35"/>
  <c r="B272" i="35"/>
  <c r="B274" i="35"/>
  <c r="B276" i="35"/>
  <c r="B278" i="35"/>
  <c r="B280" i="35"/>
  <c r="B282" i="35"/>
  <c r="B284" i="35"/>
  <c r="B286" i="35"/>
  <c r="B288" i="35"/>
  <c r="B290" i="35"/>
  <c r="B292" i="35"/>
  <c r="B294" i="35"/>
  <c r="B296" i="35"/>
  <c r="B298" i="35"/>
  <c r="B300" i="35"/>
  <c r="B302" i="35"/>
  <c r="B304" i="35"/>
  <c r="B306" i="35"/>
  <c r="B308" i="35"/>
  <c r="B310" i="35"/>
  <c r="B312" i="35"/>
  <c r="B314" i="35"/>
  <c r="B316" i="35"/>
  <c r="B318" i="35"/>
  <c r="B320" i="35"/>
  <c r="B322" i="35"/>
  <c r="B324" i="35"/>
  <c r="B326" i="35"/>
  <c r="B328" i="35"/>
  <c r="B330" i="35"/>
  <c r="B332" i="35"/>
  <c r="B334" i="35"/>
  <c r="B336" i="35"/>
  <c r="B338" i="35"/>
  <c r="B340" i="35"/>
  <c r="B342" i="35"/>
  <c r="B344" i="35"/>
  <c r="B346" i="35"/>
  <c r="B348" i="35"/>
  <c r="B350" i="35"/>
  <c r="B352" i="35"/>
  <c r="B354" i="35"/>
  <c r="B356" i="35"/>
  <c r="B358" i="35"/>
  <c r="B360" i="35"/>
  <c r="B362" i="35"/>
  <c r="B364" i="35"/>
  <c r="B366" i="35"/>
  <c r="B368" i="35"/>
  <c r="B370" i="35"/>
  <c r="B372" i="35"/>
  <c r="B374" i="35"/>
  <c r="B376" i="35"/>
  <c r="B378" i="35"/>
  <c r="P4" i="33" a="1"/>
  <c r="P4" i="33" s="1"/>
  <c r="H2" i="35"/>
  <c r="B3" i="35"/>
  <c r="B5" i="35"/>
  <c r="B7" i="35"/>
  <c r="B9" i="35"/>
  <c r="B11" i="35"/>
  <c r="B13" i="35"/>
  <c r="B15" i="35"/>
  <c r="B17" i="35"/>
  <c r="B19" i="35"/>
  <c r="B21" i="35"/>
  <c r="B23" i="35"/>
  <c r="B25" i="35"/>
  <c r="B27" i="35"/>
  <c r="B29" i="35"/>
  <c r="B31" i="35"/>
  <c r="B33" i="35"/>
  <c r="B35" i="35"/>
  <c r="B37" i="35"/>
  <c r="B39" i="35"/>
  <c r="B41" i="35"/>
  <c r="B43" i="35"/>
  <c r="B45" i="35"/>
  <c r="B47" i="35"/>
  <c r="B49" i="35"/>
  <c r="B51" i="35"/>
  <c r="B53" i="35"/>
  <c r="B55" i="35"/>
  <c r="B57" i="35"/>
  <c r="B59" i="35"/>
  <c r="B61" i="35"/>
  <c r="B63" i="35"/>
  <c r="B65" i="35"/>
  <c r="B67" i="35"/>
  <c r="B69" i="35"/>
  <c r="B71" i="35"/>
  <c r="B73" i="35"/>
  <c r="B75" i="35"/>
  <c r="B77" i="35"/>
  <c r="B79" i="35"/>
  <c r="B81" i="35"/>
  <c r="B83" i="35"/>
  <c r="B85" i="35"/>
  <c r="B87" i="35"/>
  <c r="B89" i="35"/>
  <c r="B91" i="35"/>
  <c r="B93" i="35"/>
  <c r="B95" i="35"/>
  <c r="B97" i="35"/>
  <c r="B99" i="35"/>
  <c r="B101" i="35"/>
  <c r="B103" i="35"/>
  <c r="B105" i="35"/>
  <c r="B107" i="35"/>
  <c r="B109" i="35"/>
  <c r="B111" i="35"/>
  <c r="B113" i="35"/>
  <c r="B115" i="35"/>
  <c r="B117" i="35"/>
  <c r="B119" i="35"/>
  <c r="B121" i="35"/>
  <c r="B123" i="35"/>
  <c r="B125" i="35"/>
  <c r="B127" i="35"/>
  <c r="B129" i="35"/>
  <c r="B131" i="35"/>
  <c r="B133" i="35"/>
  <c r="B135" i="35"/>
  <c r="B137" i="35"/>
  <c r="B139" i="35"/>
  <c r="B141" i="35"/>
  <c r="B143" i="35"/>
  <c r="B145" i="35"/>
  <c r="B147" i="35"/>
  <c r="B149" i="35"/>
  <c r="B151" i="35"/>
  <c r="B153" i="35"/>
  <c r="B155" i="35"/>
  <c r="B157" i="35"/>
  <c r="B159" i="35"/>
  <c r="B161" i="35"/>
  <c r="B163" i="35"/>
  <c r="B165" i="35"/>
  <c r="B167" i="35"/>
  <c r="B169" i="35"/>
  <c r="B171" i="35"/>
  <c r="B173" i="35"/>
  <c r="B175" i="35"/>
  <c r="B177" i="35"/>
  <c r="B179" i="35"/>
  <c r="B181" i="35"/>
  <c r="B183" i="35"/>
  <c r="B185" i="35"/>
  <c r="B187" i="35"/>
  <c r="B189" i="35"/>
  <c r="B191" i="35"/>
  <c r="B193" i="35"/>
  <c r="B195" i="35"/>
  <c r="B197" i="35"/>
  <c r="B199" i="35"/>
  <c r="B201" i="35"/>
  <c r="B203" i="35"/>
  <c r="B205" i="35"/>
  <c r="B207" i="35"/>
  <c r="B209" i="35"/>
  <c r="B211" i="35"/>
  <c r="B213" i="35"/>
  <c r="B215" i="35"/>
  <c r="B217" i="35"/>
  <c r="B219" i="35"/>
  <c r="B221" i="35"/>
  <c r="B223" i="35"/>
  <c r="B225" i="35"/>
  <c r="B227" i="35"/>
  <c r="B229" i="35"/>
  <c r="B231" i="35"/>
  <c r="B233" i="35"/>
  <c r="B235" i="35"/>
  <c r="B237" i="35"/>
  <c r="B239" i="35"/>
  <c r="B241" i="35"/>
  <c r="B243" i="35"/>
  <c r="B245" i="35"/>
  <c r="B247" i="35"/>
  <c r="B249" i="35"/>
  <c r="B251" i="35"/>
  <c r="B253" i="35"/>
  <c r="B255" i="35"/>
  <c r="B257" i="35"/>
  <c r="B259" i="35"/>
  <c r="B261" i="35"/>
  <c r="B263" i="35"/>
  <c r="B265" i="35"/>
  <c r="B267" i="35"/>
  <c r="B269" i="35"/>
  <c r="B271" i="35"/>
  <c r="B273" i="35"/>
  <c r="B275" i="35"/>
  <c r="B277" i="35"/>
  <c r="B279" i="35"/>
  <c r="B281" i="35"/>
  <c r="B283" i="35"/>
  <c r="B285" i="35"/>
  <c r="B287" i="35"/>
  <c r="B289" i="35"/>
  <c r="B291" i="35"/>
  <c r="B293" i="35"/>
  <c r="B295" i="35"/>
  <c r="B297" i="35"/>
  <c r="B299" i="35"/>
  <c r="B301" i="35"/>
  <c r="B303" i="35"/>
  <c r="B305" i="35"/>
  <c r="B307" i="35"/>
  <c r="B309" i="35"/>
  <c r="B311" i="35"/>
  <c r="B313" i="35"/>
  <c r="B315" i="35"/>
  <c r="B317" i="35"/>
  <c r="B319" i="35"/>
  <c r="B321" i="35"/>
  <c r="B323" i="35"/>
  <c r="B325" i="35"/>
  <c r="B327" i="35"/>
  <c r="B329" i="35"/>
  <c r="B331" i="35"/>
  <c r="B333" i="35"/>
  <c r="B335" i="35"/>
  <c r="B337" i="35"/>
  <c r="B339" i="35"/>
  <c r="B341" i="35"/>
  <c r="B343" i="35"/>
  <c r="B345" i="35"/>
  <c r="B347" i="35"/>
  <c r="B349" i="35"/>
  <c r="B351" i="35"/>
  <c r="B353" i="35"/>
  <c r="B355" i="35"/>
  <c r="B357" i="35"/>
  <c r="B359" i="35"/>
  <c r="B361" i="35"/>
  <c r="B363" i="35"/>
  <c r="B365" i="35"/>
  <c r="B367" i="35"/>
  <c r="B369" i="35"/>
  <c r="B371" i="35"/>
  <c r="B373" i="35"/>
  <c r="B375" i="35"/>
  <c r="B377" i="35"/>
  <c r="B379" i="35"/>
  <c r="O4" i="33" a="1"/>
  <c r="O4" i="33" s="1"/>
  <c r="B22" i="37"/>
  <c r="B24" i="37"/>
  <c r="H379" i="35"/>
  <c r="H365" i="35"/>
  <c r="H369" i="35"/>
  <c r="H375" i="35"/>
  <c r="B21" i="37"/>
  <c r="B23" i="37"/>
  <c r="F21" i="37"/>
  <c r="F23" i="37"/>
  <c r="H378" i="35"/>
  <c r="H364" i="35"/>
  <c r="H366" i="35"/>
  <c r="H368" i="35"/>
  <c r="H370" i="35"/>
  <c r="H372" i="35"/>
  <c r="H374" i="35"/>
  <c r="H376" i="35"/>
  <c r="F22" i="37"/>
  <c r="F24" i="37"/>
  <c r="H377" i="35"/>
  <c r="H363" i="35"/>
  <c r="H367" i="35"/>
  <c r="H371" i="35"/>
  <c r="H373" i="35"/>
  <c r="F2" i="34"/>
  <c r="D19" i="1" s="1"/>
  <c r="E2" i="34"/>
  <c r="C19" i="1" s="1"/>
  <c r="E3" i="34"/>
  <c r="C20" i="1" s="1"/>
  <c r="I20" i="1"/>
  <c r="F3" i="34"/>
  <c r="D20" i="1" s="1"/>
  <c r="L27" i="1"/>
  <c r="L40" i="1"/>
  <c r="L154" i="1"/>
  <c r="L156" i="1" s="1"/>
  <c r="M125" i="1"/>
  <c r="M154" i="1" s="1"/>
  <c r="M156" i="1" s="1"/>
  <c r="J81" i="1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M83" i="1" l="1"/>
  <c r="M85" i="1" s="1"/>
  <c r="D47" i="11" s="1"/>
  <c r="J8" i="8"/>
  <c r="N8" i="10"/>
  <c r="L8" i="1"/>
  <c r="J8" i="2"/>
  <c r="J7" i="36"/>
  <c r="J7" i="14"/>
  <c r="J7" i="2"/>
  <c r="N7" i="10"/>
  <c r="J7" i="8"/>
  <c r="L7" i="1"/>
  <c r="Z5" i="32"/>
  <c r="AB24" i="32"/>
  <c r="E214" i="35" s="1"/>
  <c r="D6" i="36"/>
  <c r="D49" i="11"/>
  <c r="D48" i="11"/>
  <c r="D46" i="11"/>
  <c r="C51" i="11"/>
  <c r="C50" i="11"/>
  <c r="C49" i="11"/>
  <c r="C48" i="11"/>
  <c r="C46" i="11"/>
  <c r="K65" i="2"/>
  <c r="K117" i="2"/>
  <c r="K49" i="2"/>
  <c r="K48" i="2"/>
  <c r="D50" i="11"/>
  <c r="D51" i="11"/>
  <c r="C52" i="11"/>
  <c r="J83" i="1"/>
  <c r="L81" i="1"/>
  <c r="E340" i="35"/>
  <c r="E165" i="35"/>
  <c r="E68" i="35"/>
  <c r="E66" i="35"/>
  <c r="E255" i="35"/>
  <c r="E23" i="35"/>
  <c r="E236" i="35"/>
  <c r="E322" i="35"/>
  <c r="E303" i="35"/>
  <c r="E258" i="35"/>
  <c r="E89" i="35"/>
  <c r="E297" i="35"/>
  <c r="E335" i="35"/>
  <c r="E98" i="35"/>
  <c r="D11" i="1"/>
  <c r="E234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83" i="1"/>
  <c r="C45" i="11" s="1"/>
  <c r="K85" i="1"/>
  <c r="D55" i="11" l="1"/>
  <c r="D53" i="11"/>
  <c r="C56" i="11"/>
  <c r="C54" i="11"/>
  <c r="D45" i="11"/>
  <c r="O40" i="10"/>
  <c r="E97" i="35"/>
  <c r="E19" i="35"/>
  <c r="E323" i="35"/>
  <c r="E204" i="35"/>
  <c r="E246" i="35"/>
  <c r="E108" i="35"/>
  <c r="E232" i="35"/>
  <c r="E17" i="35"/>
  <c r="E207" i="35"/>
  <c r="E194" i="35"/>
  <c r="E186" i="35"/>
  <c r="E185" i="35"/>
  <c r="E50" i="35"/>
  <c r="E153" i="35"/>
  <c r="E92" i="35"/>
  <c r="E45" i="35"/>
  <c r="E223" i="35"/>
  <c r="E227" i="35"/>
  <c r="E124" i="35"/>
  <c r="E247" i="35"/>
  <c r="D17" i="37"/>
  <c r="E42" i="35"/>
  <c r="E136" i="35"/>
  <c r="D6" i="37"/>
  <c r="E299" i="35"/>
  <c r="E216" i="35"/>
  <c r="E28" i="35"/>
  <c r="E158" i="35"/>
  <c r="J85" i="1"/>
  <c r="L85" i="1" s="1"/>
  <c r="O32" i="10"/>
  <c r="J38" i="36"/>
  <c r="J37" i="36"/>
  <c r="K38" i="36"/>
  <c r="K37" i="36"/>
  <c r="C47" i="11" l="1"/>
  <c r="B2" i="38"/>
  <c r="J2" i="38"/>
  <c r="H2" i="38"/>
  <c r="I2" i="38"/>
  <c r="K2" i="38"/>
  <c r="M16" i="35"/>
  <c r="L127" i="35"/>
  <c r="L266" i="35"/>
  <c r="M374" i="35"/>
  <c r="L134" i="35"/>
  <c r="L228" i="35"/>
  <c r="M191" i="35"/>
  <c r="E120" i="38"/>
  <c r="M203" i="35"/>
  <c r="L334" i="35"/>
  <c r="L278" i="35"/>
  <c r="M233" i="35"/>
  <c r="L43" i="35"/>
  <c r="M174" i="35"/>
  <c r="M315" i="35"/>
  <c r="E123" i="38"/>
  <c r="L252" i="35"/>
  <c r="M30" i="35"/>
  <c r="M7" i="35"/>
  <c r="E327" i="38"/>
  <c r="M96" i="35"/>
  <c r="M215" i="35"/>
  <c r="L52" i="35"/>
  <c r="M301" i="35"/>
  <c r="L102" i="35"/>
  <c r="L192" i="35"/>
  <c r="M119" i="35"/>
  <c r="E284" i="38"/>
  <c r="M295" i="35"/>
  <c r="L40" i="35"/>
  <c r="M164" i="35"/>
  <c r="L117" i="35"/>
  <c r="M140" i="35"/>
  <c r="L267" i="35"/>
  <c r="M236" i="35"/>
  <c r="E387" i="38"/>
  <c r="M362" i="35"/>
  <c r="L99" i="35"/>
  <c r="M202" i="35"/>
  <c r="E40" i="38"/>
  <c r="L339" i="35"/>
  <c r="M180" i="35"/>
  <c r="L356" i="35"/>
  <c r="L345" i="35"/>
  <c r="L175" i="35"/>
  <c r="L306" i="35"/>
  <c r="M318" i="35"/>
  <c r="E83" i="38"/>
  <c r="L23" i="35"/>
  <c r="L154" i="35"/>
  <c r="L22" i="35"/>
  <c r="L130" i="35"/>
  <c r="L224" i="35"/>
  <c r="M183" i="35"/>
  <c r="L137" i="35"/>
  <c r="L199" i="35"/>
  <c r="L330" i="35"/>
  <c r="L270" i="35"/>
  <c r="E372" i="38"/>
  <c r="M300" i="35"/>
  <c r="M74" i="35"/>
  <c r="M195" i="35"/>
  <c r="M29" i="35"/>
  <c r="F47" i="38"/>
  <c r="M11" i="35"/>
  <c r="L142" i="35"/>
  <c r="M247" i="35"/>
  <c r="E283" i="38"/>
  <c r="L108" i="35"/>
  <c r="L235" i="35"/>
  <c r="L176" i="35"/>
  <c r="E20" i="38"/>
  <c r="M214" i="35"/>
  <c r="M312" i="35"/>
  <c r="M10" i="35"/>
  <c r="L288" i="35"/>
  <c r="L58" i="35"/>
  <c r="M67" i="35"/>
  <c r="D171" i="38"/>
  <c r="M136" i="35"/>
  <c r="M263" i="35"/>
  <c r="L124" i="35"/>
  <c r="D375" i="38"/>
  <c r="L262" i="35"/>
  <c r="M95" i="35"/>
  <c r="L190" i="35"/>
  <c r="L245" i="35"/>
  <c r="M335" i="35"/>
  <c r="L76" i="35"/>
  <c r="L240" i="35"/>
  <c r="E332" i="38"/>
  <c r="M167" i="35"/>
  <c r="L302" i="35"/>
  <c r="M206" i="35"/>
  <c r="M69" i="35"/>
  <c r="M24" i="35"/>
  <c r="L135" i="35"/>
  <c r="M4" i="35"/>
  <c r="M367" i="35"/>
  <c r="M250" i="35"/>
  <c r="M344" i="35"/>
  <c r="M319" i="35"/>
  <c r="E64" i="38"/>
  <c r="L211" i="35"/>
  <c r="L64" i="35"/>
  <c r="L112" i="35"/>
  <c r="M297" i="35"/>
  <c r="L51" i="35"/>
  <c r="L182" i="35"/>
  <c r="L82" i="35"/>
  <c r="E131" i="38"/>
  <c r="M264" i="35"/>
  <c r="L38" i="35"/>
  <c r="M123" i="35"/>
  <c r="E335" i="38"/>
  <c r="L104" i="35"/>
  <c r="L231" i="35"/>
  <c r="L168" i="35"/>
  <c r="L293" i="35"/>
  <c r="L210" i="35"/>
  <c r="L308" i="35"/>
  <c r="M251" i="35"/>
  <c r="E224" i="38"/>
  <c r="L307" i="35"/>
  <c r="L13" i="35"/>
  <c r="M45" i="35"/>
  <c r="L177" i="35"/>
  <c r="M248" i="35"/>
  <c r="L26" i="35"/>
  <c r="M360" i="35"/>
  <c r="E331" i="38"/>
  <c r="L9" i="35"/>
  <c r="L107" i="35"/>
  <c r="L322" i="35"/>
  <c r="D44" i="38"/>
  <c r="L98" i="35"/>
  <c r="M188" i="35"/>
  <c r="L111" i="35"/>
  <c r="L337" i="35"/>
  <c r="M291" i="35"/>
  <c r="M36" i="35"/>
  <c r="M56" i="35"/>
  <c r="L20" i="35"/>
  <c r="M131" i="35"/>
  <c r="M274" i="35"/>
  <c r="M370" i="35"/>
  <c r="M138" i="35"/>
  <c r="M336" i="35"/>
  <c r="L311" i="35"/>
  <c r="L197" i="35"/>
  <c r="M207" i="35"/>
  <c r="L338" i="35"/>
  <c r="M8" i="35"/>
  <c r="E380" i="38"/>
  <c r="M47" i="35"/>
  <c r="L178" i="35"/>
  <c r="M323" i="35"/>
  <c r="L21" i="35"/>
  <c r="E232" i="38"/>
  <c r="L19" i="35"/>
  <c r="L150" i="35"/>
  <c r="L14" i="35"/>
  <c r="M126" i="35"/>
  <c r="L220" i="35"/>
  <c r="M71" i="35"/>
  <c r="E112" i="38"/>
  <c r="M81" i="35"/>
  <c r="L226" i="35"/>
  <c r="L358" i="35"/>
  <c r="M241" i="35"/>
  <c r="M296" i="35"/>
  <c r="M70" i="35"/>
  <c r="L187" i="35"/>
  <c r="E179" i="38"/>
  <c r="M144" i="35"/>
  <c r="M271" i="35"/>
  <c r="M244" i="35"/>
  <c r="D383" i="38"/>
  <c r="M5" i="35"/>
  <c r="M103" i="35"/>
  <c r="L314" i="35"/>
  <c r="M237" i="35"/>
  <c r="M94" i="35"/>
  <c r="M184" i="35"/>
  <c r="L3" i="35"/>
  <c r="E276" i="38"/>
  <c r="M179" i="35"/>
  <c r="L32" i="35"/>
  <c r="L48" i="35"/>
  <c r="M125" i="35"/>
  <c r="M132" i="35"/>
  <c r="M259" i="35"/>
  <c r="M116" i="35"/>
  <c r="E379" i="38"/>
  <c r="L258" i="35"/>
  <c r="L352" i="35"/>
  <c r="L86" i="35"/>
  <c r="E72" i="38"/>
  <c r="M331" i="35"/>
  <c r="M72" i="35"/>
  <c r="L232" i="35"/>
  <c r="M289" i="35"/>
  <c r="M159" i="35"/>
  <c r="L298" i="35"/>
  <c r="L198" i="35"/>
  <c r="E75" i="38"/>
  <c r="M15" i="35"/>
  <c r="M146" i="35"/>
  <c r="L255" i="35"/>
  <c r="E279" i="38"/>
  <c r="M212" i="35"/>
  <c r="M59" i="35"/>
  <c r="M145" i="35"/>
  <c r="L25" i="35"/>
  <c r="M218" i="35"/>
  <c r="L316" i="35"/>
  <c r="L18" i="35"/>
  <c r="M292" i="35"/>
  <c r="M62" i="35"/>
  <c r="L75" i="35"/>
  <c r="E167" i="38"/>
  <c r="D235" i="38"/>
  <c r="M256" i="35"/>
  <c r="L34" i="35"/>
  <c r="M115" i="35"/>
  <c r="E339" i="38"/>
  <c r="L100" i="35"/>
  <c r="M223" i="35"/>
  <c r="M60" i="35"/>
  <c r="E16" i="38"/>
  <c r="M106" i="35"/>
  <c r="L304" i="35"/>
  <c r="L239" i="35"/>
  <c r="M33" i="35"/>
  <c r="M303" i="35"/>
  <c r="L44" i="35"/>
  <c r="M172" i="35"/>
  <c r="M28" i="35"/>
  <c r="L139" i="35"/>
  <c r="M12" i="35"/>
  <c r="L377" i="35"/>
  <c r="M254" i="35"/>
  <c r="M348" i="35"/>
  <c r="L78" i="35"/>
  <c r="M189" i="35"/>
  <c r="M327" i="35"/>
  <c r="M68" i="35"/>
  <c r="M120" i="35"/>
  <c r="D324" i="38"/>
  <c r="M55" i="35"/>
  <c r="L186" i="35"/>
  <c r="M90" i="35"/>
  <c r="L77" i="35"/>
  <c r="E187" i="38"/>
  <c r="M129" i="35"/>
  <c r="M283" i="35"/>
  <c r="E8" i="38"/>
  <c r="L373" i="35"/>
  <c r="D354" i="38"/>
  <c r="L46" i="35"/>
  <c r="M181" i="35"/>
  <c r="L174" i="35"/>
  <c r="M17" i="35"/>
  <c r="L156" i="35"/>
  <c r="E340" i="38"/>
  <c r="E273" i="38"/>
  <c r="E295" i="38"/>
  <c r="E38" i="38"/>
  <c r="L212" i="35"/>
  <c r="L310" i="35"/>
  <c r="E352" i="38"/>
  <c r="L290" i="35"/>
  <c r="M52" i="35"/>
  <c r="E395" i="38"/>
  <c r="M105" i="35"/>
  <c r="D299" i="38"/>
  <c r="D88" i="38"/>
  <c r="D33" i="38"/>
  <c r="M57" i="35"/>
  <c r="M193" i="35"/>
  <c r="M329" i="35"/>
  <c r="F60" i="38"/>
  <c r="D255" i="38"/>
  <c r="E220" i="38"/>
  <c r="D127" i="38"/>
  <c r="E147" i="38"/>
  <c r="L241" i="35"/>
  <c r="E192" i="38"/>
  <c r="G45" i="38"/>
  <c r="E399" i="38"/>
  <c r="E111" i="38"/>
  <c r="E259" i="38"/>
  <c r="L221" i="35"/>
  <c r="M102" i="35"/>
  <c r="L165" i="35"/>
  <c r="M104" i="35"/>
  <c r="D300" i="38"/>
  <c r="E217" i="38"/>
  <c r="D151" i="38"/>
  <c r="E51" i="38"/>
  <c r="L264" i="35"/>
  <c r="M53" i="35"/>
  <c r="J79" i="35"/>
  <c r="D152" i="38"/>
  <c r="D334" i="38"/>
  <c r="E355" i="38"/>
  <c r="M122" i="35"/>
  <c r="E176" i="38"/>
  <c r="E189" i="38"/>
  <c r="M268" i="35"/>
  <c r="L205" i="35"/>
  <c r="L169" i="35"/>
  <c r="K34" i="35"/>
  <c r="M284" i="35"/>
  <c r="L93" i="35"/>
  <c r="D107" i="38"/>
  <c r="E62" i="38"/>
  <c r="E139" i="38"/>
  <c r="M173" i="35"/>
  <c r="E240" i="38"/>
  <c r="G65" i="38"/>
  <c r="E391" i="38"/>
  <c r="E218" i="38"/>
  <c r="D307" i="38"/>
  <c r="L229" i="35"/>
  <c r="L357" i="35"/>
  <c r="M113" i="35"/>
  <c r="L191" i="35"/>
  <c r="E292" i="38"/>
  <c r="D229" i="38"/>
  <c r="E199" i="38"/>
  <c r="K65" i="35"/>
  <c r="M213" i="35"/>
  <c r="M61" i="35"/>
  <c r="E312" i="38"/>
  <c r="E200" i="38"/>
  <c r="D37" i="38"/>
  <c r="E347" i="38"/>
  <c r="L59" i="35"/>
  <c r="E203" i="38"/>
  <c r="E52" i="38"/>
  <c r="D87" i="38"/>
  <c r="L153" i="35"/>
  <c r="E287" i="38"/>
  <c r="E272" i="38"/>
  <c r="M84" i="35"/>
  <c r="M326" i="35"/>
  <c r="E289" i="38"/>
  <c r="D27" i="38"/>
  <c r="E99" i="38"/>
  <c r="M224" i="35"/>
  <c r="E96" i="38"/>
  <c r="E291" i="38"/>
  <c r="E223" i="38"/>
  <c r="E368" i="38"/>
  <c r="M73" i="35"/>
  <c r="H400" i="38"/>
  <c r="L27" i="35"/>
  <c r="L269" i="35"/>
  <c r="F27" i="38"/>
  <c r="L371" i="35"/>
  <c r="M39" i="35"/>
  <c r="M85" i="35"/>
  <c r="E63" i="38"/>
  <c r="E231" i="38"/>
  <c r="E138" i="38"/>
  <c r="M280" i="35"/>
  <c r="E60" i="38"/>
  <c r="L341" i="35"/>
  <c r="L326" i="35"/>
  <c r="L31" i="35"/>
  <c r="D128" i="38"/>
  <c r="E243" i="38"/>
  <c r="E91" i="38"/>
  <c r="L360" i="35"/>
  <c r="E144" i="38"/>
  <c r="E346" i="38"/>
  <c r="E343" i="38"/>
  <c r="E178" i="38"/>
  <c r="E211" i="38"/>
  <c r="G40" i="38"/>
  <c r="L148" i="35"/>
  <c r="L213" i="35"/>
  <c r="F23" i="38"/>
  <c r="M219" i="35"/>
  <c r="L160" i="35"/>
  <c r="M37" i="35"/>
  <c r="E155" i="38"/>
  <c r="G51" i="38"/>
  <c r="E71" i="38"/>
  <c r="D108" i="38"/>
  <c r="E104" i="38"/>
  <c r="L349" i="35"/>
  <c r="M279" i="35"/>
  <c r="M152" i="35"/>
  <c r="E184" i="38"/>
  <c r="E177" i="38"/>
  <c r="M143" i="35"/>
  <c r="L257" i="35"/>
  <c r="M225" i="35"/>
  <c r="E228" i="38"/>
  <c r="L155" i="35"/>
  <c r="L141" i="35"/>
  <c r="F39" i="38"/>
  <c r="D7" i="38"/>
  <c r="M321" i="35"/>
  <c r="M35" i="35"/>
  <c r="D32" i="38"/>
  <c r="M43" i="35"/>
  <c r="E382" i="38"/>
  <c r="L147" i="35"/>
  <c r="L121" i="35"/>
  <c r="F3" i="38"/>
  <c r="L158" i="35"/>
  <c r="L299" i="35"/>
  <c r="E396" i="38"/>
  <c r="D397" i="38"/>
  <c r="M170" i="35"/>
  <c r="M185" i="35"/>
  <c r="L132" i="35"/>
  <c r="E183" i="38"/>
  <c r="D98" i="38"/>
  <c r="L50" i="35"/>
  <c r="E12" i="38"/>
  <c r="L216" i="35"/>
  <c r="M211" i="35"/>
  <c r="L162" i="35"/>
  <c r="E80" i="38"/>
  <c r="G41" i="38"/>
  <c r="L347" i="35"/>
  <c r="L218" i="35"/>
  <c r="M273" i="35"/>
  <c r="K3" i="35"/>
  <c r="E303" i="38"/>
  <c r="E360" i="38"/>
  <c r="D234" i="38"/>
  <c r="F33" i="38"/>
  <c r="M275" i="35"/>
  <c r="M156" i="35"/>
  <c r="E56" i="38"/>
  <c r="M20" i="35"/>
  <c r="E394" i="38"/>
  <c r="L276" i="35"/>
  <c r="L129" i="35"/>
  <c r="G20" i="38"/>
  <c r="L275" i="35"/>
  <c r="M317" i="35"/>
  <c r="E388" i="38"/>
  <c r="M365" i="35"/>
  <c r="L287" i="35"/>
  <c r="L133" i="35"/>
  <c r="G15" i="38"/>
  <c r="E239" i="38"/>
  <c r="E47" i="38"/>
  <c r="L151" i="35"/>
  <c r="E36" i="38"/>
  <c r="L249" i="35"/>
  <c r="L145" i="35"/>
  <c r="L279" i="35"/>
  <c r="E136" i="38"/>
  <c r="D137" i="38"/>
  <c r="L282" i="35"/>
  <c r="M357" i="35"/>
  <c r="M281" i="35"/>
  <c r="E92" i="38"/>
  <c r="L294" i="35"/>
  <c r="E400" i="38"/>
  <c r="D401" i="38"/>
  <c r="E195" i="38"/>
  <c r="L196" i="35"/>
  <c r="M166" i="35"/>
  <c r="L30" i="35"/>
  <c r="L222" i="35"/>
  <c r="D342" i="38"/>
  <c r="M286" i="35"/>
  <c r="L173" i="35"/>
  <c r="L237" i="35"/>
  <c r="M65" i="35"/>
  <c r="M127" i="35"/>
  <c r="E348" i="38"/>
  <c r="E257" i="38"/>
  <c r="E247" i="38"/>
  <c r="D18" i="38"/>
  <c r="L89" i="35"/>
  <c r="E135" i="38"/>
  <c r="E14" i="38"/>
  <c r="E248" i="38"/>
  <c r="D57" i="38"/>
  <c r="E2" i="38"/>
  <c r="L152" i="35"/>
  <c r="E251" i="38"/>
  <c r="E48" i="38"/>
  <c r="G21" i="38"/>
  <c r="L105" i="35"/>
  <c r="L284" i="35"/>
  <c r="L321" i="35"/>
  <c r="G400" i="38"/>
  <c r="M342" i="35"/>
  <c r="E306" i="38"/>
  <c r="E149" i="38"/>
  <c r="M309" i="35"/>
  <c r="J84" i="35"/>
  <c r="L193" i="35"/>
  <c r="E194" i="38"/>
  <c r="F13" i="38"/>
  <c r="E242" i="38"/>
  <c r="J53" i="35"/>
  <c r="L350" i="35"/>
  <c r="M201" i="35"/>
  <c r="E299" i="38"/>
  <c r="J92" i="35"/>
  <c r="E389" i="38"/>
  <c r="L39" i="35"/>
  <c r="L106" i="35"/>
  <c r="L283" i="35"/>
  <c r="J26" i="35"/>
  <c r="D287" i="38"/>
  <c r="F24" i="38"/>
  <c r="E163" i="38"/>
  <c r="E109" i="38"/>
  <c r="E337" i="38"/>
  <c r="E378" i="38"/>
  <c r="D328" i="38"/>
  <c r="D228" i="38"/>
  <c r="F65" i="38"/>
  <c r="M361" i="35"/>
  <c r="J121" i="35"/>
  <c r="K106" i="35"/>
  <c r="E46" i="38"/>
  <c r="K80" i="35"/>
  <c r="L161" i="35"/>
  <c r="M75" i="35"/>
  <c r="D63" i="38"/>
  <c r="E268" i="38"/>
  <c r="E365" i="38"/>
  <c r="D31" i="38"/>
  <c r="L123" i="35"/>
  <c r="M299" i="35"/>
  <c r="L369" i="35"/>
  <c r="D315" i="38"/>
  <c r="G42" i="38"/>
  <c r="M101" i="35"/>
  <c r="E186" i="38"/>
  <c r="F29" i="38"/>
  <c r="E213" i="38"/>
  <c r="E258" i="38"/>
  <c r="D92" i="38"/>
  <c r="F32" i="38"/>
  <c r="K82" i="35"/>
  <c r="G31" i="38"/>
  <c r="E180" i="38"/>
  <c r="E336" i="38"/>
  <c r="M14" i="35"/>
  <c r="K67" i="35"/>
  <c r="J72" i="35"/>
  <c r="M217" i="35"/>
  <c r="D388" i="38"/>
  <c r="L103" i="35"/>
  <c r="M88" i="35"/>
  <c r="L172" i="35"/>
  <c r="E353" i="38"/>
  <c r="D179" i="38"/>
  <c r="D83" i="38"/>
  <c r="K74" i="35"/>
  <c r="L114" i="35"/>
  <c r="E237" i="38"/>
  <c r="E169" i="38"/>
  <c r="D79" i="38"/>
  <c r="E392" i="38"/>
  <c r="D78" i="38"/>
  <c r="G26" i="38"/>
  <c r="J90" i="35"/>
  <c r="L79" i="35"/>
  <c r="E175" i="38"/>
  <c r="M293" i="35"/>
  <c r="F52" i="38"/>
  <c r="L55" i="35"/>
  <c r="J5" i="35"/>
  <c r="H384" i="38"/>
  <c r="D200" i="38"/>
  <c r="G55" i="38"/>
  <c r="M192" i="35"/>
  <c r="D61" i="38"/>
  <c r="D285" i="38"/>
  <c r="D326" i="38"/>
  <c r="F31" i="38"/>
  <c r="L183" i="35"/>
  <c r="M376" i="35"/>
  <c r="L4" i="35"/>
  <c r="E349" i="38"/>
  <c r="E207" i="38"/>
  <c r="D172" i="38"/>
  <c r="M23" i="37"/>
  <c r="K388" i="38"/>
  <c r="M133" i="35"/>
  <c r="E191" i="38"/>
  <c r="E377" i="38"/>
  <c r="D181" i="38"/>
  <c r="L37" i="35"/>
  <c r="L7" i="35"/>
  <c r="M368" i="35"/>
  <c r="H385" i="38"/>
  <c r="M373" i="35"/>
  <c r="L251" i="35"/>
  <c r="L41" i="35"/>
  <c r="D85" i="38"/>
  <c r="E302" i="38"/>
  <c r="D65" i="38"/>
  <c r="E39" i="38"/>
  <c r="E216" i="38"/>
  <c r="E190" i="38"/>
  <c r="J386" i="38"/>
  <c r="D160" i="38"/>
  <c r="K122" i="35"/>
  <c r="K381" i="38"/>
  <c r="L247" i="35"/>
  <c r="L120" i="35"/>
  <c r="L246" i="35"/>
  <c r="E288" i="38"/>
  <c r="L209" i="35"/>
  <c r="M232" i="35"/>
  <c r="M341" i="35"/>
  <c r="M208" i="35"/>
  <c r="E301" i="38"/>
  <c r="D303" i="38"/>
  <c r="D207" i="38"/>
  <c r="D4" i="38"/>
  <c r="J11" i="35"/>
  <c r="L250" i="35"/>
  <c r="L71" i="35"/>
  <c r="D323" i="38"/>
  <c r="L353" i="35"/>
  <c r="D113" i="38"/>
  <c r="L126" i="35"/>
  <c r="L140" i="35"/>
  <c r="L65" i="35"/>
  <c r="K113" i="35"/>
  <c r="N24" i="37"/>
  <c r="G36" i="38"/>
  <c r="E208" i="38"/>
  <c r="E245" i="38"/>
  <c r="M266" i="35"/>
  <c r="G61" i="38"/>
  <c r="D352" i="38"/>
  <c r="D252" i="38"/>
  <c r="J20" i="35"/>
  <c r="M161" i="35"/>
  <c r="M79" i="35"/>
  <c r="D6" i="38"/>
  <c r="D162" i="38"/>
  <c r="K118" i="35"/>
  <c r="M50" i="35"/>
  <c r="L297" i="35"/>
  <c r="D91" i="38"/>
  <c r="F35" i="38"/>
  <c r="D244" i="38"/>
  <c r="D55" i="38"/>
  <c r="L263" i="35"/>
  <c r="M76" i="35"/>
  <c r="L367" i="35"/>
  <c r="D339" i="38"/>
  <c r="F54" i="38"/>
  <c r="L6" i="35"/>
  <c r="D362" i="38"/>
  <c r="G49" i="38"/>
  <c r="E253" i="38"/>
  <c r="D298" i="38"/>
  <c r="D116" i="38"/>
  <c r="F44" i="38"/>
  <c r="H387" i="38"/>
  <c r="L234" i="35"/>
  <c r="F43" i="38"/>
  <c r="L125" i="35"/>
  <c r="E116" i="38"/>
  <c r="M240" i="35"/>
  <c r="K31" i="35"/>
  <c r="J389" i="38"/>
  <c r="F11" i="38"/>
  <c r="E140" i="38"/>
  <c r="M169" i="35"/>
  <c r="D329" i="38"/>
  <c r="M9" i="35"/>
  <c r="E133" i="38"/>
  <c r="E107" i="38"/>
  <c r="D35" i="38"/>
  <c r="K105" i="35"/>
  <c r="E309" i="38"/>
  <c r="M372" i="35"/>
  <c r="E127" i="38"/>
  <c r="E19" i="38"/>
  <c r="D102" i="38"/>
  <c r="F38" i="38"/>
  <c r="L181" i="35"/>
  <c r="M222" i="35"/>
  <c r="M46" i="35"/>
  <c r="G24" i="38"/>
  <c r="E76" i="38"/>
  <c r="L166" i="35"/>
  <c r="J81" i="35"/>
  <c r="K119" i="35"/>
  <c r="E230" i="38"/>
  <c r="M351" i="35"/>
  <c r="E67" i="38"/>
  <c r="E97" i="38"/>
  <c r="E325" i="38"/>
  <c r="D366" i="38"/>
  <c r="G43" i="38"/>
  <c r="D380" i="38"/>
  <c r="M194" i="35"/>
  <c r="L97" i="35"/>
  <c r="M109" i="35"/>
  <c r="E148" i="38"/>
  <c r="E376" i="38"/>
  <c r="G12" i="38"/>
  <c r="F395" i="38"/>
  <c r="K24" i="35"/>
  <c r="E215" i="38"/>
  <c r="E168" i="38"/>
  <c r="L185" i="35"/>
  <c r="D19" i="38"/>
  <c r="L189" i="35"/>
  <c r="L348" i="35"/>
  <c r="K5" i="35"/>
  <c r="L340" i="35"/>
  <c r="M112" i="35"/>
  <c r="L201" i="35"/>
  <c r="D146" i="38"/>
  <c r="D21" i="38"/>
  <c r="D201" i="38"/>
  <c r="E59" i="38"/>
  <c r="D240" i="38"/>
  <c r="D214" i="38"/>
  <c r="K132" i="35"/>
  <c r="E356" i="38"/>
  <c r="J114" i="35"/>
  <c r="E5" i="38"/>
  <c r="M77" i="35"/>
  <c r="L323" i="35"/>
  <c r="L312" i="35"/>
  <c r="D312" i="38"/>
  <c r="M80" i="35"/>
  <c r="L335" i="35"/>
  <c r="M151" i="35"/>
  <c r="M228" i="35"/>
  <c r="D341" i="38"/>
  <c r="D327" i="38"/>
  <c r="D231" i="38"/>
  <c r="M234" i="35"/>
  <c r="L204" i="35"/>
  <c r="L268" i="35"/>
  <c r="D49" i="38"/>
  <c r="E7" i="38"/>
  <c r="D359" i="38"/>
  <c r="D80" i="38"/>
  <c r="M42" i="35"/>
  <c r="L217" i="35"/>
  <c r="L54" i="35"/>
  <c r="L256" i="35"/>
  <c r="D42" i="38"/>
  <c r="E351" i="38"/>
  <c r="E34" i="38"/>
  <c r="L116" i="35"/>
  <c r="M287" i="35"/>
  <c r="D347" i="38"/>
  <c r="L149" i="35"/>
  <c r="E79" i="38"/>
  <c r="L342" i="35"/>
  <c r="K49" i="35"/>
  <c r="M48" i="35"/>
  <c r="K384" i="38"/>
  <c r="K109" i="35"/>
  <c r="F48" i="38"/>
  <c r="G7" i="38"/>
  <c r="L42" i="35"/>
  <c r="M262" i="35"/>
  <c r="D93" i="38"/>
  <c r="D376" i="38"/>
  <c r="E280" i="38"/>
  <c r="K42" i="35"/>
  <c r="L122" i="35"/>
  <c r="L170" i="35"/>
  <c r="D22" i="38"/>
  <c r="E202" i="38"/>
  <c r="P21" i="37"/>
  <c r="L8" i="35"/>
  <c r="M178" i="35"/>
  <c r="D115" i="38"/>
  <c r="M350" i="35"/>
  <c r="D197" i="38"/>
  <c r="G57" i="38"/>
  <c r="L206" i="35"/>
  <c r="L10" i="35"/>
  <c r="E393" i="38"/>
  <c r="E363" i="38"/>
  <c r="D267" i="38"/>
  <c r="F18" i="38"/>
  <c r="H395" i="38"/>
  <c r="G9" i="38"/>
  <c r="D274" i="38"/>
  <c r="G53" i="38"/>
  <c r="E82" i="38"/>
  <c r="G56" i="38"/>
  <c r="F8" i="38"/>
  <c r="J85" i="35"/>
  <c r="E281" i="38"/>
  <c r="M27" i="35"/>
  <c r="E156" i="38"/>
  <c r="M343" i="35"/>
  <c r="J123" i="35"/>
  <c r="J3" i="35"/>
  <c r="G23" i="38"/>
  <c r="M313" i="35"/>
  <c r="G8" i="38"/>
  <c r="E369" i="38"/>
  <c r="M165" i="35"/>
  <c r="E173" i="38"/>
  <c r="D131" i="38"/>
  <c r="D47" i="38"/>
  <c r="K133" i="35"/>
  <c r="E316" i="38"/>
  <c r="E101" i="38"/>
  <c r="D175" i="38"/>
  <c r="E270" i="38"/>
  <c r="D212" i="38"/>
  <c r="G50" i="38"/>
  <c r="F6" i="38"/>
  <c r="J381" i="38"/>
  <c r="M89" i="35"/>
  <c r="D73" i="38"/>
  <c r="M227" i="35"/>
  <c r="M13" i="35"/>
  <c r="L215" i="35"/>
  <c r="J62" i="35"/>
  <c r="H388" i="38"/>
  <c r="E152" i="38"/>
  <c r="E321" i="38"/>
  <c r="E233" i="38"/>
  <c r="L66" i="35"/>
  <c r="D53" i="38"/>
  <c r="F55" i="38"/>
  <c r="F7" i="38"/>
  <c r="L248" i="35"/>
  <c r="L265" i="35"/>
  <c r="L289" i="35"/>
  <c r="E188" i="38"/>
  <c r="E11" i="38"/>
  <c r="G32" i="38"/>
  <c r="J28" i="35"/>
  <c r="J40" i="35"/>
  <c r="D239" i="38"/>
  <c r="D364" i="38"/>
  <c r="F56" i="38"/>
  <c r="E43" i="38"/>
  <c r="L309" i="35"/>
  <c r="M139" i="35"/>
  <c r="K398" i="38"/>
  <c r="I392" i="38"/>
  <c r="L317" i="35"/>
  <c r="M196" i="35"/>
  <c r="E322" i="38"/>
  <c r="D41" i="38"/>
  <c r="D241" i="38"/>
  <c r="E286" i="38"/>
  <c r="D268" i="38"/>
  <c r="D168" i="38"/>
  <c r="J400" i="38"/>
  <c r="M328" i="35"/>
  <c r="L315" i="35"/>
  <c r="M182" i="35"/>
  <c r="K29" i="35"/>
  <c r="L319" i="35"/>
  <c r="M349" i="35"/>
  <c r="J115" i="35"/>
  <c r="E236" i="38"/>
  <c r="G16" i="38"/>
  <c r="E361" i="38"/>
  <c r="E317" i="38"/>
  <c r="L110" i="35"/>
  <c r="E121" i="38"/>
  <c r="E255" i="38"/>
  <c r="E282" i="38"/>
  <c r="D54" i="38"/>
  <c r="M226" i="35"/>
  <c r="M160" i="35"/>
  <c r="D371" i="38"/>
  <c r="L242" i="35"/>
  <c r="E350" i="38"/>
  <c r="M153" i="35"/>
  <c r="J392" i="38"/>
  <c r="M288" i="35"/>
  <c r="K57" i="35"/>
  <c r="G393" i="38"/>
  <c r="G60" i="38"/>
  <c r="L88" i="35"/>
  <c r="G19" i="38"/>
  <c r="E69" i="38"/>
  <c r="E297" i="38"/>
  <c r="E338" i="38"/>
  <c r="D304" i="38"/>
  <c r="D204" i="38"/>
  <c r="K88" i="35"/>
  <c r="D100" i="38"/>
  <c r="M239" i="35"/>
  <c r="J105" i="35"/>
  <c r="E26" i="38"/>
  <c r="F388" i="38"/>
  <c r="L29" i="35"/>
  <c r="M204" i="35"/>
  <c r="D51" i="38"/>
  <c r="E141" i="38"/>
  <c r="D221" i="38"/>
  <c r="M330" i="35"/>
  <c r="M320" i="35"/>
  <c r="L363" i="35"/>
  <c r="D387" i="38"/>
  <c r="D291" i="38"/>
  <c r="F30" i="38"/>
  <c r="L305" i="35"/>
  <c r="E125" i="38"/>
  <c r="E314" i="38"/>
  <c r="E77" i="38"/>
  <c r="E122" i="38"/>
  <c r="E68" i="38"/>
  <c r="F20" i="38"/>
  <c r="K55" i="35"/>
  <c r="D256" i="38"/>
  <c r="D68" i="38"/>
  <c r="E296" i="38"/>
  <c r="L202" i="35"/>
  <c r="K86" i="35"/>
  <c r="K33" i="35"/>
  <c r="G35" i="38"/>
  <c r="L109" i="35"/>
  <c r="M242" i="35"/>
  <c r="L292" i="35"/>
  <c r="M147" i="35"/>
  <c r="E313" i="38"/>
  <c r="D155" i="38"/>
  <c r="D59" i="38"/>
  <c r="I382" i="38"/>
  <c r="F59" i="38"/>
  <c r="L328" i="35"/>
  <c r="E29" i="38"/>
  <c r="D25" i="38"/>
  <c r="E252" i="38"/>
  <c r="G62" i="38"/>
  <c r="G14" i="38"/>
  <c r="J63" i="35"/>
  <c r="L253" i="35"/>
  <c r="D45" i="38"/>
  <c r="M25" i="35"/>
  <c r="M93" i="35"/>
  <c r="M337" i="35"/>
  <c r="J56" i="35"/>
  <c r="J73" i="35"/>
  <c r="D278" i="38"/>
  <c r="E308" i="38"/>
  <c r="E277" i="38"/>
  <c r="M308" i="35"/>
  <c r="E81" i="38"/>
  <c r="D71" i="38"/>
  <c r="F19" i="38"/>
  <c r="M316" i="35"/>
  <c r="L320" i="35"/>
  <c r="L72" i="35"/>
  <c r="E328" i="38"/>
  <c r="E95" i="38"/>
  <c r="E132" i="38"/>
  <c r="J132" i="35"/>
  <c r="M22" i="37"/>
  <c r="E263" i="38"/>
  <c r="L87" i="35"/>
  <c r="L119" i="35"/>
  <c r="F37" i="38"/>
  <c r="L280" i="35"/>
  <c r="M58" i="35"/>
  <c r="E381" i="38"/>
  <c r="J35" i="35"/>
  <c r="D292" i="38"/>
  <c r="L351" i="35"/>
  <c r="J111" i="35"/>
  <c r="K87" i="35"/>
  <c r="D262" i="38"/>
  <c r="E159" i="38"/>
  <c r="D358" i="38"/>
  <c r="D310" i="38"/>
  <c r="L113" i="35"/>
  <c r="J22" i="37"/>
  <c r="E115" i="38"/>
  <c r="L36" i="35"/>
  <c r="F394" i="38"/>
  <c r="M82" i="35"/>
  <c r="M253" i="35"/>
  <c r="L368" i="35"/>
  <c r="D264" i="38"/>
  <c r="M49" i="35"/>
  <c r="L62" i="35"/>
  <c r="D357" i="38"/>
  <c r="M235" i="35"/>
  <c r="E161" i="38"/>
  <c r="D279" i="38"/>
  <c r="D183" i="38"/>
  <c r="M267" i="35"/>
  <c r="E185" i="38"/>
  <c r="M355" i="35"/>
  <c r="L361" i="35"/>
  <c r="E209" i="38"/>
  <c r="D24" i="38"/>
  <c r="E117" i="38"/>
  <c r="M26" i="35"/>
  <c r="J9" i="35"/>
  <c r="D176" i="38"/>
  <c r="E35" i="38"/>
  <c r="F16" i="38"/>
  <c r="M110" i="35"/>
  <c r="D106" i="38"/>
  <c r="E9" i="38"/>
  <c r="D343" i="38"/>
  <c r="D272" i="38"/>
  <c r="L365" i="35"/>
  <c r="Q6" i="37"/>
  <c r="M314" i="35"/>
  <c r="K12" i="35"/>
  <c r="L91" i="35"/>
  <c r="L325" i="35"/>
  <c r="G391" i="38"/>
  <c r="K46" i="35"/>
  <c r="D174" i="38"/>
  <c r="E50" i="38"/>
  <c r="K85" i="35"/>
  <c r="L84" i="35"/>
  <c r="M298" i="35"/>
  <c r="E250" i="38"/>
  <c r="M40" i="35"/>
  <c r="D356" i="38"/>
  <c r="F4" i="38"/>
  <c r="L144" i="35"/>
  <c r="E142" i="38"/>
  <c r="M22" i="35"/>
  <c r="L11" i="35"/>
  <c r="E17" i="38"/>
  <c r="L375" i="35"/>
  <c r="M97" i="35"/>
  <c r="E57" i="38"/>
  <c r="E398" i="38"/>
  <c r="D158" i="38"/>
  <c r="M83" i="35"/>
  <c r="E320" i="38"/>
  <c r="E222" i="38"/>
  <c r="I386" i="38"/>
  <c r="G17" i="38"/>
  <c r="M243" i="35"/>
  <c r="K41" i="35"/>
  <c r="J2" i="35"/>
  <c r="M150" i="35"/>
  <c r="M340" i="35"/>
  <c r="M294" i="35"/>
  <c r="O22" i="37"/>
  <c r="D232" i="38"/>
  <c r="M209" i="35"/>
  <c r="M124" i="35"/>
  <c r="K28" i="35"/>
  <c r="L333" i="35"/>
  <c r="M135" i="35"/>
  <c r="D220" i="38"/>
  <c r="L163" i="35"/>
  <c r="D313" i="38"/>
  <c r="D266" i="38"/>
  <c r="M177" i="35"/>
  <c r="M148" i="35"/>
  <c r="M128" i="35"/>
  <c r="M171" i="35"/>
  <c r="E385" i="38"/>
  <c r="F383" i="38"/>
  <c r="D123" i="38"/>
  <c r="K131" i="35"/>
  <c r="D170" i="38"/>
  <c r="L85" i="35"/>
  <c r="L359" i="35"/>
  <c r="K102" i="35"/>
  <c r="D348" i="38"/>
  <c r="F51" i="38"/>
  <c r="H393" i="38"/>
  <c r="K59" i="35"/>
  <c r="L376" i="35"/>
  <c r="M231" i="35"/>
  <c r="G382" i="38"/>
  <c r="D319" i="38"/>
  <c r="E164" i="38"/>
  <c r="K39" i="35"/>
  <c r="H383" i="38"/>
  <c r="L63" i="35"/>
  <c r="M305" i="35"/>
  <c r="M249" i="35"/>
  <c r="D363" i="38"/>
  <c r="L303" i="35"/>
  <c r="D148" i="38"/>
  <c r="D379" i="38"/>
  <c r="K22" i="37"/>
  <c r="P18" i="37"/>
  <c r="D265" i="38"/>
  <c r="D198" i="38"/>
  <c r="G59" i="38"/>
  <c r="D215" i="38"/>
  <c r="D333" i="38"/>
  <c r="J112" i="35"/>
  <c r="J42" i="35"/>
  <c r="O8" i="37"/>
  <c r="D384" i="38"/>
  <c r="D86" i="38"/>
  <c r="E323" i="38"/>
  <c r="E318" i="38"/>
  <c r="D276" i="38"/>
  <c r="L285" i="35"/>
  <c r="D186" i="38"/>
  <c r="F15" i="38"/>
  <c r="L171" i="35"/>
  <c r="M278" i="35"/>
  <c r="L207" i="35"/>
  <c r="E254" i="38"/>
  <c r="H399" i="38"/>
  <c r="D332" i="38"/>
  <c r="G52" i="38"/>
  <c r="J5" i="37"/>
  <c r="M63" i="35"/>
  <c r="H382" i="38"/>
  <c r="E219" i="38"/>
  <c r="M356" i="35"/>
  <c r="D76" i="38"/>
  <c r="G46" i="38"/>
  <c r="M261" i="35"/>
  <c r="P20" i="37"/>
  <c r="M137" i="35"/>
  <c r="J106" i="35"/>
  <c r="D336" i="38"/>
  <c r="E90" i="38"/>
  <c r="E165" i="38"/>
  <c r="J107" i="35"/>
  <c r="D247" i="38"/>
  <c r="E89" i="38"/>
  <c r="E10" i="38"/>
  <c r="L203" i="35"/>
  <c r="L16" i="35"/>
  <c r="E154" i="38"/>
  <c r="K72" i="35"/>
  <c r="D296" i="38"/>
  <c r="O20" i="37"/>
  <c r="J16" i="35"/>
  <c r="E383" i="38"/>
  <c r="K91" i="35"/>
  <c r="D135" i="38"/>
  <c r="D236" i="38"/>
  <c r="L80" i="35"/>
  <c r="D132" i="38"/>
  <c r="J390" i="38"/>
  <c r="K402" i="38"/>
  <c r="G394" i="38"/>
  <c r="D166" i="38"/>
  <c r="M175" i="35"/>
  <c r="L17" i="35"/>
  <c r="L146" i="35"/>
  <c r="J128" i="35"/>
  <c r="L96" i="35"/>
  <c r="D182" i="38"/>
  <c r="D187" i="38"/>
  <c r="L35" i="35"/>
  <c r="L238" i="35"/>
  <c r="D145" i="38"/>
  <c r="M358" i="35"/>
  <c r="K382" i="38"/>
  <c r="M221" i="35"/>
  <c r="G44" i="38"/>
  <c r="D206" i="38"/>
  <c r="K117" i="35"/>
  <c r="M98" i="35"/>
  <c r="E304" i="38"/>
  <c r="D195" i="38"/>
  <c r="K124" i="35"/>
  <c r="G34" i="38"/>
  <c r="K64" i="35"/>
  <c r="E225" i="38"/>
  <c r="M255" i="35"/>
  <c r="L208" i="35"/>
  <c r="J98" i="35"/>
  <c r="L136" i="35"/>
  <c r="E294" i="38"/>
  <c r="L274" i="35"/>
  <c r="E74" i="38"/>
  <c r="J36" i="35"/>
  <c r="L230" i="35"/>
  <c r="M154" i="35"/>
  <c r="E386" i="38"/>
  <c r="P23" i="37"/>
  <c r="L200" i="35"/>
  <c r="D338" i="38"/>
  <c r="J78" i="35"/>
  <c r="K386" i="38"/>
  <c r="I391" i="38"/>
  <c r="K20" i="35"/>
  <c r="F25" i="38"/>
  <c r="M371" i="35"/>
  <c r="D147" i="38"/>
  <c r="K387" i="38"/>
  <c r="D288" i="38"/>
  <c r="M3" i="35"/>
  <c r="M200" i="35"/>
  <c r="E66" i="38"/>
  <c r="E238" i="38"/>
  <c r="E319" i="38"/>
  <c r="L101" i="35"/>
  <c r="L159" i="35"/>
  <c r="G33" i="38"/>
  <c r="M375" i="35"/>
  <c r="H398" i="38"/>
  <c r="E3" i="38"/>
  <c r="M210" i="35"/>
  <c r="K392" i="38"/>
  <c r="J125" i="35"/>
  <c r="D34" i="38"/>
  <c r="L53" i="35"/>
  <c r="J45" i="35"/>
  <c r="M285" i="35"/>
  <c r="L324" i="35"/>
  <c r="E244" i="38"/>
  <c r="D2" i="38"/>
  <c r="K17" i="35"/>
  <c r="I383" i="38"/>
  <c r="D345" i="38"/>
  <c r="E118" i="38"/>
  <c r="E126" i="38"/>
  <c r="M379" i="35"/>
  <c r="D390" i="38"/>
  <c r="J96" i="35"/>
  <c r="J31" i="35"/>
  <c r="D153" i="38"/>
  <c r="E143" i="38"/>
  <c r="D134" i="38"/>
  <c r="M325" i="35"/>
  <c r="D280" i="38"/>
  <c r="D372" i="38"/>
  <c r="M162" i="35"/>
  <c r="D258" i="38"/>
  <c r="J129" i="35"/>
  <c r="L296" i="35"/>
  <c r="G402" i="38"/>
  <c r="L291" i="35"/>
  <c r="E367" i="38"/>
  <c r="H401" i="38"/>
  <c r="K54" i="35"/>
  <c r="F64" i="38"/>
  <c r="K71" i="35"/>
  <c r="M168" i="35"/>
  <c r="J91" i="35"/>
  <c r="M369" i="35"/>
  <c r="M246" i="35"/>
  <c r="E172" i="38"/>
  <c r="F34" i="38"/>
  <c r="D38" i="38"/>
  <c r="M54" i="35"/>
  <c r="L16" i="37"/>
  <c r="M197" i="35"/>
  <c r="J8" i="37"/>
  <c r="J27" i="35"/>
  <c r="L7" i="37"/>
  <c r="F2" i="38"/>
  <c r="O17" i="37"/>
  <c r="D361" i="38"/>
  <c r="D141" i="38"/>
  <c r="D117" i="38"/>
  <c r="D74" i="38"/>
  <c r="L271" i="35"/>
  <c r="E264" i="38"/>
  <c r="E87" i="38"/>
  <c r="D140" i="38"/>
  <c r="E265" i="38"/>
  <c r="D216" i="38"/>
  <c r="E151" i="38"/>
  <c r="L92" i="35"/>
  <c r="L364" i="35"/>
  <c r="D103" i="38"/>
  <c r="D263" i="38"/>
  <c r="E345" i="38"/>
  <c r="H394" i="38"/>
  <c r="D271" i="38"/>
  <c r="I385" i="38"/>
  <c r="E130" i="38"/>
  <c r="M190" i="35"/>
  <c r="E371" i="38"/>
  <c r="E330" i="38"/>
  <c r="E300" i="38"/>
  <c r="D320" i="38"/>
  <c r="K62" i="35"/>
  <c r="O7" i="37"/>
  <c r="E249" i="38"/>
  <c r="L214" i="35"/>
  <c r="K52" i="35"/>
  <c r="D119" i="38"/>
  <c r="G48" i="38"/>
  <c r="D293" i="38"/>
  <c r="J12" i="35"/>
  <c r="Q4" i="37"/>
  <c r="L331" i="35"/>
  <c r="M366" i="35"/>
  <c r="E267" i="38"/>
  <c r="M257" i="35"/>
  <c r="E100" i="38"/>
  <c r="J4" i="35"/>
  <c r="H381" i="38"/>
  <c r="L28" i="35"/>
  <c r="D283" i="38"/>
  <c r="F12" i="38"/>
  <c r="D8" i="38"/>
  <c r="E226" i="38"/>
  <c r="E193" i="38"/>
  <c r="K98" i="35"/>
  <c r="L90" i="35"/>
  <c r="D269" i="38"/>
  <c r="D344" i="38"/>
  <c r="G66" i="38"/>
  <c r="E227" i="38"/>
  <c r="E103" i="38"/>
  <c r="L180" i="35"/>
  <c r="F382" i="38"/>
  <c r="O14" i="37"/>
  <c r="E341" i="38"/>
  <c r="L379" i="35"/>
  <c r="L329" i="35"/>
  <c r="E23" i="38"/>
  <c r="D23" i="38"/>
  <c r="J23" i="37"/>
  <c r="D308" i="38"/>
  <c r="D184" i="38"/>
  <c r="J30" i="35"/>
  <c r="M277" i="35"/>
  <c r="G47" i="38"/>
  <c r="L73" i="35"/>
  <c r="L259" i="35"/>
  <c r="J86" i="35"/>
  <c r="L70" i="35"/>
  <c r="N10" i="37"/>
  <c r="D82" i="38"/>
  <c r="D211" i="38"/>
  <c r="K75" i="35"/>
  <c r="F22" i="38"/>
  <c r="D157" i="38"/>
  <c r="M149" i="35"/>
  <c r="Q22" i="37"/>
  <c r="D75" i="38"/>
  <c r="G64" i="38"/>
  <c r="F28" i="38"/>
  <c r="K21" i="35"/>
  <c r="L244" i="35"/>
  <c r="E114" i="38"/>
  <c r="D367" i="38"/>
  <c r="G27" i="38"/>
  <c r="L57" i="35"/>
  <c r="J58" i="35"/>
  <c r="L2" i="35"/>
  <c r="I387" i="38"/>
  <c r="L354" i="35"/>
  <c r="G3" i="38"/>
  <c r="M32" i="35"/>
  <c r="E108" i="38"/>
  <c r="M378" i="35"/>
  <c r="K385" i="38"/>
  <c r="K37" i="35"/>
  <c r="L343" i="35"/>
  <c r="M86" i="35"/>
  <c r="F17" i="38"/>
  <c r="M163" i="35"/>
  <c r="D331" i="38"/>
  <c r="K11" i="35"/>
  <c r="N19" i="37"/>
  <c r="D139" i="38"/>
  <c r="D150" i="38"/>
  <c r="L332" i="35"/>
  <c r="E105" i="38"/>
  <c r="L195" i="35"/>
  <c r="J394" i="38"/>
  <c r="D225" i="38"/>
  <c r="D15" i="38"/>
  <c r="E182" i="38"/>
  <c r="M346" i="35"/>
  <c r="E31" i="38"/>
  <c r="D374" i="38"/>
  <c r="E171" i="38"/>
  <c r="E397" i="38"/>
  <c r="K24" i="37"/>
  <c r="L344" i="35"/>
  <c r="L194" i="35"/>
  <c r="M354" i="35"/>
  <c r="E28" i="38"/>
  <c r="L60" i="35"/>
  <c r="K21" i="37"/>
  <c r="D84" i="38"/>
  <c r="J61" i="35"/>
  <c r="K116" i="35"/>
  <c r="F401" i="38"/>
  <c r="M324" i="35"/>
  <c r="M347" i="35"/>
  <c r="E210" i="38"/>
  <c r="D70" i="38"/>
  <c r="D36" i="38"/>
  <c r="F21" i="38"/>
  <c r="G10" i="38"/>
  <c r="G11" i="38"/>
  <c r="D199" i="38"/>
  <c r="D360" i="38"/>
  <c r="E402" i="38"/>
  <c r="D389" i="38"/>
  <c r="D295" i="38"/>
  <c r="J34" i="35"/>
  <c r="E370" i="38"/>
  <c r="M44" i="35"/>
  <c r="L277" i="35"/>
  <c r="J10" i="35"/>
  <c r="D396" i="38"/>
  <c r="E344" i="38"/>
  <c r="G381" i="38"/>
  <c r="D321" i="38"/>
  <c r="D290" i="38"/>
  <c r="F36" i="38"/>
  <c r="J19" i="35"/>
  <c r="L378" i="35"/>
  <c r="E204" i="38"/>
  <c r="K389" i="38"/>
  <c r="J110" i="35"/>
  <c r="E102" i="38"/>
  <c r="M100" i="35"/>
  <c r="J60" i="35"/>
  <c r="L128" i="35"/>
  <c r="L157" i="35"/>
  <c r="E196" i="38"/>
  <c r="K115" i="35"/>
  <c r="G386" i="38"/>
  <c r="K56" i="35"/>
  <c r="M272" i="35"/>
  <c r="E94" i="38"/>
  <c r="E384" i="38"/>
  <c r="E311" i="38"/>
  <c r="D373" i="38"/>
  <c r="K6" i="35"/>
  <c r="M205" i="35"/>
  <c r="E21" i="38"/>
  <c r="G67" i="38"/>
  <c r="E110" i="38"/>
  <c r="L366" i="35"/>
  <c r="D191" i="38"/>
  <c r="D13" i="38"/>
  <c r="K83" i="35"/>
  <c r="E358" i="38"/>
  <c r="L9" i="37"/>
  <c r="E293" i="38"/>
  <c r="M64" i="35"/>
  <c r="M78" i="35"/>
  <c r="E271" i="38"/>
  <c r="F400" i="38"/>
  <c r="O23" i="37"/>
  <c r="D208" i="38"/>
  <c r="F67" i="38"/>
  <c r="M353" i="35"/>
  <c r="I402" i="38"/>
  <c r="E315" i="38"/>
  <c r="M352" i="35"/>
  <c r="D124" i="38"/>
  <c r="L286" i="35"/>
  <c r="D237" i="38"/>
  <c r="M66" i="35"/>
  <c r="E307" i="38"/>
  <c r="K395" i="38"/>
  <c r="F58" i="38"/>
  <c r="E266" i="38"/>
  <c r="E205" i="38"/>
  <c r="D180" i="38"/>
  <c r="D99" i="38"/>
  <c r="Q2" i="37"/>
  <c r="E30" i="38"/>
  <c r="L74" i="35"/>
  <c r="D275" i="38"/>
  <c r="E290" i="38"/>
  <c r="D248" i="38"/>
  <c r="G39" i="38"/>
  <c r="J48" i="35"/>
  <c r="M338" i="35"/>
  <c r="M377" i="35"/>
  <c r="K130" i="35"/>
  <c r="L336" i="35"/>
  <c r="D43" i="38"/>
  <c r="G28" i="38"/>
  <c r="D156" i="38"/>
  <c r="F385" i="38"/>
  <c r="E129" i="38"/>
  <c r="M220" i="35"/>
  <c r="D395" i="38"/>
  <c r="M23" i="35"/>
  <c r="L188" i="35"/>
  <c r="K127" i="35"/>
  <c r="D355" i="38"/>
  <c r="N9" i="37"/>
  <c r="D254" i="38"/>
  <c r="E235" i="38"/>
  <c r="E174" i="38"/>
  <c r="M322" i="35"/>
  <c r="E58" i="38"/>
  <c r="E153" i="38"/>
  <c r="J64" i="35"/>
  <c r="J87" i="35"/>
  <c r="D196" i="38"/>
  <c r="D246" i="38"/>
  <c r="L184" i="35"/>
  <c r="M121" i="35"/>
  <c r="E55" i="38"/>
  <c r="D219" i="38"/>
  <c r="M158" i="35"/>
  <c r="D16" i="38"/>
  <c r="E44" i="38"/>
  <c r="E359" i="38"/>
  <c r="L118" i="35"/>
  <c r="M118" i="35"/>
  <c r="K60" i="35"/>
  <c r="M310" i="35"/>
  <c r="D284" i="38"/>
  <c r="F40" i="38"/>
  <c r="F389" i="38"/>
  <c r="J49" i="35"/>
  <c r="L12" i="35"/>
  <c r="L362" i="35"/>
  <c r="M107" i="35"/>
  <c r="J395" i="38"/>
  <c r="F57" i="38"/>
  <c r="D259" i="38"/>
  <c r="L374" i="35"/>
  <c r="D97" i="38"/>
  <c r="D353" i="38"/>
  <c r="H389" i="38"/>
  <c r="D242" i="38"/>
  <c r="D149" i="38"/>
  <c r="J24" i="35"/>
  <c r="J100" i="35"/>
  <c r="J94" i="35"/>
  <c r="D40" i="38"/>
  <c r="M13" i="37"/>
  <c r="J89" i="35"/>
  <c r="K9" i="37"/>
  <c r="K43" i="35"/>
  <c r="K95" i="35"/>
  <c r="O16" i="37"/>
  <c r="J41" i="35"/>
  <c r="K8" i="37"/>
  <c r="G392" i="38"/>
  <c r="L318" i="35"/>
  <c r="E275" i="38"/>
  <c r="K27" i="35"/>
  <c r="J113" i="35"/>
  <c r="Q17" i="37"/>
  <c r="D89" i="38"/>
  <c r="O5" i="37"/>
  <c r="D222" i="38"/>
  <c r="G38" i="38"/>
  <c r="F26" i="38"/>
  <c r="J117" i="35"/>
  <c r="Q9" i="37"/>
  <c r="M216" i="35"/>
  <c r="Q13" i="37"/>
  <c r="F50" i="38"/>
  <c r="O13" i="37"/>
  <c r="D398" i="38"/>
  <c r="J118" i="35"/>
  <c r="Q8" i="37"/>
  <c r="K100" i="35"/>
  <c r="K19" i="37"/>
  <c r="E278" i="38"/>
  <c r="G22" i="38"/>
  <c r="F63" i="38"/>
  <c r="D302" i="38"/>
  <c r="J52" i="35"/>
  <c r="J108" i="35"/>
  <c r="L21" i="37"/>
  <c r="E78" i="38"/>
  <c r="G37" i="38"/>
  <c r="G25" i="38"/>
  <c r="M198" i="35"/>
  <c r="Q16" i="37"/>
  <c r="F390" i="38"/>
  <c r="P16" i="37"/>
  <c r="D270" i="38"/>
  <c r="K68" i="35"/>
  <c r="M359" i="35"/>
  <c r="J93" i="35"/>
  <c r="E285" i="38"/>
  <c r="O11" i="37"/>
  <c r="E373" i="38"/>
  <c r="J124" i="35"/>
  <c r="L24" i="35"/>
  <c r="D12" i="38"/>
  <c r="I398" i="38"/>
  <c r="L313" i="35"/>
  <c r="P15" i="37"/>
  <c r="E145" i="38"/>
  <c r="M15" i="37"/>
  <c r="K8" i="35"/>
  <c r="J127" i="35"/>
  <c r="E70" i="38"/>
  <c r="M12" i="37"/>
  <c r="J29" i="35"/>
  <c r="Q14" i="37"/>
  <c r="J396" i="38"/>
  <c r="N11" i="37"/>
  <c r="P24" i="37"/>
  <c r="D165" i="38"/>
  <c r="M7" i="37"/>
  <c r="G396" i="38"/>
  <c r="E45" i="38"/>
  <c r="D144" i="38"/>
  <c r="D250" i="38"/>
  <c r="D95" i="38"/>
  <c r="P12" i="37"/>
  <c r="D159" i="38"/>
  <c r="L164" i="35"/>
  <c r="M117" i="35"/>
  <c r="Q3" i="37"/>
  <c r="F61" i="38"/>
  <c r="G2" i="38"/>
  <c r="L131" i="35"/>
  <c r="K114" i="35"/>
  <c r="L8" i="37"/>
  <c r="E342" i="38"/>
  <c r="D318" i="38"/>
  <c r="D249" i="38"/>
  <c r="K20" i="37"/>
  <c r="K397" i="38"/>
  <c r="D340" i="38"/>
  <c r="I393" i="38"/>
  <c r="M345" i="35"/>
  <c r="D167" i="38"/>
  <c r="D105" i="38"/>
  <c r="J402" i="38"/>
  <c r="K84" i="35"/>
  <c r="J39" i="35"/>
  <c r="M276" i="35"/>
  <c r="P7" i="37"/>
  <c r="P19" i="37"/>
  <c r="D301" i="38"/>
  <c r="K30" i="35"/>
  <c r="M24" i="37"/>
  <c r="M108" i="35"/>
  <c r="E375" i="38"/>
  <c r="M99" i="35"/>
  <c r="K18" i="35"/>
  <c r="H380" i="38"/>
  <c r="E42" i="38"/>
  <c r="E4" i="38"/>
  <c r="E54" i="38"/>
  <c r="K94" i="35"/>
  <c r="M111" i="35"/>
  <c r="K22" i="35"/>
  <c r="L47" i="35"/>
  <c r="L138" i="35"/>
  <c r="D218" i="38"/>
  <c r="D194" i="38"/>
  <c r="K66" i="35"/>
  <c r="M19" i="35"/>
  <c r="O6" i="37"/>
  <c r="J9" i="37"/>
  <c r="D261" i="38"/>
  <c r="J82" i="35"/>
  <c r="E206" i="38"/>
  <c r="D11" i="38"/>
  <c r="K391" i="38"/>
  <c r="L95" i="35"/>
  <c r="E162" i="38"/>
  <c r="E15" i="38"/>
  <c r="K73" i="35"/>
  <c r="P10" i="37"/>
  <c r="D173" i="38"/>
  <c r="J37" i="35"/>
  <c r="D306" i="38"/>
  <c r="D90" i="38"/>
  <c r="D66" i="38"/>
  <c r="J7" i="35"/>
  <c r="M41" i="35"/>
  <c r="F380" i="38"/>
  <c r="K58" i="35"/>
  <c r="M304" i="35"/>
  <c r="D210" i="38"/>
  <c r="G389" i="38"/>
  <c r="J75" i="35"/>
  <c r="K16" i="35"/>
  <c r="N16" i="37"/>
  <c r="J103" i="35"/>
  <c r="E13" i="38"/>
  <c r="D402" i="38"/>
  <c r="D337" i="38"/>
  <c r="O19" i="37"/>
  <c r="L273" i="35"/>
  <c r="K89" i="35"/>
  <c r="D112" i="38"/>
  <c r="K108" i="35"/>
  <c r="H386" i="38"/>
  <c r="K13" i="35"/>
  <c r="H396" i="38"/>
  <c r="L45" i="35"/>
  <c r="Q23" i="37"/>
  <c r="J67" i="35"/>
  <c r="M302" i="35"/>
  <c r="L12" i="37"/>
  <c r="D277" i="38"/>
  <c r="D185" i="38"/>
  <c r="F49" i="38"/>
  <c r="G30" i="38"/>
  <c r="L5" i="37"/>
  <c r="M134" i="35"/>
  <c r="F381" i="38"/>
  <c r="K121" i="35"/>
  <c r="M260" i="35"/>
  <c r="G13" i="38"/>
  <c r="G29" i="38"/>
  <c r="G58" i="38"/>
  <c r="M20" i="37"/>
  <c r="D163" i="38"/>
  <c r="I396" i="38"/>
  <c r="M290" i="35"/>
  <c r="L300" i="35"/>
  <c r="D10" i="38"/>
  <c r="K103" i="35"/>
  <c r="K4" i="35"/>
  <c r="D253" i="38"/>
  <c r="P2" i="37"/>
  <c r="M2" i="37"/>
  <c r="E170" i="38"/>
  <c r="E146" i="38"/>
  <c r="D77" i="38"/>
  <c r="D72" i="38"/>
  <c r="D391" i="38"/>
  <c r="D164" i="38"/>
  <c r="L19" i="37"/>
  <c r="J32" i="35"/>
  <c r="D143" i="38"/>
  <c r="D394" i="38"/>
  <c r="M10" i="37"/>
  <c r="O21" i="37"/>
  <c r="M6" i="37"/>
  <c r="J43" i="35"/>
  <c r="K93" i="35"/>
  <c r="F402" i="38"/>
  <c r="D125" i="38"/>
  <c r="L20" i="37"/>
  <c r="I400" i="38"/>
  <c r="M245" i="35"/>
  <c r="D203" i="38"/>
  <c r="F398" i="38"/>
  <c r="M306" i="35"/>
  <c r="D161" i="38"/>
  <c r="D118" i="38"/>
  <c r="O4" i="37"/>
  <c r="K13" i="37"/>
  <c r="I390" i="38"/>
  <c r="J120" i="35"/>
  <c r="G5" i="38"/>
  <c r="K45" i="35"/>
  <c r="L227" i="35"/>
  <c r="P4" i="37"/>
  <c r="D294" i="38"/>
  <c r="N12" i="37"/>
  <c r="G18" i="38"/>
  <c r="J99" i="35"/>
  <c r="K78" i="35"/>
  <c r="G385" i="38"/>
  <c r="J15" i="37"/>
  <c r="D50" i="38"/>
  <c r="D392" i="38"/>
  <c r="J25" i="35"/>
  <c r="J391" i="38"/>
  <c r="F46" i="38"/>
  <c r="D400" i="38"/>
  <c r="K17" i="37"/>
  <c r="D81" i="38"/>
  <c r="N2" i="37"/>
  <c r="L233" i="35"/>
  <c r="G4" i="38"/>
  <c r="L17" i="37"/>
  <c r="E166" i="38"/>
  <c r="J7" i="37"/>
  <c r="J383" i="38"/>
  <c r="L23" i="37"/>
  <c r="F5" i="38"/>
  <c r="L243" i="35"/>
  <c r="E310" i="38"/>
  <c r="K110" i="35"/>
  <c r="J74" i="35"/>
  <c r="L67" i="35"/>
  <c r="D104" i="38"/>
  <c r="K129" i="35"/>
  <c r="E401" i="38"/>
  <c r="F53" i="38"/>
  <c r="J54" i="35"/>
  <c r="D350" i="38"/>
  <c r="K23" i="37"/>
  <c r="Q15" i="37"/>
  <c r="D142" i="38"/>
  <c r="F384" i="38"/>
  <c r="K10" i="37"/>
  <c r="J88" i="35"/>
  <c r="N20" i="37"/>
  <c r="K399" i="38"/>
  <c r="Q12" i="37"/>
  <c r="P9" i="37"/>
  <c r="L83" i="35"/>
  <c r="K4" i="37"/>
  <c r="D101" i="38"/>
  <c r="D346" i="38"/>
  <c r="D322" i="38"/>
  <c r="J14" i="35"/>
  <c r="D64" i="38"/>
  <c r="K19" i="35"/>
  <c r="K92" i="35"/>
  <c r="D96" i="38"/>
  <c r="J397" i="38"/>
  <c r="D129" i="38"/>
  <c r="L81" i="35"/>
  <c r="L68" i="35"/>
  <c r="J69" i="35"/>
  <c r="K44" i="35"/>
  <c r="F9" i="38"/>
  <c r="N6" i="37"/>
  <c r="D325" i="38"/>
  <c r="D309" i="38"/>
  <c r="J119" i="35"/>
  <c r="E364" i="38"/>
  <c r="D120" i="38"/>
  <c r="N7" i="37"/>
  <c r="I394" i="38"/>
  <c r="M6" i="35"/>
  <c r="M311" i="35"/>
  <c r="N8" i="37"/>
  <c r="J101" i="35"/>
  <c r="J126" i="35"/>
  <c r="L260" i="35"/>
  <c r="M141" i="35"/>
  <c r="L219" i="35"/>
  <c r="D60" i="38"/>
  <c r="K26" i="35"/>
  <c r="M18" i="35"/>
  <c r="D399" i="38"/>
  <c r="J116" i="35"/>
  <c r="M333" i="35"/>
  <c r="D114" i="38"/>
  <c r="O2" i="37"/>
  <c r="E41" i="38"/>
  <c r="E22" i="38"/>
  <c r="L15" i="35"/>
  <c r="J6" i="35"/>
  <c r="E24" i="38"/>
  <c r="G398" i="38"/>
  <c r="F45" i="38"/>
  <c r="J387" i="38"/>
  <c r="K81" i="35"/>
  <c r="K401" i="38"/>
  <c r="D154" i="38"/>
  <c r="J95" i="35"/>
  <c r="F392" i="38"/>
  <c r="M363" i="35"/>
  <c r="K51" i="35"/>
  <c r="E61" i="38"/>
  <c r="G401" i="38"/>
  <c r="D381" i="38"/>
  <c r="D62" i="38"/>
  <c r="E256" i="38"/>
  <c r="D39" i="38"/>
  <c r="J21" i="37"/>
  <c r="D273" i="38"/>
  <c r="D245" i="38"/>
  <c r="D202" i="38"/>
  <c r="O10" i="37"/>
  <c r="M4" i="37"/>
  <c r="Q24" i="37"/>
  <c r="I401" i="38"/>
  <c r="D46" i="38"/>
  <c r="D257" i="38"/>
  <c r="K400" i="38"/>
  <c r="L94" i="35"/>
  <c r="L6" i="37"/>
  <c r="D213" i="38"/>
  <c r="Q21" i="37"/>
  <c r="K50" i="35"/>
  <c r="K77" i="35"/>
  <c r="Q11" i="37"/>
  <c r="E49" i="38"/>
  <c r="L13" i="37"/>
  <c r="L272" i="35"/>
  <c r="E362" i="38"/>
  <c r="D14" i="38"/>
  <c r="E6" i="38"/>
  <c r="J131" i="35"/>
  <c r="M269" i="35"/>
  <c r="M14" i="37"/>
  <c r="M3" i="37"/>
  <c r="L346" i="35"/>
  <c r="P13" i="37"/>
  <c r="J47" i="35"/>
  <c r="D3" i="38"/>
  <c r="P17" i="37"/>
  <c r="F66" i="38"/>
  <c r="L372" i="35"/>
  <c r="D377" i="38"/>
  <c r="N18" i="37"/>
  <c r="K125" i="35"/>
  <c r="L115" i="35"/>
  <c r="E18" i="38"/>
  <c r="M21" i="37"/>
  <c r="J122" i="35"/>
  <c r="M157" i="35"/>
  <c r="L14" i="37"/>
  <c r="D349" i="38"/>
  <c r="H402" i="38"/>
  <c r="J77" i="35"/>
  <c r="J393" i="38"/>
  <c r="D9" i="38"/>
  <c r="E329" i="38"/>
  <c r="L18" i="37"/>
  <c r="Q10" i="37"/>
  <c r="D233" i="38"/>
  <c r="D188" i="38"/>
  <c r="N3" i="37"/>
  <c r="J33" i="35"/>
  <c r="E33" i="38"/>
  <c r="H397" i="38"/>
  <c r="K36" i="35"/>
  <c r="J8" i="35"/>
  <c r="O18" i="37"/>
  <c r="L2" i="37"/>
  <c r="E221" i="38"/>
  <c r="E197" i="38"/>
  <c r="K53" i="35"/>
  <c r="E128" i="38"/>
  <c r="D243" i="38"/>
  <c r="D227" i="38"/>
  <c r="K16" i="37"/>
  <c r="K383" i="38"/>
  <c r="E214" i="38"/>
  <c r="D190" i="38"/>
  <c r="D121" i="38"/>
  <c r="K6" i="37"/>
  <c r="K90" i="35"/>
  <c r="Q20" i="37"/>
  <c r="F42" i="38"/>
  <c r="M176" i="35"/>
  <c r="D126" i="38"/>
  <c r="E390" i="38"/>
  <c r="E366" i="38"/>
  <c r="J68" i="35"/>
  <c r="M16" i="37"/>
  <c r="N4" i="37"/>
  <c r="F387" i="38"/>
  <c r="K380" i="38"/>
  <c r="J38" i="35"/>
  <c r="P14" i="37"/>
  <c r="D136" i="38"/>
  <c r="G388" i="38"/>
  <c r="P11" i="37"/>
  <c r="E334" i="38"/>
  <c r="E27" i="38"/>
  <c r="L24" i="37"/>
  <c r="L261" i="35"/>
  <c r="D365" i="38"/>
  <c r="L3" i="37"/>
  <c r="F41" i="38"/>
  <c r="E262" i="38"/>
  <c r="D238" i="38"/>
  <c r="K35" i="35"/>
  <c r="M11" i="37"/>
  <c r="E85" i="38"/>
  <c r="J102" i="35"/>
  <c r="J109" i="35"/>
  <c r="D382" i="38"/>
  <c r="D317" i="38"/>
  <c r="M5" i="37"/>
  <c r="L69" i="35"/>
  <c r="J130" i="35"/>
  <c r="N15" i="37"/>
  <c r="E137" i="38"/>
  <c r="E113" i="38"/>
  <c r="L223" i="35"/>
  <c r="L4" i="37"/>
  <c r="Q5" i="37"/>
  <c r="G54" i="38"/>
  <c r="J10" i="37"/>
  <c r="L22" i="37"/>
  <c r="J133" i="35"/>
  <c r="N21" i="37"/>
  <c r="D393" i="38"/>
  <c r="K2" i="37"/>
  <c r="I384" i="38"/>
  <c r="K9" i="35"/>
  <c r="J15" i="35"/>
  <c r="D29" i="38"/>
  <c r="N13" i="37"/>
  <c r="M17" i="37"/>
  <c r="K112" i="35"/>
  <c r="J22" i="35"/>
  <c r="D282" i="38"/>
  <c r="M258" i="35"/>
  <c r="M34" i="35"/>
  <c r="D386" i="38"/>
  <c r="E160" i="38"/>
  <c r="K18" i="37"/>
  <c r="M21" i="35"/>
  <c r="J388" i="38"/>
  <c r="M339" i="35"/>
  <c r="L143" i="35"/>
  <c r="M19" i="37"/>
  <c r="D217" i="38"/>
  <c r="J3" i="37"/>
  <c r="E229" i="38"/>
  <c r="E84" i="38"/>
  <c r="G63" i="38"/>
  <c r="L179" i="35"/>
  <c r="M364" i="35"/>
  <c r="E333" i="38"/>
  <c r="F399" i="38"/>
  <c r="L225" i="35"/>
  <c r="J66" i="35"/>
  <c r="M87" i="35"/>
  <c r="J44" i="35"/>
  <c r="J17" i="35"/>
  <c r="L49" i="35"/>
  <c r="F396" i="38"/>
  <c r="E357" i="38"/>
  <c r="M92" i="35"/>
  <c r="M252" i="35"/>
  <c r="L370" i="35"/>
  <c r="J385" i="38"/>
  <c r="G395" i="38"/>
  <c r="K11" i="37"/>
  <c r="D378" i="38"/>
  <c r="D351" i="38"/>
  <c r="D58" i="38"/>
  <c r="J57" i="35"/>
  <c r="K2" i="35"/>
  <c r="G397" i="38"/>
  <c r="M186" i="35"/>
  <c r="G399" i="38"/>
  <c r="L254" i="35"/>
  <c r="F393" i="38"/>
  <c r="M38" i="35"/>
  <c r="D226" i="38"/>
  <c r="K69" i="35"/>
  <c r="M265" i="35"/>
  <c r="K126" i="35"/>
  <c r="M334" i="35"/>
  <c r="J13" i="35"/>
  <c r="K76" i="35"/>
  <c r="M2" i="35"/>
  <c r="D130" i="38"/>
  <c r="J23" i="35"/>
  <c r="L327" i="35"/>
  <c r="P8" i="37"/>
  <c r="F391" i="38"/>
  <c r="E298" i="38"/>
  <c r="E274" i="38"/>
  <c r="D205" i="38"/>
  <c r="P6" i="37"/>
  <c r="J21" i="35"/>
  <c r="M91" i="35"/>
  <c r="E98" i="38"/>
  <c r="I380" i="38"/>
  <c r="M31" i="35"/>
  <c r="L295" i="35"/>
  <c r="D109" i="38"/>
  <c r="G387" i="38"/>
  <c r="K15" i="35"/>
  <c r="K12" i="37"/>
  <c r="I399" i="38"/>
  <c r="K128" i="35"/>
  <c r="J13" i="37"/>
  <c r="D305" i="38"/>
  <c r="L11" i="37"/>
  <c r="D17" i="38"/>
  <c r="E260" i="38"/>
  <c r="H391" i="38"/>
  <c r="J401" i="38"/>
  <c r="J70" i="35"/>
  <c r="K120" i="35"/>
  <c r="M142" i="35"/>
  <c r="L33" i="35"/>
  <c r="N22" i="37"/>
  <c r="M332" i="35"/>
  <c r="K123" i="35"/>
  <c r="E269" i="38"/>
  <c r="E241" i="38"/>
  <c r="L301" i="35"/>
  <c r="J6" i="37"/>
  <c r="E158" i="38"/>
  <c r="J2" i="37"/>
  <c r="E65" i="38"/>
  <c r="J83" i="35"/>
  <c r="M187" i="35"/>
  <c r="M199" i="35"/>
  <c r="D169" i="38"/>
  <c r="E201" i="38"/>
  <c r="K3" i="37"/>
  <c r="D178" i="38"/>
  <c r="M307" i="35"/>
  <c r="E305" i="38"/>
  <c r="K393" i="38"/>
  <c r="D335" i="38"/>
  <c r="D314" i="38"/>
  <c r="I397" i="38"/>
  <c r="D223" i="38"/>
  <c r="L281" i="35"/>
  <c r="O3" i="37"/>
  <c r="K23" i="35"/>
  <c r="D289" i="38"/>
  <c r="J16" i="37"/>
  <c r="E53" i="38"/>
  <c r="O24" i="37"/>
  <c r="E106" i="38"/>
  <c r="F10" i="38"/>
  <c r="E212" i="38"/>
  <c r="K38" i="35"/>
  <c r="D189" i="38"/>
  <c r="D311" i="38"/>
  <c r="K97" i="35"/>
  <c r="K32" i="35"/>
  <c r="J80" i="35"/>
  <c r="I395" i="38"/>
  <c r="I389" i="38"/>
  <c r="N17" i="37"/>
  <c r="D297" i="38"/>
  <c r="Q18" i="37"/>
  <c r="K111" i="35"/>
  <c r="J384" i="38"/>
  <c r="L236" i="35"/>
  <c r="D251" i="38"/>
  <c r="J65" i="35"/>
  <c r="M18" i="37"/>
  <c r="D286" i="38"/>
  <c r="M9" i="37"/>
  <c r="D193" i="38"/>
  <c r="E150" i="38"/>
  <c r="M8" i="37"/>
  <c r="K40" i="35"/>
  <c r="J12" i="37"/>
  <c r="J24" i="37"/>
  <c r="K99" i="35"/>
  <c r="J399" i="38"/>
  <c r="F14" i="38"/>
  <c r="G6" i="38"/>
  <c r="E326" i="38"/>
  <c r="K7" i="37"/>
  <c r="K61" i="35"/>
  <c r="O15" i="37"/>
  <c r="K48" i="35"/>
  <c r="D133" i="38"/>
  <c r="F397" i="38"/>
  <c r="K47" i="35"/>
  <c r="D230" i="38"/>
  <c r="Q19" i="37"/>
  <c r="G390" i="38"/>
  <c r="J380" i="38"/>
  <c r="G380" i="38"/>
  <c r="M229" i="35"/>
  <c r="E374" i="38"/>
  <c r="D67" i="38"/>
  <c r="J11" i="37"/>
  <c r="K104" i="35"/>
  <c r="G384" i="38"/>
  <c r="E198" i="38"/>
  <c r="L15" i="37"/>
  <c r="M130" i="35"/>
  <c r="K101" i="35"/>
  <c r="K15" i="37"/>
  <c r="M270" i="35"/>
  <c r="E88" i="38"/>
  <c r="D52" i="38"/>
  <c r="K10" i="35"/>
  <c r="D260" i="38"/>
  <c r="D209" i="38"/>
  <c r="J76" i="35"/>
  <c r="M230" i="35"/>
  <c r="E73" i="38"/>
  <c r="E134" i="38"/>
  <c r="D110" i="38"/>
  <c r="J51" i="35"/>
  <c r="O12" i="37"/>
  <c r="K14" i="37"/>
  <c r="H390" i="38"/>
  <c r="K70" i="35"/>
  <c r="J104" i="35"/>
  <c r="E157" i="38"/>
  <c r="J18" i="37"/>
  <c r="E93" i="38"/>
  <c r="D69" i="38"/>
  <c r="K107" i="35"/>
  <c r="L10" i="37"/>
  <c r="D26" i="38"/>
  <c r="D48" i="38"/>
  <c r="E354" i="38"/>
  <c r="K5" i="37"/>
  <c r="G383" i="38"/>
  <c r="L61" i="35"/>
  <c r="D369" i="38"/>
  <c r="F62" i="38"/>
  <c r="K396" i="38"/>
  <c r="J46" i="35"/>
  <c r="E261" i="38"/>
  <c r="L56" i="35"/>
  <c r="M51" i="35"/>
  <c r="D385" i="38"/>
  <c r="E246" i="38"/>
  <c r="J19" i="37"/>
  <c r="N23" i="37"/>
  <c r="D111" i="38"/>
  <c r="D316" i="38"/>
  <c r="L5" i="35"/>
  <c r="D94" i="38"/>
  <c r="E119" i="38"/>
  <c r="J17" i="37"/>
  <c r="M282" i="35"/>
  <c r="K7" i="35"/>
  <c r="M238" i="35"/>
  <c r="J97" i="35"/>
  <c r="H392" i="38"/>
  <c r="D28" i="38"/>
  <c r="J14" i="37"/>
  <c r="P22" i="37"/>
  <c r="J50" i="35"/>
  <c r="L355" i="35"/>
  <c r="D224" i="38"/>
  <c r="J71" i="35"/>
  <c r="E37" i="38"/>
  <c r="E25" i="38"/>
  <c r="D5" i="38"/>
  <c r="P3" i="37"/>
  <c r="N5" i="37"/>
  <c r="Q7" i="37"/>
  <c r="J398" i="38"/>
  <c r="J382" i="38"/>
  <c r="D177" i="38"/>
  <c r="F386" i="38"/>
  <c r="E32" i="38"/>
  <c r="D122" i="38"/>
  <c r="E324" i="38"/>
  <c r="J18" i="35"/>
  <c r="J59" i="35"/>
  <c r="I381" i="38"/>
  <c r="K96" i="35"/>
  <c r="K14" i="35"/>
  <c r="E124" i="38"/>
  <c r="D368" i="38"/>
  <c r="K79" i="35"/>
  <c r="K25" i="35"/>
  <c r="K394" i="38"/>
  <c r="K63" i="35"/>
  <c r="D56" i="38"/>
  <c r="D370" i="38"/>
  <c r="O9" i="37"/>
  <c r="D281" i="38"/>
  <c r="E234" i="38"/>
  <c r="L167" i="35"/>
  <c r="D30" i="38"/>
  <c r="D192" i="38"/>
  <c r="P5" i="37"/>
  <c r="M114" i="35"/>
  <c r="M155" i="35"/>
  <c r="E181" i="38"/>
  <c r="D138" i="38"/>
  <c r="J20" i="37"/>
  <c r="J55" i="35"/>
  <c r="N14" i="37"/>
  <c r="I388" i="38"/>
  <c r="D330" i="38"/>
  <c r="K390" i="38"/>
  <c r="D20" i="38"/>
  <c r="J4" i="37"/>
  <c r="E86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<sst xmlns="http://schemas.openxmlformats.org/spreadsheetml/2006/main" count="3319" uniqueCount="2058">
  <si>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</si>
  <si>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</si>
  <si>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</si>
  <si>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</si>
  <si>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</si>
  <si>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</si>
  <si>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</si>
  <si>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</si>
  <si>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</si>
  <si>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</si>
  <si>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</si>
  <si>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</si>
  <si>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</si>
  <si>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</si>
  <si>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</si>
  <si>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</si>
  <si>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</si>
  <si>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</si>
  <si>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</si>
  <si>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</si>
  <si>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</si>
  <si>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</si>
  <si>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</si>
  <si>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</si>
  <si>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</si>
  <si>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</si>
  <si>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</si>
  <si>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</si>
  <si>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</si>
  <si>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</si>
  <si>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</si>
  <si>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</si>
  <si>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</si>
  <si>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</si>
  <si>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</si>
  <si>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</si>
  <si>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</si>
  <si>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</si>
  <si>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</si>
  <si>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</si>
  <si>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</si>
  <si>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</si>
  <si>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</si>
  <si>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</si>
  <si>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</si>
  <si>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</si>
  <si>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</si>
  <si>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</si>
  <si>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</si>
  <si>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</si>
  <si>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</si>
  <si>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</si>
  <si>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</si>
  <si>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</si>
  <si>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</si>
  <si>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</si>
  <si>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</si>
  <si>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</si>
  <si>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</si>
  <si>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</si>
  <si>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</si>
  <si>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</si>
  <si>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</si>
  <si>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</si>
  <si>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</si>
  <si>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</si>
  <si>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</si>
  <si>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</si>
  <si>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</si>
  <si>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</si>
  <si>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</si>
  <si>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</si>
  <si>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</si>
  <si>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</si>
  <si>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</si>
  <si>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</si>
  <si>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</si>
  <si>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</si>
  <si>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</si>
  <si>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</si>
  <si>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</si>
  <si>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</si>
  <si>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</si>
  <si>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</si>
  <si>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</si>
  <si>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</si>
  <si>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</si>
  <si>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</si>
  <si>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</si>
  <si>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</si>
  <si>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</si>
  <si>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</si>
  <si>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</si>
  <si>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</si>
  <si>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</si>
  <si>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</si>
  <si>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</si>
  <si>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</si>
  <si>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</si>
  <si>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</si>
  <si>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</si>
  <si>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</si>
  <si>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</si>
  <si>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</si>
  <si>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</si>
  <si>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</si>
  <si>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</si>
  <si>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</si>
  <si>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</si>
  <si>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</si>
  <si>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</si>
  <si>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</si>
  <si>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</si>
  <si>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</si>
  <si>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</si>
  <si>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</si>
  <si>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</si>
  <si>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</si>
  <si>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</si>
  <si>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</si>
  <si>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</si>
  <si>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</si>
  <si>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</si>
  <si>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</si>
  <si>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</si>
  <si>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</si>
  <si>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</si>
  <si>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</si>
  <si>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</si>
  <si>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</si>
  <si>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</si>
  <si>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</si>
  <si>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</si>
  <si>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</si>
  <si>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</si>
  <si>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</si>
  <si>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</si>
  <si>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</si>
  <si>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</si>
  <si>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</si>
  <si>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</si>
  <si>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</si>
  <si>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</si>
  <si>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</si>
  <si>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</si>
  <si>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</si>
  <si>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</si>
  <si>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</si>
  <si>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</si>
  <si>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</si>
  <si>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</si>
  <si>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</si>
  <si>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</si>
  <si>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</si>
  <si>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</si>
  <si>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</si>
  <si>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</si>
  <si>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</si>
  <si>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</si>
  <si>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</si>
  <si>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</si>
  <si>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</si>
  <si>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</si>
  <si>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</si>
  <si>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</si>
  <si>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</si>
  <si>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</si>
  <si>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</si>
  <si>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</si>
  <si>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</si>
  <si>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</si>
  <si>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</si>
  <si>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</si>
  <si>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</si>
  <si>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</si>
  <si>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</si>
  <si>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</si>
  <si>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</si>
  <si>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</si>
  <si>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</si>
  <si>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</si>
  <si>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</si>
  <si>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</si>
  <si>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</si>
  <si>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</si>
  <si>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</si>
  <si>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</si>
  <si>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</si>
  <si>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</si>
  <si>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</si>
  <si>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</si>
  <si>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</si>
  <si>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</si>
  <si>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</si>
  <si>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</si>
  <si>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</si>
  <si>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</si>
  <si>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</si>
  <si>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</si>
  <si>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</si>
  <si>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</si>
  <si>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</si>
  <si>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</si>
  <si>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</si>
  <si>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</si>
  <si>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</si>
  <si>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</si>
  <si>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</si>
  <si>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</si>
  <si>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</si>
  <si>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</si>
  <si>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</si>
  <si>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</si>
  <si>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</si>
  <si>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</si>
  <si>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</si>
  <si>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</si>
  <si>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</si>
  <si>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</si>
  <si>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</si>
  <si>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</si>
  <si>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</si>
  <si>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</si>
  <si>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</si>
  <si>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</si>
  <si>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</si>
  <si>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</si>
  <si>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</si>
  <si>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</si>
  <si>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</si>
  <si>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</si>
  <si>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</si>
  <si>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</si>
  <si>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</si>
  <si>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</si>
  <si>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</si>
  <si>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</si>
  <si>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</si>
  <si>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</si>
  <si>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</si>
  <si>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</si>
  <si>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</si>
  <si>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</si>
  <si>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</si>
  <si>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</si>
  <si>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</si>
  <si>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</si>
  <si>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</si>
  <si>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</si>
  <si>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</si>
  <si>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</si>
  <si>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</si>
  <si>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</si>
  <si>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</si>
  <si>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</si>
  <si>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</si>
  <si>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</si>
  <si>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</si>
  <si>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</si>
  <si>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</si>
  <si>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</si>
  <si>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</si>
  <si>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</si>
  <si>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</si>
  <si>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</si>
  <si>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</si>
  <si>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</si>
  <si>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</si>
  <si>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</si>
  <si>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</si>
  <si>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</si>
  <si>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</si>
  <si>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</si>
  <si>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</si>
  <si>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</si>
  <si>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</si>
  <si>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</si>
  <si>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</si>
  <si>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</si>
  <si>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</si>
  <si>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</si>
  <si>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</si>
  <si>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</si>
  <si>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</si>
  <si>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</si>
  <si>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</si>
  <si>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</si>
  <si>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</si>
  <si>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</si>
  <si>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</si>
  <si>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</si>
  <si>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</si>
  <si>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</si>
  <si>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</si>
  <si>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</si>
  <si>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</si>
  <si>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</si>
  <si>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</si>
  <si>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</si>
  <si>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</si>
  <si>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</si>
  <si>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</si>
  <si>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</si>
  <si>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</si>
  <si>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</si>
  <si>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</si>
  <si>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</si>
  <si>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</si>
  <si>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</si>
  <si>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</si>
  <si>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</si>
  <si>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</si>
  <si>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</si>
  <si>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</si>
  <si>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</si>
  <si>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</si>
  <si>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</si>
  <si>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</si>
  <si>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</si>
  <si>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</si>
  <si>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</si>
  <si>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</si>
  <si>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</si>
  <si>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</si>
  <si>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</si>
  <si>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</si>
  <si>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</si>
  <si>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</si>
  <si>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</si>
  <si>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</si>
  <si>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</si>
  <si>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</si>
  <si>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</si>
  <si>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</si>
  <si>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</si>
  <si>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</si>
  <si>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</si>
  <si>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</si>
  <si>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</si>
  <si>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</si>
  <si>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</si>
  <si>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</si>
  <si>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</si>
  <si>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</si>
  <si>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</si>
  <si>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</si>
  <si>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</si>
  <si>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</si>
  <si>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</si>
  <si>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</si>
  <si>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</si>
  <si>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</si>
  <si>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</si>
  <si>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</si>
  <si>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</si>
  <si>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</si>
  <si>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</si>
  <si>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</si>
  <si>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</si>
  <si>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</si>
  <si>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</si>
  <si>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</si>
  <si>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</si>
  <si>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</si>
  <si>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</si>
  <si>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</si>
  <si>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</si>
  <si>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</si>
  <si>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</si>
  <si>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</si>
  <si>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</si>
  <si>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</si>
  <si>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</si>
  <si>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</si>
  <si>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</si>
  <si>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</si>
  <si>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</si>
  <si>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</si>
  <si>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</si>
  <si>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</si>
  <si>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</si>
  <si>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</si>
  <si>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</si>
  <si>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</si>
  <si>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</si>
  <si>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</si>
  <si>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</si>
  <si>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</si>
  <si>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</si>
  <si>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</si>
  <si>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</si>
  <si>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</si>
  <si>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</si>
  <si>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</si>
  <si>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</si>
  <si>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</si>
  <si>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</si>
  <si>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</si>
  <si>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</si>
  <si>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</si>
  <si>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</si>
  <si>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</si>
  <si>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</si>
  <si>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</si>
  <si>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</si>
  <si>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</si>
  <si>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</si>
  <si>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</si>
  <si>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</si>
  <si>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</si>
  <si>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</si>
  <si>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</si>
  <si>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</si>
  <si>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</si>
  <si>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</si>
  <si>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</si>
  <si>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</si>
  <si>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</si>
  <si>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</si>
  <si>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</si>
  <si>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</si>
  <si>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</si>
  <si>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</si>
  <si>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</si>
  <si>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</si>
  <si>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</si>
  <si>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</si>
  <si>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</si>
  <si>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</si>
  <si>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</si>
  <si>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</si>
  <si>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</si>
  <si>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</si>
  <si>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</si>
  <si>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</si>
  <si>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</si>
  <si>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</si>
  <si>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</si>
  <si>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</si>
  <si>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</si>
  <si>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</si>
  <si>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</si>
  <si>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</si>
  <si>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</si>
  <si>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</si>
  <si>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</si>
  <si>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</si>
  <si>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</si>
  <si>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</si>
  <si>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</si>
  <si>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</si>
  <si>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</si>
  <si>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</si>
  <si>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</si>
  <si>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</si>
  <si>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</si>
  <si>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</si>
  <si>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</si>
  <si>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</si>
  <si>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</si>
  <si>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</si>
  <si>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</si>
  <si>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</si>
  <si>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</si>
  <si>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</si>
  <si>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</si>
  <si>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</si>
  <si>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</si>
  <si>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</si>
  <si>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</si>
  <si>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</si>
  <si>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</si>
  <si>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</si>
  <si>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</si>
  <si>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</si>
  <si>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</si>
  <si>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</si>
  <si>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</si>
  <si>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</si>
  <si>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</si>
  <si>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</si>
  <si>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</si>
  <si>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</si>
  <si>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</si>
  <si>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</si>
  <si>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</si>
  <si>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</si>
  <si>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</si>
  <si>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</si>
  <si>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</si>
  <si>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</si>
  <si>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</si>
  <si>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</si>
  <si>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</si>
  <si>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</si>
  <si>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</si>
  <si>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</si>
  <si>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</si>
  <si>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</si>
  <si>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</si>
  <si>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</si>
  <si>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</si>
  <si>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</si>
  <si>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</si>
  <si>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</si>
  <si>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</si>
  <si>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</si>
  <si>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</si>
  <si>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</si>
  <si>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</si>
  <si>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</si>
  <si>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</si>
  <si>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</si>
  <si>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</si>
  <si>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</si>
  <si>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</si>
  <si>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</si>
  <si>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</si>
  <si>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</si>
  <si>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</si>
  <si>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</si>
  <si>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</si>
  <si>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</si>
  <si>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</si>
  <si>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</si>
  <si>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</si>
  <si>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</si>
  <si>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</si>
  <si>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</si>
  <si>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</si>
  <si>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</si>
  <si>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</si>
  <si>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</si>
  <si>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</si>
  <si>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</si>
  <si>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</si>
  <si>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</si>
  <si>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</si>
  <si>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</si>
  <si>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</si>
  <si>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</si>
  <si>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</si>
  <si>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</si>
  <si>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</si>
  <si>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</si>
  <si>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</si>
  <si>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</si>
  <si>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</si>
  <si>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</si>
  <si>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</si>
  <si>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</si>
  <si>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</si>
  <si>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</si>
  <si>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</si>
  <si>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</si>
  <si>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</si>
  <si>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</si>
  <si>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</si>
  <si>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</si>
  <si>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</si>
  <si>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</si>
  <si>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</si>
  <si>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</si>
  <si>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</si>
  <si>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</si>
  <si>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</si>
  <si>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</si>
  <si>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</si>
  <si>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</si>
  <si>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</si>
  <si>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</si>
  <si>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</si>
  <si>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</si>
  <si>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</si>
  <si>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</si>
  <si>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</si>
  <si>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</si>
  <si>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</si>
  <si>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</si>
  <si>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</si>
  <si>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</si>
  <si>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</si>
  <si>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</si>
  <si>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</si>
  <si>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</si>
  <si>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</si>
  <si>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</si>
  <si>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</si>
  <si>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</si>
  <si>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</si>
  <si>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</si>
  <si>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</si>
  <si>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</si>
  <si>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</si>
  <si>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</si>
  <si>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</si>
  <si>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</si>
  <si>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</si>
  <si>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</si>
  <si>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</si>
  <si>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</si>
  <si>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</si>
  <si>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</si>
  <si>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</si>
  <si>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</si>
  <si>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</si>
  <si>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</si>
  <si>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</si>
  <si>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</si>
  <si>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</si>
  <si>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</si>
  <si>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</si>
  <si>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</si>
  <si>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</si>
  <si>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</si>
  <si>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</si>
  <si>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</si>
  <si>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</si>
  <si>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</si>
  <si>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</si>
  <si>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</si>
  <si>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</si>
  <si>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</si>
  <si>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</si>
  <si>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</si>
  <si>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</si>
  <si>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</si>
  <si>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</si>
  <si>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</si>
  <si>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</si>
  <si>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</si>
  <si>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</si>
  <si>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</si>
  <si>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</si>
  <si>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</si>
  <si>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</si>
  <si>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</si>
  <si>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</si>
  <si>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</si>
  <si>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</si>
  <si>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</si>
  <si>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</si>
  <si>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</si>
  <si>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</si>
  <si>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</si>
  <si>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</si>
  <si>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</si>
  <si>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</si>
  <si>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</si>
  <si>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</si>
  <si>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</si>
  <si>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</si>
  <si>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</si>
  <si>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</si>
  <si>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</si>
  <si>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</si>
  <si>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</si>
  <si>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</si>
  <si>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</si>
  <si>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</si>
  <si>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</si>
  <si>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</si>
  <si>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</si>
  <si>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</si>
  <si>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</si>
  <si>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</si>
  <si>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</si>
  <si>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</si>
  <si>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</si>
  <si>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</si>
  <si>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</si>
  <si>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</si>
  <si>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</si>
  <si>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</si>
  <si>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</si>
  <si>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</si>
  <si>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</si>
  <si>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</si>
  <si>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</si>
  <si>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</si>
  <si>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</si>
  <si>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</si>
  <si>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</si>
  <si>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</si>
  <si>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</si>
  <si>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</si>
  <si>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</si>
  <si>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</si>
  <si>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</si>
  <si>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</si>
  <si>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</si>
  <si>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</si>
  <si>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</si>
  <si>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</si>
  <si>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</si>
  <si>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</si>
  <si>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</si>
  <si>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</si>
  <si>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</si>
  <si>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</si>
  <si>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</si>
  <si>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</si>
  <si>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</si>
  <si>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</si>
  <si>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</si>
  <si>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</si>
  <si>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</si>
  <si>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</si>
  <si>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</si>
  <si>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</si>
  <si>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</si>
  <si>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</si>
  <si>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</si>
  <si>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</si>
  <si>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</si>
  <si>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</si>
  <si>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</si>
  <si>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</si>
  <si>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</si>
  <si>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</si>
  <si>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</si>
  <si>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</si>
  <si>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</si>
  <si>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</si>
  <si>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</si>
  <si>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</si>
  <si>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</si>
  <si>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</si>
  <si>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</si>
  <si>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</si>
  <si>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</si>
  <si>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</si>
  <si>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</si>
  <si>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</si>
  <si>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</si>
  <si>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</si>
  <si>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</si>
  <si>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</si>
  <si>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</si>
  <si>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</si>
  <si>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</si>
  <si>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</si>
  <si>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</si>
  <si>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</si>
  <si>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</si>
  <si>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</si>
  <si>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</si>
  <si>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</si>
  <si>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</si>
  <si>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</si>
  <si>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</si>
  <si>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</si>
  <si>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</si>
  <si>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</si>
  <si>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</si>
  <si>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</si>
  <si>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</si>
  <si>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</si>
  <si>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</si>
  <si>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</si>
  <si>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</si>
  <si>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</si>
  <si>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</si>
  <si>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</si>
  <si>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</si>
  <si>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</si>
  <si>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</si>
  <si>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</si>
  <si>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</si>
  <si>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</si>
  <si>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</si>
  <si>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</si>
  <si>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</si>
  <si>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</si>
  <si>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</si>
  <si>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</si>
  <si>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</si>
  <si>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</si>
  <si>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</si>
  <si>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</si>
  <si>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</si>
  <si>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</si>
  <si>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</si>
  <si>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</si>
  <si>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</si>
  <si>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</si>
  <si>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</si>
  <si>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</si>
  <si>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</si>
  <si>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</si>
  <si>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</si>
  <si>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</si>
  <si>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</si>
  <si>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</si>
  <si>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</si>
  <si>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</si>
  <si>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</si>
  <si>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</si>
  <si>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</si>
  <si>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</si>
  <si>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</si>
  <si>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</si>
  <si>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</si>
  <si>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</si>
  <si>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</si>
  <si>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</si>
  <si>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</si>
  <si>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</si>
  <si>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</si>
  <si>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</si>
  <si>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</si>
  <si>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</si>
  <si>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</si>
  <si>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</si>
  <si>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</si>
  <si>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</si>
  <si>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</si>
  <si>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</si>
  <si>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</si>
  <si>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</si>
  <si>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</si>
  <si>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</si>
  <si>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</si>
  <si>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</si>
  <si>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</si>
  <si>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</si>
  <si>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</si>
  <si>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</si>
  <si>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</si>
  <si>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</si>
  <si>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</si>
  <si>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</si>
  <si>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</si>
  <si>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</si>
  <si>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</si>
  <si>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</si>
  <si>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</si>
  <si>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</si>
  <si>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</si>
  <si>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</si>
  <si>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</si>
  <si>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</si>
  <si>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</si>
  <si>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</si>
  <si>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</si>
  <si>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</si>
  <si>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</si>
  <si>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</si>
  <si>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</si>
  <si>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</si>
  <si>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</si>
  <si>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</si>
  <si>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</si>
  <si>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</si>
  <si>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</si>
  <si>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</si>
  <si>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</si>
  <si>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</si>
  <si>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</si>
  <si>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</si>
  <si>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</si>
  <si>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</si>
  <si>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</si>
  <si>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</si>
  <si>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</si>
  <si>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</si>
  <si>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</si>
  <si>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</si>
  <si>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</si>
  <si>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</si>
  <si>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</si>
  <si>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</si>
  <si>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</si>
  <si>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</si>
  <si>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</si>
  <si>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</si>
  <si>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</si>
  <si>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</si>
  <si>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</si>
  <si>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</si>
  <si>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</si>
  <si>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</si>
  <si>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</si>
  <si>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</si>
  <si>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</si>
  <si>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</si>
  <si>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</si>
  <si>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</si>
  <si>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</si>
  <si>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</si>
  <si>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</si>
  <si>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</si>
  <si>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</si>
  <si>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</si>
  <si>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</si>
  <si>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</si>
  <si>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</si>
  <si>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</si>
  <si>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</si>
  <si>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</si>
  <si>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</si>
  <si>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</si>
  <si>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</si>
  <si>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</si>
  <si>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</si>
  <si>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</si>
  <si>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</si>
  <si>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</si>
  <si>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</si>
  <si>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</si>
  <si>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</si>
  <si>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</si>
  <si>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</si>
  <si>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</si>
  <si>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</si>
  <si>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</si>
  <si>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</si>
  <si>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</si>
  <si>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</si>
  <si>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</si>
  <si>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</si>
  <si>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</si>
  <si>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</si>
  <si>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</si>
  <si>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</si>
  <si>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</si>
  <si>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</si>
  <si>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</si>
  <si>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</si>
  <si>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</si>
  <si>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</si>
  <si>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</si>
  <si>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</si>
  <si>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</si>
  <si>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</si>
  <si>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</si>
  <si>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</si>
  <si>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</si>
  <si>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</si>
  <si>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</si>
  <si>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</si>
  <si>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</si>
  <si>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</si>
  <si>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</si>
  <si>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</si>
  <si>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</si>
  <si>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</si>
  <si>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</si>
  <si>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</si>
  <si>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</si>
  <si>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</si>
  <si>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</si>
  <si>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</si>
  <si>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</si>
  <si>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</si>
  <si>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</si>
  <si>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</si>
  <si>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</si>
  <si>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</si>
  <si>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</si>
  <si>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</si>
  <si>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</si>
  <si>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</si>
  <si>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</si>
  <si>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</si>
  <si>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</si>
  <si>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</si>
  <si>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</si>
  <si>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</si>
  <si>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</si>
  <si>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</si>
  <si>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</si>
  <si>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</si>
  <si>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</si>
  <si>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</si>
  <si>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</si>
  <si>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</si>
  <si>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</si>
  <si>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</si>
  <si>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</si>
  <si>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</si>
  <si>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</si>
  <si>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</si>
  <si>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</si>
  <si>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</si>
  <si>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</si>
  <si>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</si>
  <si>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</si>
  <si>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</si>
  <si>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</si>
  <si>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</si>
  <si>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</si>
  <si>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</si>
  <si>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</si>
  <si>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</si>
  <si>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</si>
  <si>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</si>
  <si>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</si>
  <si>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</si>
  <si>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</si>
  <si>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</si>
  <si>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</si>
  <si>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</si>
  <si>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</si>
  <si>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</si>
  <si>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</si>
  <si>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</si>
  <si>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</si>
  <si>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</si>
  <si>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</si>
  <si>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</si>
  <si>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</si>
  <si>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</si>
  <si>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</si>
  <si>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</si>
  <si>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</si>
  <si>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</si>
  <si>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</si>
  <si>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</si>
  <si>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</si>
  <si>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</si>
  <si>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</si>
  <si>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</si>
  <si>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</si>
  <si>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</si>
  <si>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</si>
  <si>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</si>
  <si>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</si>
  <si>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</si>
  <si>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</si>
  <si>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</si>
  <si>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</si>
  <si>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</si>
  <si>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</si>
  <si>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</si>
  <si>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</si>
  <si>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</si>
  <si>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</si>
  <si>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</si>
  <si>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</si>
  <si>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</si>
  <si>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</si>
  <si>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</si>
  <si>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</si>
  <si>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</si>
  <si>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</si>
  <si>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</si>
  <si>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</si>
  <si>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</si>
  <si>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</si>
  <si>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</si>
  <si>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</si>
  <si>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</si>
  <si>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</si>
  <si>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</si>
  <si>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</si>
  <si>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</si>
  <si>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</si>
  <si>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</si>
  <si>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</si>
  <si>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</si>
  <si>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</si>
  <si>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</si>
  <si>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</si>
  <si>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</si>
  <si>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</si>
  <si>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</si>
  <si>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</si>
  <si>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</si>
  <si>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</si>
  <si>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</si>
  <si>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</si>
  <si>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</si>
  <si>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</si>
  <si>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</si>
  <si>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</si>
  <si>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</si>
  <si>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</si>
  <si>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</si>
  <si>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</si>
  <si>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</si>
  <si>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</si>
  <si>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</si>
  <si>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</si>
  <si>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</si>
  <si>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</si>
  <si>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</si>
  <si>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</si>
  <si>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</si>
  <si>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</si>
  <si>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</si>
  <si>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</si>
  <si>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</si>
  <si>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</si>
  <si>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</si>
  <si>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</si>
  <si>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</si>
  <si>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</si>
  <si>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</si>
  <si>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</si>
  <si>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</si>
  <si>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</si>
  <si>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</si>
  <si>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</si>
  <si>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</si>
  <si>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</si>
  <si>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</si>
  <si>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</si>
  <si>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</si>
  <si>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</si>
  <si>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</si>
  <si>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</si>
  <si>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</si>
  <si>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</si>
  <si>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</si>
  <si>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</si>
  <si>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</si>
  <si>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</si>
  <si>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</si>
  <si>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</si>
  <si>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</si>
  <si>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</si>
  <si>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</si>
  <si>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</si>
  <si>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</si>
  <si>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</si>
  <si>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</si>
  <si>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</si>
  <si>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</si>
  <si>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</si>
  <si>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</si>
  <si>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</si>
  <si>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</si>
  <si>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</si>
  <si>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</si>
  <si>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</si>
  <si>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</si>
  <si>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</si>
  <si>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</si>
  <si>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</si>
  <si>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</si>
  <si>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</si>
  <si>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</si>
  <si>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</si>
  <si>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</si>
  <si>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</si>
  <si>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</si>
  <si>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</si>
  <si>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</si>
  <si>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</si>
  <si>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</si>
  <si>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</si>
  <si>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</si>
  <si>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</si>
  <si>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</si>
  <si>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</si>
  <si>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</si>
  <si>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</si>
  <si>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</si>
  <si>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</si>
  <si>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</si>
  <si>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</si>
  <si>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</si>
  <si>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</si>
  <si>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</si>
  <si>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</si>
  <si>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</si>
  <si>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</si>
  <si>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</si>
  <si>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</si>
  <si>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</si>
  <si>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</si>
  <si>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</si>
  <si>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</si>
  <si>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</si>
  <si>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</si>
  <si>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</si>
  <si>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</si>
  <si>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</si>
  <si>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</si>
  <si>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</si>
  <si>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</si>
  <si>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</si>
  <si>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</si>
  <si>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</si>
  <si>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</si>
  <si>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</si>
  <si>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</si>
  <si>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</si>
  <si>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</si>
  <si>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</si>
  <si>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</si>
  <si>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</si>
  <si>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</si>
  <si>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</si>
  <si>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</si>
  <si>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</si>
  <si>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</si>
  <si>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</si>
  <si>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</si>
  <si>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</si>
  <si>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</si>
  <si>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</si>
  <si>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</si>
  <si>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</si>
  <si>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</si>
  <si>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</si>
  <si>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</si>
  <si>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</si>
  <si>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</si>
  <si>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</si>
  <si>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</si>
  <si>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</si>
  <si>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</si>
  <si>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</si>
  <si>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</si>
  <si>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</si>
  <si>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</si>
  <si>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</si>
  <si>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</si>
  <si>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</si>
  <si>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</si>
  <si>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</si>
  <si>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</si>
  <si>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</si>
  <si>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</si>
  <si>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</si>
  <si>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</si>
  <si>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</si>
  <si>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</si>
  <si>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</si>
  <si>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</si>
  <si>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</si>
  <si>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</si>
  <si>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</si>
  <si>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</si>
  <si>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</si>
  <si>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</si>
  <si>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</si>
  <si>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</si>
  <si>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</si>
  <si>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</si>
  <si>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</si>
  <si>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</si>
  <si>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</si>
  <si>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</si>
  <si>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</si>
  <si>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</si>
  <si>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</si>
  <si>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</si>
  <si>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</si>
  <si>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</si>
  <si>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</si>
  <si>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</si>
  <si>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</si>
  <si>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</si>
  <si>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</si>
  <si>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</si>
  <si>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</si>
  <si>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</si>
  <si>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</si>
  <si>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</si>
  <si>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</si>
  <si>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</si>
  <si>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</si>
  <si>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</si>
  <si>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</si>
  <si>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</si>
  <si>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</si>
  <si>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</si>
  <si>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</si>
  <si>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</si>
  <si>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</si>
  <si>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</si>
  <si>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</si>
  <si>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</si>
  <si>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</si>
  <si>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</si>
  <si>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</si>
  <si>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</si>
  <si>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</si>
  <si>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</si>
  <si>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</si>
  <si>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</si>
  <si>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</si>
  <si>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</si>
  <si>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</si>
  <si>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</si>
  <si>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</si>
  <si>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</si>
  <si>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</si>
  <si>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</si>
  <si>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</si>
  <si>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</si>
  <si>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</si>
  <si>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</si>
  <si>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</si>
  <si>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</si>
  <si>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</si>
  <si>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</si>
  <si>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</si>
  <si>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</si>
  <si>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</si>
  <si>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</si>
  <si>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</si>
  <si>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</si>
  <si>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</si>
  <si>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</si>
  <si>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</si>
  <si>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</si>
  <si>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</si>
  <si>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</si>
  <si>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</si>
  <si>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</si>
  <si>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</si>
  <si>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</si>
  <si>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</si>
  <si>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</si>
  <si>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</si>
  <si>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</si>
  <si>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</si>
  <si>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</si>
  <si>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</si>
  <si>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</si>
  <si>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</si>
  <si>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</si>
  <si>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</si>
  <si>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</si>
  <si>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</si>
  <si>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</si>
  <si>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</si>
  <si>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</si>
  <si>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</si>
  <si>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</si>
  <si>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</si>
  <si>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</si>
  <si>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</si>
  <si>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</si>
  <si>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</si>
  <si>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</si>
  <si>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</si>
  <si>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</si>
  <si>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</si>
  <si>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</si>
  <si>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</si>
  <si>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</si>
  <si>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</si>
  <si>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</si>
  <si>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</si>
  <si>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</si>
  <si>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</si>
  <si>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</si>
  <si>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</si>
  <si>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</si>
  <si>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</si>
  <si>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</si>
  <si>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</si>
  <si>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</si>
  <si>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</si>
  <si>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</si>
  <si>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</si>
  <si>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</si>
  <si>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</si>
  <si>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</si>
  <si>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</si>
  <si>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</si>
  <si>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</si>
  <si>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</si>
  <si>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</si>
  <si>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</si>
  <si>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</si>
  <si>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</si>
  <si>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</si>
  <si>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</si>
  <si>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</si>
  <si>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</si>
  <si>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</si>
  <si>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</si>
  <si>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</si>
  <si>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</si>
  <si>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</si>
  <si>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</si>
  <si>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</si>
  <si>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</si>
  <si>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</si>
  <si>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</si>
  <si>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</si>
  <si>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</si>
  <si>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</si>
  <si>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</si>
  <si>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</si>
  <si>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</si>
  <si>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</si>
  <si>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</si>
  <si>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</si>
  <si>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</si>
  <si>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</si>
  <si>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</si>
  <si>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</si>
  <si>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</si>
  <si>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</si>
  <si>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</si>
  <si>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</si>
  <si>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</si>
  <si>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</si>
  <si>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</si>
  <si>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</si>
  <si>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</si>
  <si>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</si>
  <si>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</si>
  <si>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</si>
  <si>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</si>
  <si>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</si>
  <si>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</si>
  <si>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</si>
  <si>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</si>
  <si>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</si>
  <si>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</si>
  <si>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</si>
  <si>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</si>
  <si>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</si>
  <si>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</si>
  <si>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</si>
  <si>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</si>
  <si>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</si>
  <si>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</si>
  <si>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</si>
  <si>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</si>
  <si>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</si>
  <si>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</si>
  <si>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</si>
  <si>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</si>
  <si>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</si>
  <si>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</si>
  <si>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</si>
  <si>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</si>
  <si>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</si>
  <si>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</si>
  <si>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</si>
  <si>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</si>
  <si>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</si>
  <si>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</si>
  <si>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</si>
  <si>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</si>
  <si>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</si>
  <si>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</si>
  <si>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</si>
  <si>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</si>
  <si>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</si>
  <si>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</si>
  <si>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</si>
  <si>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</si>
  <si>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</si>
  <si>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</si>
  <si>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</si>
  <si>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</si>
  <si>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</si>
  <si>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</si>
  <si>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</si>
  <si>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</si>
  <si>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</si>
  <si>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</si>
  <si>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</si>
  <si>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</si>
  <si>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</si>
  <si>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</si>
  <si>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</si>
  <si>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</si>
  <si>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</si>
  <si>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</si>
  <si>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</si>
  <si>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</si>
  <si>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</si>
  <si>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</si>
  <si>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</si>
  <si>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</si>
  <si>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</si>
  <si>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</si>
  <si>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</si>
  <si>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</si>
  <si>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</si>
  <si>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</si>
  <si>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</si>
  <si>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</si>
  <si>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</si>
  <si>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</si>
  <si>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</si>
  <si>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</si>
  <si>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</si>
  <si>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</si>
  <si>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</si>
  <si>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</si>
  <si>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</si>
  <si>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</si>
  <si>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</si>
  <si>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</si>
  <si>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</si>
  <si>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</si>
  <si>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</si>
  <si>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</si>
  <si>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</si>
  <si>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</si>
  <si>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</si>
  <si>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</si>
  <si>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</si>
  <si>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</si>
  <si>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</si>
  <si>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</si>
  <si>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</si>
  <si>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</si>
  <si>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</si>
  <si>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</si>
  <si>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</si>
  <si>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</si>
  <si>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</si>
  <si>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</si>
  <si>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</si>
  <si>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</si>
  <si>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</si>
  <si>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</si>
  <si>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</si>
  <si>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</si>
  <si>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</si>
  <si>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</si>
  <si>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</si>
  <si>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</si>
  <si>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</si>
  <si>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</si>
  <si>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</si>
  <si>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</si>
  <si>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</si>
  <si>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</si>
  <si>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</si>
  <si>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</si>
  <si>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</si>
  <si>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</si>
  <si>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</si>
  <si>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</si>
  <si>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</si>
  <si>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</si>
  <si>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</si>
  <si>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</si>
  <si>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</si>
  <si>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</si>
  <si>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</si>
  <si>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</si>
  <si>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</si>
  <si>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</si>
  <si>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</si>
  <si>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</si>
  <si>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</si>
  <si>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</si>
  <si>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</si>
  <si>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</si>
  <si>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</si>
  <si>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</si>
  <si>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</si>
  <si>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</si>
  <si>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</si>
  <si>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</si>
  <si>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</si>
  <si>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</si>
  <si>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</si>
  <si>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</si>
  <si>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</si>
  <si>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</si>
  <si>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</si>
  <si>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</si>
  <si>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</si>
  <si>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</si>
  <si>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</si>
  <si>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</si>
  <si>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</si>
  <si>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</si>
  <si>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</si>
  <si>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</si>
  <si>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</si>
  <si>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</si>
  <si>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</si>
  <si>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</si>
  <si>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</si>
  <si>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</si>
  <si>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</si>
  <si>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</si>
  <si>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</si>
  <si>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</si>
  <si>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</si>
  <si>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</si>
  <si>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</si>
  <si>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</si>
  <si>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</si>
  <si>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</si>
  <si>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</si>
  <si>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</si>
  <si>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</si>
  <si>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</si>
  <si>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</si>
  <si>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</si>
  <si>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</si>
  <si>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</si>
  <si>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</si>
  <si>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</si>
  <si>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</si>
  <si>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</si>
  <si>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</si>
  <si>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</si>
  <si>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</si>
  <si>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</si>
  <si>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</si>
  <si>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</si>
  <si>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</si>
  <si>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</si>
  <si>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</si>
  <si>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</si>
  <si>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</si>
  <si>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</si>
  <si>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</si>
  <si>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</si>
  <si>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</si>
  <si>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</si>
  <si>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</si>
  <si>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</si>
  <si>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</si>
  <si>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</si>
  <si>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</si>
  <si>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</si>
  <si>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</si>
  <si>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</si>
  <si>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</si>
  <si>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</si>
  <si>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</si>
  <si>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</si>
  <si>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</si>
  <si>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</si>
  <si>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</si>
  <si>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</si>
  <si>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</si>
  <si>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</si>
  <si>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</si>
  <si>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</si>
  <si>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</si>
  <si>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</si>
  <si>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</si>
  <si>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</si>
  <si>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</si>
  <si>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</si>
  <si>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</si>
  <si>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</si>
  <si>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</si>
  <si>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</si>
  <si>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</si>
  <si>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</si>
  <si>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</si>
  <si>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</si>
  <si>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</si>
  <si>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</si>
  <si>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</si>
  <si>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</si>
  <si>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</si>
  <si>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</si>
  <si>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</si>
  <si>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</si>
  <si>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</si>
  <si>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</si>
  <si>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</si>
  <si>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</si>
  <si>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</si>
  <si>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</si>
  <si>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</si>
  <si>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</si>
  <si>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</si>
  <si>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</si>
  <si>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</si>
  <si>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</si>
  <si>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</si>
  <si>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</si>
  <si>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</si>
  <si>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</si>
  <si>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</si>
  <si>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</si>
  <si>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</si>
  <si>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</si>
  <si>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</si>
  <si>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</si>
  <si>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</si>
  <si>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</si>
  <si>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</si>
  <si>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</si>
  <si>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</si>
  <si>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</si>
  <si>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</si>
  <si>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</si>
  <si>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</si>
  <si>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</si>
  <si>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</si>
  <si>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</si>
  <si>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</si>
  <si>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</si>
  <si>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</si>
  <si>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</si>
  <si>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</si>
  <si>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</si>
  <si>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</si>
  <si>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</si>
  <si>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</si>
  <si>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</si>
  <si>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</si>
  <si>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</si>
  <si>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</si>
  <si>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</si>
  <si>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</si>
  <si>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</si>
  <si>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</si>
  <si>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</si>
  <si>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</si>
  <si>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</si>
  <si>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</si>
  <si>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</si>
  <si>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</si>
  <si>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</si>
  <si>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</si>
  <si>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</si>
  <si>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</si>
  <si>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</si>
  <si>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</si>
  <si>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</si>
  <si>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</si>
  <si>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</si>
  <si>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</si>
  <si>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</si>
  <si>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</si>
  <si>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</si>
  <si>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</si>
  <si>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</si>
  <si>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</si>
  <si>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</si>
  <si>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</si>
  <si>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</si>
  <si>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</si>
  <si>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</si>
  <si>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</si>
  <si>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</si>
  <si>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</si>
  <si>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</si>
  <si>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</si>
  <si>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</si>
  <si>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</si>
  <si>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</si>
  <si>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</si>
  <si>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</si>
  <si>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</si>
  <si>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</si>
  <si>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</si>
  <si>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</si>
  <si>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</si>
  <si>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</si>
  <si>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</si>
  <si>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</si>
  <si>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</si>
  <si>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</si>
  <si>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</si>
  <si>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</si>
  <si>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</si>
  <si>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</si>
  <si>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</si>
  <si>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</si>
  <si>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</si>
  <si>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</si>
  <si>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</si>
  <si>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</si>
  <si>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</si>
  <si>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</si>
  <si>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</si>
  <si>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</si>
  <si>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</si>
  <si>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</si>
  <si>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</si>
  <si>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</si>
  <si>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</si>
  <si>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</si>
  <si>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</si>
  <si>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</si>
  <si>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</si>
  <si>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</si>
  <si>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</si>
  <si>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</si>
  <si>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</si>
  <si>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</si>
  <si>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</si>
  <si>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</si>
  <si>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</si>
  <si>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</si>
  <si>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</si>
  <si>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</si>
  <si>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</si>
  <si>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</si>
  <si>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</si>
  <si>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</si>
  <si>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</si>
  <si>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</si>
  <si>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</si>
  <si>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</si>
  <si>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</si>
  <si>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</si>
  <si>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</si>
  <si>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</si>
  <si>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</si>
  <si>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</si>
  <si>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</si>
  <si>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</si>
  <si>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</si>
  <si>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</si>
  <si>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</si>
  <si>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</si>
  <si>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</si>
  <si>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</si>
  <si>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</si>
  <si>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</si>
  <si>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</si>
  <si>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</si>
  <si>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</si>
  <si>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</si>
  <si>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</si>
  <si>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</si>
  <si>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</si>
  <si>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</si>
  <si>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</si>
  <si>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</si>
  <si>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</si>
  <si>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</si>
  <si>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</si>
  <si>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</si>
  <si>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</si>
  <si>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</si>
  <si>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</si>
  <si>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</si>
  <si>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</si>
  <si>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</si>
  <si>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</si>
  <si>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</si>
  <si>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</si>
  <si>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</si>
  <si>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</si>
  <si>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</si>
  <si>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</si>
  <si>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</si>
  <si>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</si>
  <si>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</si>
  <si>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</si>
  <si>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</si>
  <si>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</si>
  <si>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</si>
  <si>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</si>
  <si>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</si>
  <si>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</si>
  <si>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</si>
  <si>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</si>
  <si>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</si>
  <si>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</si>
  <si>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</si>
  <si>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</si>
  <si>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</si>
  <si>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</si>
  <si>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</si>
  <si>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</si>
  <si>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</si>
  <si>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</si>
  <si>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</si>
  <si>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</si>
  <si>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</si>
  <si>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</si>
  <si>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</si>
  <si>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</si>
  <si>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</si>
  <si>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</si>
  <si>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</si>
  <si>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</si>
  <si>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</si>
  <si>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</si>
  <si>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</si>
  <si>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</si>
  <si>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</si>
  <si>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</si>
  <si>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</si>
  <si>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</si>
  <si>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</si>
  <si>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</si>
  <si>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</si>
  <si>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</si>
  <si>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</si>
  <si>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</si>
  <si>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</si>
  <si>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</si>
  <si>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</si>
  <si>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</si>
  <si>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</si>
  <si>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</si>
  <si>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</si>
  <si>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</si>
  <si>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</si>
  <si>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</si>
  <si>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</si>
  <si>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</si>
  <si>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</si>
  <si>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</si>
  <si>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</si>
  <si>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</si>
  <si>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</si>
  <si>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</si>
  <si>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</si>
  <si>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</si>
  <si>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</si>
  <si>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</si>
  <si>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</si>
  <si>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</si>
  <si>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</si>
  <si>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</si>
  <si>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</si>
  <si>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</si>
  <si>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</si>
  <si>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</si>
  <si>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</si>
  <si>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</si>
  <si>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</si>
  <si>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</si>
  <si>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</si>
  <si>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</si>
  <si>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</si>
  <si>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</si>
  <si>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</si>
  <si>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</si>
  <si>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</si>
  <si>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</si>
  <si>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</si>
  <si>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</si>
  <si>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</si>
  <si>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</si>
  <si>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</si>
  <si>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</si>
  <si>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</si>
  <si>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</si>
  <si>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</si>
  <si>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</si>
  <si>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</si>
  <si>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</si>
  <si>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</si>
  <si>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</si>
  <si>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</si>
  <si>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</si>
  <si>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</si>
  <si>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</si>
  <si>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</si>
  <si>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</si>
  <si>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</si>
  <si>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</si>
  <si>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</si>
  <si>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</si>
  <si>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</si>
  <si>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</si>
  <si>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</si>
  <si>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</si>
  <si>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</si>
  <si>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</si>
  <si>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</si>
  <si>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</si>
  <si>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</si>
  <si>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</si>
  <si>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</si>
  <si>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</si>
  <si>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</si>
  <si>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</si>
  <si>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</si>
  <si>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</si>
  <si>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</si>
  <si>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</si>
  <si>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</si>
  <si>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</si>
  <si>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</si>
  <si>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</si>
  <si>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</si>
  <si>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</si>
  <si>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</si>
  <si>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</si>
  <si>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</si>
  <si>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</si>
  <si>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</si>
  <si>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</si>
  <si>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</si>
  <si>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</si>
  <si>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</si>
  <si>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</si>
  <si>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</si>
  <si>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</si>
  <si>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</si>
  <si>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</si>
  <si>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</si>
  <si>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</si>
  <si>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</si>
  <si>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</si>
  <si>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</si>
  <si>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</si>
  <si>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</si>
  <si>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</si>
  <si>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</si>
  <si>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</si>
  <si>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</si>
  <si>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</si>
  <si>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</si>
  <si>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</si>
  <si>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</si>
  <si>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</si>
  <si>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</si>
  <si>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</si>
  <si>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</si>
  <si>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</si>
  <si>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</si>
  <si>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</si>
  <si>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</si>
  <si>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</si>
  <si>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</si>
  <si>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</si>
  <si>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</si>
  <si>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</si>
  <si>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</si>
  <si>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</si>
  <si>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</si>
  <si>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</si>
  <si>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</si>
  <si>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</si>
  <si>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</si>
  <si>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</si>
  <si>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</si>
  <si>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</si>
  <si>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</si>
  <si>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</si>
  <si>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</si>
  <si>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</si>
  <si>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</si>
  <si>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</si>
  <si>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</si>
  <si>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</si>
  <si>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</si>
  <si>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</si>
  <si>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</si>
  <si>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</si>
  <si>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</si>
  <si>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</si>
  <si>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</si>
  <si>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</si>
  <si>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HOTEL PALAS A.D.</t>
  </si>
  <si>
    <t>BANJA LUKA</t>
  </si>
  <si>
    <t>BANJA LUCI</t>
  </si>
  <si>
    <t>BILJANA RADULJ</t>
  </si>
  <si>
    <t>SR-1360/18</t>
  </si>
  <si>
    <t>MILINKO KLINCOV</t>
  </si>
  <si>
    <t>KRALJA PETRA I KARAĐORĐEVIĆA 60</t>
  </si>
  <si>
    <t>www.hotelpalasbl.com</t>
  </si>
  <si>
    <t>racunovodstvo@hotelpalasbl.com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</si>
</sst>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9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  <xf numFmtId="0" fontId="25" fillId="14" borderId="0" applyNumberFormat="0" applyBorder="0" applyAlignment="0" applyProtection="0"/>
    <xf numFmtId="0" fontId="26" fillId="15" borderId="67" applyNumberFormat="0" applyAlignment="0" applyProtection="0"/>
  </cellStyleXfs>
  <cellXfs count="5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170" fontId="5" fillId="4" borderId="15" xfId="0" applyNumberFormat="1" applyFont="1" applyFill="1" applyBorder="1" applyAlignment="1" applyProtection="1">
      <alignment horizontal="right" vertical="center"/>
      <protection hidden="1"/>
    </xf>
    <xf numFmtId="170" fontId="5" fillId="4" borderId="38" xfId="0" applyNumberFormat="1" applyFont="1" applyFill="1" applyBorder="1" applyAlignment="1" applyProtection="1">
      <alignment horizontal="right" vertical="center"/>
      <protection hidden="1"/>
    </xf>
    <xf numFmtId="170" fontId="5" fillId="0" borderId="74" xfId="0" applyNumberFormat="1" applyFont="1" applyFill="1" applyBorder="1" applyAlignment="1" applyProtection="1">
      <alignment horizontal="right" vertical="center"/>
      <protection hidden="1"/>
    </xf>
    <xf numFmtId="170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6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7" fillId="14" borderId="0" xfId="1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" fillId="9" borderId="4" xfId="8" applyFont="1">
      <alignment horizontal="left" vertical="center"/>
      <protection locked="0"/>
    </xf>
    <xf numFmtId="0" fontId="15" fillId="9" borderId="4" xfId="8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49" fontId="6" fillId="0" borderId="4" xfId="9" applyFont="1">
      <alignment horizontal="left" inden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1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916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2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2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2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2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2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2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92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17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01.01.2017. god.</v>
      </c>
      <c r="G393" s="162" t="str">
        <f>CONCATENATE("Stanje na dan ", Podesavanja!$X$6, " god.")</f>
        <v>Stanje na dan 01.01.2017. god.</v>
      </c>
      <c r="H393" s="162" t="str">
        <f>CONCATENATE("Стaњe нa дaн ",  Podesavanja!$X$6, " гoд.")</f>
        <v>Стaњe нa дaн 01.01.2017. гoд.</v>
      </c>
      <c r="I393" s="162" t="str">
        <f>CONCATENATE("Value on day ", Podesavanja!$Y$6)</f>
        <v>Value on day 01.01.2017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01.01.2017. god. (901 ± 902 ± 903)</v>
      </c>
      <c r="G396" s="162" t="str">
        <f>CONCATENATE("Ponovo iskazano stanje na dan ", Podesavanja!$X$6, " god. (901 ± 902 ± 903)")</f>
        <v>Ponovo iskazano stanje na dan 01.01.2017. god. (901 ± 902 ± 903)</v>
      </c>
      <c r="H396" s="162" t="str">
        <f>CONCATENATE("Пoнoвo искaзaнo стaњe нa дaн ",  Podesavanja!$X$6, " гoд. (901 ± 902 ± 903)")</f>
        <v>Пoнoвo искaзaнo стaњe нa дaн 01.01.2017. гoд. (901 ± 902 ± 903)</v>
      </c>
      <c r="I396" s="162" t="str">
        <f>CONCATENATE("New value on day ",  Podesavanja!$Y$6, " (901 ± 902 ± 903)")</f>
        <v>New value on day 01.01.2017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31.12.2017. god. / 01.01.2018.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31.12.2017. god. / 01.01.2018.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31.12.2017. гoд. / 01.01.2018.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31.12.2017 / 01.01.2018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01.01.2018. god. (912 ± 913 ± 914)</v>
      </c>
      <c r="G407" s="162" t="str">
        <f>CONCATENATE("Ponovo iskazano stanje na dan ", Podesavanja!$X$4, " god. (912 ± 913 ± 914)")</f>
        <v>Ponovo iskazano stanje na dan 01.01.2018. god. (912 ± 913 ± 914)</v>
      </c>
      <c r="H407" s="162" t="str">
        <f>CONCATENATE("Пoнoвo искaзaнo стaњe нa дaн ", Podesavanja!$X$4, " гoд. (912 ± 913 ± 914)")</f>
        <v>Пoнoвo искaзaнo стaњe нa дaн 01.01.2018. гoд. (912 ± 913 ± 914)</v>
      </c>
      <c r="I407" s="162" t="str">
        <f>CONCATENATE("New value on day ",  Podesavanja!$Y$4," (912 ± 913 ± 914)")</f>
        <v>New value on day 01.01.2018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30.06.2018. god. (915 ± 916 ± 917 ± 918 ± 919 ± 920 - 921 + 922)</v>
      </c>
      <c r="G415" s="162" t="str">
        <f>CONCATENATE("Stanje na dan ",Datum_Format," god. (915 ± 916 ± 917 ± 918 ± 919 ± 920 - 921 + 922)")</f>
        <v>Stanje na dan 30.06.2018. god. (915 ± 916 ± 917 ± 918 ± 919 ± 920 - 921 + 922)</v>
      </c>
      <c r="H415" s="162" t="str">
        <f>CONCATENATE("Стaњe нa дaн ",Datum_Format," гoд. (915 ± 916 ± 917 ± 918 ± 919 ± 920 - 921 + 922)")</f>
        <v>Стaњe нa дaн 30.06.2018. гoд. (915 ± 916 ± 917 ± 918 ± 919 ± 920 - 921 + 922)</v>
      </c>
      <c r="I415" s="162" t="str">
        <f>CONCATENATE("Value on day ",  Podesavanja!$Y$3," (915 ± 916 ± 917 ± 918 ± 919 ± 920 - 921 + 922)")</f>
        <v>Value on day 30.06.2018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43281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2018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30.06.2018.</v>
      </c>
      <c r="Y1" s="6" t="str">
        <f>TEXT( DATE( Godina, Period_Kraj_Mjesec, Period_Kraj_Dan), "dd.mm.yyyy")</f>
        <v>30.06.2018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43190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43281</v>
      </c>
      <c r="X3" t="str">
        <f>TEXT(W3, "dd.mm.yyyy.")</f>
        <v>30.06.2018.</v>
      </c>
      <c r="Y3" t="str">
        <f>TEXT(W3, "dd.mm.yyyy")</f>
        <v>30.06.2018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43281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43101</v>
      </c>
      <c r="X4" t="str">
        <f>TEXT(W4, "dd.mm.yyyy.")</f>
        <v>01.01.2018.</v>
      </c>
      <c r="Y4" t="str">
        <f>TEXT(W4, "dd.mm.yyyy")</f>
        <v>01.01.2018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43373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43100</v>
      </c>
      <c r="X5" t="str">
        <f>TEXT(W5, "dd.mm.yyyy.")</f>
        <v>31.12.2017.</v>
      </c>
      <c r="Y5" t="str">
        <f>TEXT(W5, "dd.mm.yyyy")</f>
        <v>31.12.2017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43465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42736</v>
      </c>
      <c r="X6" t="str">
        <f>TEXT(W6, "dd.mm.yyyy.")</f>
        <v>01.01.2017.</v>
      </c>
      <c r="Y6" t="str">
        <f>TEXT(W6, "dd.mm.yyyy")</f>
        <v>01.01.2017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01866885</v>
      </c>
      <c r="E2" s="146" t="str">
        <f>Podatak_JIB</f>
        <v>4400836260000</v>
      </c>
      <c r="F2" s="146" t="b">
        <f t="shared" ref="F2:F65" si="2">Konsolidovan_izvjestaj</f>
        <v>0</v>
      </c>
      <c r="G2" s="190">
        <f t="shared" ref="G2:G65" si="3">Datum_Broj</f>
        <v>43281</v>
      </c>
      <c r="H2" s="146">
        <f>VLOOKUP( $A2, Aop!$A$2:$N$415, 4, 0)</f>
        <v>1</v>
      </c>
      <c r="I2" s="146">
        <f t="shared" ref="I2:I65" si="4">Godina</f>
        <v>2018</v>
      </c>
      <c r="J2" s="79">
        <f ca="1">IF( VLOOKUP( $H2, INDIRECT( "Lookup_" &amp; $B2), IF( LEFT( $B2, 2) = "BS", P$2, P$1), 0) = "", "", VLOOKUP( $H2, INDIRECT( "Lookup_" &amp; $B2), IF( $B2 = "BSa", P$2, P$1), 0))</f>
        <v>14981249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2630670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12350579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12083000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01866885</v>
      </c>
      <c r="E3" s="146" t="str">
        <f t="shared" ref="E3:E65" si="8">Podatak_JIB</f>
        <v>4400836260000</v>
      </c>
      <c r="F3" s="146" t="b">
        <f t="shared" si="2"/>
        <v>0</v>
      </c>
      <c r="G3" s="190">
        <f t="shared" si="3"/>
        <v>43281</v>
      </c>
      <c r="H3" s="146">
        <f>VLOOKUP( $A3, Aop!$A$2:$N$415, 4, 0)</f>
        <v>2</v>
      </c>
      <c r="I3" s="146">
        <f t="shared" si="4"/>
        <v>2018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5613</v>
      </c>
      <c r="K3" s="79">
        <f t="shared" ca="1" si="5"/>
        <v>3944</v>
      </c>
      <c r="L3" s="79">
        <f t="shared" ca="1" si="6"/>
        <v>1669</v>
      </c>
      <c r="M3" s="79">
        <f t="shared" ca="1" si="7"/>
        <v>1393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01866885</v>
      </c>
      <c r="E4" s="146" t="str">
        <f t="shared" si="8"/>
        <v>4400836260000</v>
      </c>
      <c r="F4" s="146" t="b">
        <f t="shared" si="2"/>
        <v>0</v>
      </c>
      <c r="G4" s="190">
        <f t="shared" si="3"/>
        <v>43281</v>
      </c>
      <c r="H4" s="146">
        <f>VLOOKUP( $A4, Aop!$A$2:$N$415, 4, 0)</f>
        <v>3</v>
      </c>
      <c r="I4" s="146">
        <f t="shared" si="4"/>
        <v>2018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01866885</v>
      </c>
      <c r="E5" s="146" t="str">
        <f t="shared" si="8"/>
        <v>4400836260000</v>
      </c>
      <c r="F5" s="146" t="b">
        <f t="shared" si="2"/>
        <v>0</v>
      </c>
      <c r="G5" s="190">
        <f t="shared" si="3"/>
        <v>43281</v>
      </c>
      <c r="H5" s="146">
        <f>VLOOKUP( $A5, Aop!$A$2:$N$415, 4, 0)</f>
        <v>4</v>
      </c>
      <c r="I5" s="146">
        <f t="shared" si="4"/>
        <v>2018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01866885</v>
      </c>
      <c r="E6" s="146" t="str">
        <f t="shared" si="8"/>
        <v>4400836260000</v>
      </c>
      <c r="F6" s="146" t="b">
        <f t="shared" si="2"/>
        <v>0</v>
      </c>
      <c r="G6" s="190">
        <f t="shared" si="3"/>
        <v>43281</v>
      </c>
      <c r="H6" s="146">
        <f>VLOOKUP( $A6, Aop!$A$2:$N$415, 4, 0)</f>
        <v>5</v>
      </c>
      <c r="I6" s="146">
        <f t="shared" si="4"/>
        <v>2018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01866885</v>
      </c>
      <c r="E7" s="146" t="str">
        <f t="shared" si="8"/>
        <v>4400836260000</v>
      </c>
      <c r="F7" s="146" t="b">
        <f t="shared" si="2"/>
        <v>0</v>
      </c>
      <c r="G7" s="190">
        <f t="shared" si="3"/>
        <v>43281</v>
      </c>
      <c r="H7" s="146">
        <f>VLOOKUP( $A7, Aop!$A$2:$N$415, 4, 0)</f>
        <v>6</v>
      </c>
      <c r="I7" s="146">
        <f t="shared" si="4"/>
        <v>2018</v>
      </c>
      <c r="J7" s="79">
        <f t="shared" ca="1" si="9"/>
        <v>5613</v>
      </c>
      <c r="K7" s="79">
        <f t="shared" ca="1" si="5"/>
        <v>3944</v>
      </c>
      <c r="L7" s="79">
        <f t="shared" ca="1" si="6"/>
        <v>1669</v>
      </c>
      <c r="M7" s="79">
        <f t="shared" ca="1" si="7"/>
        <v>1393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01866885</v>
      </c>
      <c r="E8" s="146" t="str">
        <f t="shared" si="8"/>
        <v>4400836260000</v>
      </c>
      <c r="F8" s="146" t="b">
        <f t="shared" si="2"/>
        <v>0</v>
      </c>
      <c r="G8" s="190">
        <f t="shared" si="3"/>
        <v>43281</v>
      </c>
      <c r="H8" s="146">
        <f>VLOOKUP( $A8, Aop!$A$2:$N$415, 4, 0)</f>
        <v>7</v>
      </c>
      <c r="I8" s="146">
        <f t="shared" si="4"/>
        <v>2018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01866885</v>
      </c>
      <c r="E9" s="146" t="str">
        <f t="shared" si="8"/>
        <v>4400836260000</v>
      </c>
      <c r="F9" s="146" t="b">
        <f t="shared" si="2"/>
        <v>0</v>
      </c>
      <c r="G9" s="190">
        <f t="shared" si="3"/>
        <v>43281</v>
      </c>
      <c r="H9" s="146">
        <f>VLOOKUP( $A9, Aop!$A$2:$N$415, 4, 0)</f>
        <v>8</v>
      </c>
      <c r="I9" s="146">
        <f t="shared" si="4"/>
        <v>2018</v>
      </c>
      <c r="J9" s="79">
        <f t="shared" ca="1" si="9"/>
        <v>11873285</v>
      </c>
      <c r="K9" s="79">
        <f t="shared" ca="1" si="5"/>
        <v>2626726</v>
      </c>
      <c r="L9" s="79">
        <f t="shared" ca="1" si="6"/>
        <v>9246559</v>
      </c>
      <c r="M9" s="79">
        <f t="shared" ca="1" si="7"/>
        <v>8979256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01866885</v>
      </c>
      <c r="E10" s="146" t="str">
        <f t="shared" si="8"/>
        <v>4400836260000</v>
      </c>
      <c r="F10" s="146" t="b">
        <f t="shared" si="2"/>
        <v>0</v>
      </c>
      <c r="G10" s="190">
        <f t="shared" si="3"/>
        <v>43281</v>
      </c>
      <c r="H10" s="146">
        <f>VLOOKUP( $A10, Aop!$A$2:$N$415, 4, 0)</f>
        <v>9</v>
      </c>
      <c r="I10" s="146">
        <f t="shared" si="4"/>
        <v>2018</v>
      </c>
      <c r="J10" s="79">
        <f t="shared" ca="1" si="9"/>
        <v>1289780</v>
      </c>
      <c r="K10" s="79" t="str">
        <f t="shared" ca="1" si="5"/>
        <v/>
      </c>
      <c r="L10" s="79">
        <f t="shared" ca="1" si="6"/>
        <v>1289780</v>
      </c>
      <c r="M10" s="79">
        <f t="shared" ca="1" si="7"/>
        <v>1289780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01866885</v>
      </c>
      <c r="E11" s="146" t="str">
        <f t="shared" si="8"/>
        <v>4400836260000</v>
      </c>
      <c r="F11" s="146" t="b">
        <f t="shared" si="2"/>
        <v>0</v>
      </c>
      <c r="G11" s="190">
        <f t="shared" si="3"/>
        <v>43281</v>
      </c>
      <c r="H11" s="146">
        <f>VLOOKUP( $A11, Aop!$A$2:$N$415, 4, 0)</f>
        <v>10</v>
      </c>
      <c r="I11" s="146">
        <f t="shared" si="4"/>
        <v>2018</v>
      </c>
      <c r="J11" s="79">
        <f t="shared" ca="1" si="9"/>
        <v>5398993</v>
      </c>
      <c r="K11" s="79">
        <f t="shared" ca="1" si="5"/>
        <v>1327248</v>
      </c>
      <c r="L11" s="79">
        <f t="shared" ca="1" si="6"/>
        <v>4071745</v>
      </c>
      <c r="M11" s="79">
        <f t="shared" ca="1" si="7"/>
        <v>3254263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01866885</v>
      </c>
      <c r="E12" s="146" t="str">
        <f t="shared" si="8"/>
        <v>4400836260000</v>
      </c>
      <c r="F12" s="146" t="b">
        <f t="shared" si="2"/>
        <v>0</v>
      </c>
      <c r="G12" s="190">
        <f t="shared" si="3"/>
        <v>43281</v>
      </c>
      <c r="H12" s="146">
        <f>VLOOKUP( $A12, Aop!$A$2:$N$415, 4, 0)</f>
        <v>11</v>
      </c>
      <c r="I12" s="146">
        <f t="shared" si="4"/>
        <v>2018</v>
      </c>
      <c r="J12" s="79">
        <f t="shared" ca="1" si="9"/>
        <v>795933</v>
      </c>
      <c r="K12" s="79">
        <f t="shared" ca="1" si="5"/>
        <v>648536</v>
      </c>
      <c r="L12" s="79">
        <f t="shared" ca="1" si="6"/>
        <v>147397</v>
      </c>
      <c r="M12" s="79">
        <f t="shared" ca="1" si="7"/>
        <v>103907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01866885</v>
      </c>
      <c r="E13" s="146" t="str">
        <f t="shared" si="8"/>
        <v>4400836260000</v>
      </c>
      <c r="F13" s="146" t="b">
        <f t="shared" si="2"/>
        <v>0</v>
      </c>
      <c r="G13" s="190">
        <f t="shared" si="3"/>
        <v>43281</v>
      </c>
      <c r="H13" s="146">
        <f>VLOOKUP( $A13, Aop!$A$2:$N$415, 4, 0)</f>
        <v>12</v>
      </c>
      <c r="I13" s="146">
        <f t="shared" si="4"/>
        <v>2018</v>
      </c>
      <c r="J13" s="79">
        <f t="shared" ca="1" si="9"/>
        <v>1818467</v>
      </c>
      <c r="K13" s="79">
        <f t="shared" ca="1" si="5"/>
        <v>648961</v>
      </c>
      <c r="L13" s="79">
        <f t="shared" ca="1" si="6"/>
        <v>1169506</v>
      </c>
      <c r="M13" s="79">
        <f t="shared" ca="1" si="7"/>
        <v>2029306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01866885</v>
      </c>
      <c r="E14" s="146" t="str">
        <f t="shared" si="8"/>
        <v>4400836260000</v>
      </c>
      <c r="F14" s="146" t="b">
        <f t="shared" si="2"/>
        <v>0</v>
      </c>
      <c r="G14" s="190">
        <f t="shared" si="3"/>
        <v>43281</v>
      </c>
      <c r="H14" s="146">
        <f>VLOOKUP( $A14, Aop!$A$2:$N$415, 4, 0)</f>
        <v>13</v>
      </c>
      <c r="I14" s="146">
        <f t="shared" si="4"/>
        <v>2018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01866885</v>
      </c>
      <c r="E15" s="146" t="str">
        <f t="shared" si="8"/>
        <v>4400836260000</v>
      </c>
      <c r="F15" s="146" t="b">
        <f t="shared" si="2"/>
        <v>0</v>
      </c>
      <c r="G15" s="190">
        <f t="shared" si="3"/>
        <v>43281</v>
      </c>
      <c r="H15" s="146">
        <f>VLOOKUP( $A15, Aop!$A$2:$N$415, 4, 0)</f>
        <v>14</v>
      </c>
      <c r="I15" s="146">
        <f t="shared" si="4"/>
        <v>2018</v>
      </c>
      <c r="J15" s="79">
        <f t="shared" ca="1" si="9"/>
        <v>2570112</v>
      </c>
      <c r="K15" s="79">
        <f t="shared" ca="1" si="5"/>
        <v>1981</v>
      </c>
      <c r="L15" s="79">
        <f t="shared" ca="1" si="6"/>
        <v>2568131</v>
      </c>
      <c r="M15" s="79">
        <f t="shared" ca="1" si="7"/>
        <v>2302000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01866885</v>
      </c>
      <c r="E16" s="146" t="str">
        <f t="shared" si="8"/>
        <v>4400836260000</v>
      </c>
      <c r="F16" s="146" t="b">
        <f t="shared" si="2"/>
        <v>0</v>
      </c>
      <c r="G16" s="190">
        <f t="shared" si="3"/>
        <v>43281</v>
      </c>
      <c r="H16" s="146">
        <f>VLOOKUP( $A16, Aop!$A$2:$N$415, 4, 0)</f>
        <v>15</v>
      </c>
      <c r="I16" s="146">
        <f t="shared" si="4"/>
        <v>2018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01866885</v>
      </c>
      <c r="E17" s="146" t="str">
        <f t="shared" si="8"/>
        <v>4400836260000</v>
      </c>
      <c r="F17" s="146" t="b">
        <f t="shared" si="2"/>
        <v>0</v>
      </c>
      <c r="G17" s="190">
        <f t="shared" si="3"/>
        <v>43281</v>
      </c>
      <c r="H17" s="146">
        <f>VLOOKUP( $A17, Aop!$A$2:$N$415, 4, 0)</f>
        <v>16</v>
      </c>
      <c r="I17" s="146">
        <f t="shared" si="4"/>
        <v>2018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01866885</v>
      </c>
      <c r="E18" s="146" t="str">
        <f t="shared" si="8"/>
        <v>4400836260000</v>
      </c>
      <c r="F18" s="146" t="b">
        <f t="shared" si="2"/>
        <v>0</v>
      </c>
      <c r="G18" s="190">
        <f t="shared" si="3"/>
        <v>43281</v>
      </c>
      <c r="H18" s="146">
        <f>VLOOKUP( $A18, Aop!$A$2:$N$415, 4, 0)</f>
        <v>17</v>
      </c>
      <c r="I18" s="146">
        <f t="shared" si="4"/>
        <v>2018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01866885</v>
      </c>
      <c r="E19" s="146" t="str">
        <f t="shared" si="8"/>
        <v>4400836260000</v>
      </c>
      <c r="F19" s="146" t="b">
        <f t="shared" si="2"/>
        <v>0</v>
      </c>
      <c r="G19" s="190">
        <f t="shared" si="3"/>
        <v>43281</v>
      </c>
      <c r="H19" s="146">
        <f>VLOOKUP( $A19, Aop!$A$2:$N$415, 4, 0)</f>
        <v>18</v>
      </c>
      <c r="I19" s="146">
        <f t="shared" si="4"/>
        <v>2018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01866885</v>
      </c>
      <c r="E20" s="146" t="str">
        <f t="shared" si="8"/>
        <v>4400836260000</v>
      </c>
      <c r="F20" s="146" t="b">
        <f t="shared" si="2"/>
        <v>0</v>
      </c>
      <c r="G20" s="190">
        <f t="shared" si="3"/>
        <v>43281</v>
      </c>
      <c r="H20" s="146">
        <f>VLOOKUP( $A20, Aop!$A$2:$N$415, 4, 0)</f>
        <v>19</v>
      </c>
      <c r="I20" s="146">
        <f t="shared" si="4"/>
        <v>2018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01866885</v>
      </c>
      <c r="E21" s="146" t="str">
        <f t="shared" si="8"/>
        <v>4400836260000</v>
      </c>
      <c r="F21" s="146" t="b">
        <f t="shared" si="2"/>
        <v>0</v>
      </c>
      <c r="G21" s="190">
        <f t="shared" si="3"/>
        <v>43281</v>
      </c>
      <c r="H21" s="146">
        <f>VLOOKUP( $A21, Aop!$A$2:$N$415, 4, 0)</f>
        <v>20</v>
      </c>
      <c r="I21" s="146">
        <f t="shared" si="4"/>
        <v>2018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01866885</v>
      </c>
      <c r="E22" s="146" t="str">
        <f t="shared" si="8"/>
        <v>4400836260000</v>
      </c>
      <c r="F22" s="146" t="b">
        <f t="shared" si="2"/>
        <v>0</v>
      </c>
      <c r="G22" s="190">
        <f t="shared" si="3"/>
        <v>43281</v>
      </c>
      <c r="H22" s="146">
        <f>VLOOKUP( $A22, Aop!$A$2:$N$415, 4, 0)</f>
        <v>21</v>
      </c>
      <c r="I22" s="146">
        <f t="shared" si="4"/>
        <v>2018</v>
      </c>
      <c r="J22" s="79">
        <f t="shared" ca="1" si="9"/>
        <v>3102351</v>
      </c>
      <c r="K22" s="79">
        <f t="shared" ca="1" si="5"/>
        <v>0</v>
      </c>
      <c r="L22" s="79">
        <f t="shared" ca="1" si="6"/>
        <v>3102351</v>
      </c>
      <c r="M22" s="79">
        <f t="shared" ca="1" si="7"/>
        <v>3102351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01866885</v>
      </c>
      <c r="E23" s="146" t="str">
        <f t="shared" si="8"/>
        <v>4400836260000</v>
      </c>
      <c r="F23" s="146" t="b">
        <f t="shared" si="2"/>
        <v>0</v>
      </c>
      <c r="G23" s="190">
        <f t="shared" si="3"/>
        <v>43281</v>
      </c>
      <c r="H23" s="146">
        <f>VLOOKUP( $A23, Aop!$A$2:$N$415, 4, 0)</f>
        <v>22</v>
      </c>
      <c r="I23" s="146">
        <f t="shared" si="4"/>
        <v>2018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01866885</v>
      </c>
      <c r="E24" s="146" t="str">
        <f t="shared" si="8"/>
        <v>4400836260000</v>
      </c>
      <c r="F24" s="146" t="b">
        <f t="shared" si="2"/>
        <v>0</v>
      </c>
      <c r="G24" s="190">
        <f t="shared" si="3"/>
        <v>43281</v>
      </c>
      <c r="H24" s="146">
        <f>VLOOKUP( $A24, Aop!$A$2:$N$415, 4, 0)</f>
        <v>23</v>
      </c>
      <c r="I24" s="146">
        <f t="shared" si="4"/>
        <v>2018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01866885</v>
      </c>
      <c r="E25" s="146" t="str">
        <f t="shared" si="8"/>
        <v>4400836260000</v>
      </c>
      <c r="F25" s="146" t="b">
        <f t="shared" si="2"/>
        <v>0</v>
      </c>
      <c r="G25" s="190">
        <f t="shared" si="3"/>
        <v>43281</v>
      </c>
      <c r="H25" s="146">
        <f>VLOOKUP( $A25, Aop!$A$2:$N$415, 4, 0)</f>
        <v>24</v>
      </c>
      <c r="I25" s="146">
        <f t="shared" si="4"/>
        <v>2018</v>
      </c>
      <c r="J25" s="79">
        <f t="shared" ca="1" si="9"/>
        <v>3100000</v>
      </c>
      <c r="K25" s="79" t="str">
        <f t="shared" ca="1" si="5"/>
        <v/>
      </c>
      <c r="L25" s="79">
        <f t="shared" ca="1" si="6"/>
        <v>3100000</v>
      </c>
      <c r="M25" s="79">
        <f t="shared" ca="1" si="7"/>
        <v>3100000</v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01866885</v>
      </c>
      <c r="E26" s="146" t="str">
        <f t="shared" si="8"/>
        <v>4400836260000</v>
      </c>
      <c r="F26" s="146" t="b">
        <f t="shared" si="2"/>
        <v>0</v>
      </c>
      <c r="G26" s="190">
        <f t="shared" si="3"/>
        <v>43281</v>
      </c>
      <c r="H26" s="146">
        <f>VLOOKUP( $A26, Aop!$A$2:$N$415, 4, 0)</f>
        <v>25</v>
      </c>
      <c r="I26" s="146">
        <f t="shared" si="4"/>
        <v>2018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01866885</v>
      </c>
      <c r="E27" s="146" t="str">
        <f t="shared" si="8"/>
        <v>4400836260000</v>
      </c>
      <c r="F27" s="146" t="b">
        <f t="shared" si="2"/>
        <v>0</v>
      </c>
      <c r="G27" s="190">
        <f t="shared" si="3"/>
        <v>43281</v>
      </c>
      <c r="H27" s="146">
        <f>VLOOKUP( $A27, Aop!$A$2:$N$415, 4, 0)</f>
        <v>26</v>
      </c>
      <c r="I27" s="146">
        <f t="shared" si="4"/>
        <v>2018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01866885</v>
      </c>
      <c r="E28" s="146" t="str">
        <f t="shared" si="8"/>
        <v>4400836260000</v>
      </c>
      <c r="F28" s="146" t="b">
        <f t="shared" si="2"/>
        <v>0</v>
      </c>
      <c r="G28" s="190">
        <f t="shared" si="3"/>
        <v>43281</v>
      </c>
      <c r="H28" s="146">
        <f>VLOOKUP( $A28, Aop!$A$2:$N$415, 4, 0)</f>
        <v>27</v>
      </c>
      <c r="I28" s="146">
        <f t="shared" si="4"/>
        <v>2018</v>
      </c>
      <c r="J28" s="79">
        <f t="shared" ca="1" si="9"/>
        <v>2351</v>
      </c>
      <c r="K28" s="79" t="str">
        <f t="shared" ca="1" si="5"/>
        <v/>
      </c>
      <c r="L28" s="79">
        <f t="shared" ca="1" si="6"/>
        <v>2351</v>
      </c>
      <c r="M28" s="79">
        <f t="shared" ca="1" si="7"/>
        <v>2351</v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01866885</v>
      </c>
      <c r="E29" s="146" t="str">
        <f t="shared" si="8"/>
        <v>4400836260000</v>
      </c>
      <c r="F29" s="146" t="b">
        <f t="shared" si="2"/>
        <v>0</v>
      </c>
      <c r="G29" s="190">
        <f t="shared" si="3"/>
        <v>43281</v>
      </c>
      <c r="H29" s="146">
        <f>VLOOKUP( $A29, Aop!$A$2:$N$415, 4, 0)</f>
        <v>28</v>
      </c>
      <c r="I29" s="146">
        <f t="shared" si="4"/>
        <v>2018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01866885</v>
      </c>
      <c r="E30" s="146" t="str">
        <f t="shared" si="8"/>
        <v>4400836260000</v>
      </c>
      <c r="F30" s="146" t="b">
        <f t="shared" si="2"/>
        <v>0</v>
      </c>
      <c r="G30" s="190">
        <f t="shared" si="3"/>
        <v>43281</v>
      </c>
      <c r="H30" s="146">
        <f>VLOOKUP( $A30, Aop!$A$2:$N$415, 4, 0)</f>
        <v>29</v>
      </c>
      <c r="I30" s="146">
        <f t="shared" si="4"/>
        <v>2018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01866885</v>
      </c>
      <c r="E31" s="146" t="str">
        <f t="shared" si="8"/>
        <v>4400836260000</v>
      </c>
      <c r="F31" s="146" t="b">
        <f t="shared" si="2"/>
        <v>0</v>
      </c>
      <c r="G31" s="190">
        <f t="shared" si="3"/>
        <v>43281</v>
      </c>
      <c r="H31" s="146">
        <f>VLOOKUP( $A31, Aop!$A$2:$N$415, 4, 0)</f>
        <v>30</v>
      </c>
      <c r="I31" s="146">
        <f t="shared" si="4"/>
        <v>2018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01866885</v>
      </c>
      <c r="E32" s="146" t="str">
        <f t="shared" si="8"/>
        <v>4400836260000</v>
      </c>
      <c r="F32" s="146" t="b">
        <f t="shared" si="2"/>
        <v>0</v>
      </c>
      <c r="G32" s="190">
        <f t="shared" si="3"/>
        <v>43281</v>
      </c>
      <c r="H32" s="146">
        <f>VLOOKUP( $A32, Aop!$A$2:$N$415, 4, 0)</f>
        <v>31</v>
      </c>
      <c r="I32" s="146">
        <f t="shared" si="4"/>
        <v>2018</v>
      </c>
      <c r="J32" s="79">
        <f t="shared" ca="1" si="9"/>
        <v>1632215</v>
      </c>
      <c r="K32" s="79">
        <f t="shared" ca="1" si="5"/>
        <v>9635</v>
      </c>
      <c r="L32" s="79">
        <f t="shared" ca="1" si="6"/>
        <v>1622580</v>
      </c>
      <c r="M32" s="79">
        <f t="shared" ca="1" si="7"/>
        <v>1641306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01866885</v>
      </c>
      <c r="E33" s="146" t="str">
        <f t="shared" si="8"/>
        <v>4400836260000</v>
      </c>
      <c r="F33" s="146" t="b">
        <f t="shared" si="2"/>
        <v>0</v>
      </c>
      <c r="G33" s="190">
        <f t="shared" si="3"/>
        <v>43281</v>
      </c>
      <c r="H33" s="146">
        <f>VLOOKUP( $A33, Aop!$A$2:$N$415, 4, 0)</f>
        <v>32</v>
      </c>
      <c r="I33" s="146">
        <f t="shared" si="4"/>
        <v>2018</v>
      </c>
      <c r="J33" s="79">
        <f t="shared" ca="1" si="9"/>
        <v>216898</v>
      </c>
      <c r="K33" s="79">
        <f t="shared" ca="1" si="5"/>
        <v>0</v>
      </c>
      <c r="L33" s="79">
        <f t="shared" ca="1" si="6"/>
        <v>216898</v>
      </c>
      <c r="M33" s="79">
        <f t="shared" ca="1" si="7"/>
        <v>322564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01866885</v>
      </c>
      <c r="E34" s="146" t="str">
        <f t="shared" si="8"/>
        <v>4400836260000</v>
      </c>
      <c r="F34" s="146" t="b">
        <f t="shared" si="2"/>
        <v>0</v>
      </c>
      <c r="G34" s="190">
        <f t="shared" si="3"/>
        <v>43281</v>
      </c>
      <c r="H34" s="146">
        <f>VLOOKUP( $A34, Aop!$A$2:$N$415, 4, 0)</f>
        <v>33</v>
      </c>
      <c r="I34" s="146">
        <f t="shared" si="4"/>
        <v>2018</v>
      </c>
      <c r="J34" s="79">
        <f t="shared" ca="1" si="9"/>
        <v>3522</v>
      </c>
      <c r="K34" s="79" t="str">
        <f t="shared" ca="1" si="5"/>
        <v/>
      </c>
      <c r="L34" s="79">
        <f t="shared" ca="1" si="6"/>
        <v>3522</v>
      </c>
      <c r="M34" s="79" t="str">
        <f t="shared" ca="1" si="7"/>
        <v/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01866885</v>
      </c>
      <c r="E35" s="146" t="str">
        <f t="shared" si="8"/>
        <v>4400836260000</v>
      </c>
      <c r="F35" s="146" t="b">
        <f t="shared" si="2"/>
        <v>0</v>
      </c>
      <c r="G35" s="190">
        <f t="shared" si="3"/>
        <v>43281</v>
      </c>
      <c r="H35" s="146">
        <f>VLOOKUP( $A35, Aop!$A$2:$N$415, 4, 0)</f>
        <v>34</v>
      </c>
      <c r="I35" s="146">
        <f t="shared" si="4"/>
        <v>2018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01866885</v>
      </c>
      <c r="E36" s="146" t="str">
        <f t="shared" si="8"/>
        <v>4400836260000</v>
      </c>
      <c r="F36" s="146" t="b">
        <f t="shared" si="2"/>
        <v>0</v>
      </c>
      <c r="G36" s="190">
        <f t="shared" si="3"/>
        <v>43281</v>
      </c>
      <c r="H36" s="146">
        <f>VLOOKUP( $A36, Aop!$A$2:$N$415, 4, 0)</f>
        <v>35</v>
      </c>
      <c r="I36" s="146">
        <f t="shared" si="4"/>
        <v>2018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01866885</v>
      </c>
      <c r="E37" s="146" t="str">
        <f t="shared" si="8"/>
        <v>4400836260000</v>
      </c>
      <c r="F37" s="146" t="b">
        <f t="shared" si="2"/>
        <v>0</v>
      </c>
      <c r="G37" s="190">
        <f t="shared" si="3"/>
        <v>43281</v>
      </c>
      <c r="H37" s="146">
        <f>VLOOKUP( $A37, Aop!$A$2:$N$415, 4, 0)</f>
        <v>36</v>
      </c>
      <c r="I37" s="146">
        <f t="shared" si="4"/>
        <v>2018</v>
      </c>
      <c r="J37" s="79">
        <f t="shared" ca="1" si="9"/>
        <v>200381</v>
      </c>
      <c r="K37" s="79" t="str">
        <f t="shared" ca="1" si="5"/>
        <v/>
      </c>
      <c r="L37" s="79">
        <f t="shared" ca="1" si="6"/>
        <v>200381</v>
      </c>
      <c r="M37" s="79">
        <f t="shared" ca="1" si="7"/>
        <v>8246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01866885</v>
      </c>
      <c r="E38" s="146" t="str">
        <f t="shared" si="8"/>
        <v>4400836260000</v>
      </c>
      <c r="F38" s="146" t="b">
        <f t="shared" si="2"/>
        <v>0</v>
      </c>
      <c r="G38" s="190">
        <f t="shared" si="3"/>
        <v>43281</v>
      </c>
      <c r="H38" s="146">
        <f>VLOOKUP( $A38, Aop!$A$2:$N$415, 4, 0)</f>
        <v>37</v>
      </c>
      <c r="I38" s="146">
        <f t="shared" si="4"/>
        <v>2018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01866885</v>
      </c>
      <c r="E39" s="146" t="str">
        <f t="shared" si="8"/>
        <v>4400836260000</v>
      </c>
      <c r="F39" s="146" t="b">
        <f t="shared" si="2"/>
        <v>0</v>
      </c>
      <c r="G39" s="190">
        <f t="shared" si="3"/>
        <v>43281</v>
      </c>
      <c r="H39" s="146">
        <f>VLOOKUP( $A39, Aop!$A$2:$N$415, 4, 0)</f>
        <v>38</v>
      </c>
      <c r="I39" s="146">
        <f t="shared" si="4"/>
        <v>2018</v>
      </c>
      <c r="J39" s="79">
        <f t="shared" ca="1" si="9"/>
        <v>12995</v>
      </c>
      <c r="K39" s="79" t="str">
        <f t="shared" ca="1" si="5"/>
        <v/>
      </c>
      <c r="L39" s="79">
        <f t="shared" ca="1" si="6"/>
        <v>12995</v>
      </c>
      <c r="M39" s="79">
        <f t="shared" ca="1" si="7"/>
        <v>314318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01866885</v>
      </c>
      <c r="E40" s="146" t="str">
        <f t="shared" si="8"/>
        <v>4400836260000</v>
      </c>
      <c r="F40" s="146" t="b">
        <f t="shared" si="2"/>
        <v>0</v>
      </c>
      <c r="G40" s="190">
        <f t="shared" si="3"/>
        <v>43281</v>
      </c>
      <c r="H40" s="146">
        <f>VLOOKUP( $A40, Aop!$A$2:$N$415, 4, 0)</f>
        <v>39</v>
      </c>
      <c r="I40" s="146">
        <f t="shared" si="4"/>
        <v>2018</v>
      </c>
      <c r="J40" s="79">
        <f t="shared" ca="1" si="9"/>
        <v>1415317</v>
      </c>
      <c r="K40" s="79">
        <f t="shared" ca="1" si="5"/>
        <v>9635</v>
      </c>
      <c r="L40" s="79">
        <f t="shared" ca="1" si="6"/>
        <v>1405682</v>
      </c>
      <c r="M40" s="79">
        <f t="shared" ca="1" si="7"/>
        <v>1318742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01866885</v>
      </c>
      <c r="E41" s="146" t="str">
        <f t="shared" si="8"/>
        <v>4400836260000</v>
      </c>
      <c r="F41" s="146" t="b">
        <f t="shared" si="2"/>
        <v>0</v>
      </c>
      <c r="G41" s="190">
        <f t="shared" si="3"/>
        <v>43281</v>
      </c>
      <c r="H41" s="146">
        <f>VLOOKUP( $A41, Aop!$A$2:$N$415, 4, 0)</f>
        <v>40</v>
      </c>
      <c r="I41" s="146">
        <f t="shared" si="4"/>
        <v>2018</v>
      </c>
      <c r="J41" s="79">
        <f t="shared" ca="1" si="9"/>
        <v>510883</v>
      </c>
      <c r="K41" s="79">
        <f t="shared" ca="1" si="5"/>
        <v>9635</v>
      </c>
      <c r="L41" s="79">
        <f t="shared" ca="1" si="6"/>
        <v>501248</v>
      </c>
      <c r="M41" s="79">
        <f t="shared" ca="1" si="7"/>
        <v>362913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01866885</v>
      </c>
      <c r="E42" s="146" t="str">
        <f t="shared" si="8"/>
        <v>4400836260000</v>
      </c>
      <c r="F42" s="146" t="b">
        <f t="shared" si="2"/>
        <v>0</v>
      </c>
      <c r="G42" s="190">
        <f t="shared" si="3"/>
        <v>43281</v>
      </c>
      <c r="H42" s="146">
        <f>VLOOKUP( $A42, Aop!$A$2:$N$415, 4, 0)</f>
        <v>41</v>
      </c>
      <c r="I42" s="146">
        <f t="shared" si="4"/>
        <v>2018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01866885</v>
      </c>
      <c r="E43" s="146" t="str">
        <f t="shared" si="8"/>
        <v>4400836260000</v>
      </c>
      <c r="F43" s="146" t="b">
        <f t="shared" si="2"/>
        <v>0</v>
      </c>
      <c r="G43" s="190">
        <f t="shared" si="3"/>
        <v>43281</v>
      </c>
      <c r="H43" s="146">
        <f>VLOOKUP( $A43, Aop!$A$2:$N$415, 4, 0)</f>
        <v>42</v>
      </c>
      <c r="I43" s="146">
        <f t="shared" si="4"/>
        <v>2018</v>
      </c>
      <c r="J43" s="79">
        <f t="shared" ca="1" si="9"/>
        <v>213666</v>
      </c>
      <c r="K43" s="79">
        <f t="shared" ca="1" si="5"/>
        <v>9635</v>
      </c>
      <c r="L43" s="79">
        <f t="shared" ca="1" si="6"/>
        <v>204031</v>
      </c>
      <c r="M43" s="79">
        <f t="shared" ca="1" si="7"/>
        <v>212157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01866885</v>
      </c>
      <c r="E44" s="146" t="str">
        <f t="shared" si="8"/>
        <v>4400836260000</v>
      </c>
      <c r="F44" s="146" t="b">
        <f t="shared" si="2"/>
        <v>0</v>
      </c>
      <c r="G44" s="190">
        <f t="shared" si="3"/>
        <v>43281</v>
      </c>
      <c r="H44" s="146">
        <f>VLOOKUP( $A44, Aop!$A$2:$N$415, 4, 0)</f>
        <v>43</v>
      </c>
      <c r="I44" s="146">
        <f t="shared" si="4"/>
        <v>2018</v>
      </c>
      <c r="J44" s="79">
        <f t="shared" ca="1" si="9"/>
        <v>108412</v>
      </c>
      <c r="K44" s="79" t="str">
        <f t="shared" ca="1" si="5"/>
        <v/>
      </c>
      <c r="L44" s="79">
        <f t="shared" ca="1" si="6"/>
        <v>108412</v>
      </c>
      <c r="M44" s="79">
        <f t="shared" ca="1" si="7"/>
        <v>109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01866885</v>
      </c>
      <c r="E45" s="146" t="str">
        <f t="shared" si="8"/>
        <v>4400836260000</v>
      </c>
      <c r="F45" s="146" t="b">
        <f t="shared" si="2"/>
        <v>0</v>
      </c>
      <c r="G45" s="190">
        <f t="shared" si="3"/>
        <v>43281</v>
      </c>
      <c r="H45" s="146">
        <f>VLOOKUP( $A45, Aop!$A$2:$N$415, 4, 0)</f>
        <v>44</v>
      </c>
      <c r="I45" s="146">
        <f t="shared" si="4"/>
        <v>2018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01866885</v>
      </c>
      <c r="E46" s="146" t="str">
        <f t="shared" si="8"/>
        <v>4400836260000</v>
      </c>
      <c r="F46" s="146" t="b">
        <f t="shared" si="2"/>
        <v>0</v>
      </c>
      <c r="G46" s="190">
        <f t="shared" si="3"/>
        <v>43281</v>
      </c>
      <c r="H46" s="146">
        <f>VLOOKUP( $A46, Aop!$A$2:$N$415, 4, 0)</f>
        <v>45</v>
      </c>
      <c r="I46" s="146">
        <f t="shared" si="4"/>
        <v>2018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01866885</v>
      </c>
      <c r="E47" s="146" t="str">
        <f t="shared" si="8"/>
        <v>4400836260000</v>
      </c>
      <c r="F47" s="146" t="b">
        <f t="shared" si="2"/>
        <v>0</v>
      </c>
      <c r="G47" s="190">
        <f t="shared" si="3"/>
        <v>43281</v>
      </c>
      <c r="H47" s="146">
        <f>VLOOKUP( $A47, Aop!$A$2:$N$415, 4, 0)</f>
        <v>46</v>
      </c>
      <c r="I47" s="146">
        <f t="shared" si="4"/>
        <v>2018</v>
      </c>
      <c r="J47" s="79">
        <f t="shared" ca="1" si="9"/>
        <v>188805</v>
      </c>
      <c r="K47" s="79" t="str">
        <f t="shared" ca="1" si="5"/>
        <v/>
      </c>
      <c r="L47" s="79">
        <f t="shared" ca="1" si="6"/>
        <v>188805</v>
      </c>
      <c r="M47" s="79">
        <f t="shared" ca="1" si="7"/>
        <v>150647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01866885</v>
      </c>
      <c r="E48" s="146" t="str">
        <f t="shared" si="8"/>
        <v>4400836260000</v>
      </c>
      <c r="F48" s="146" t="b">
        <f t="shared" si="2"/>
        <v>0</v>
      </c>
      <c r="G48" s="190">
        <f t="shared" si="3"/>
        <v>43281</v>
      </c>
      <c r="H48" s="146">
        <f>VLOOKUP( $A48, Aop!$A$2:$N$415, 4, 0)</f>
        <v>47</v>
      </c>
      <c r="I48" s="146">
        <f t="shared" si="4"/>
        <v>2018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01866885</v>
      </c>
      <c r="E49" s="146" t="str">
        <f t="shared" si="8"/>
        <v>4400836260000</v>
      </c>
      <c r="F49" s="146" t="b">
        <f t="shared" si="2"/>
        <v>0</v>
      </c>
      <c r="G49" s="190">
        <f t="shared" si="3"/>
        <v>43281</v>
      </c>
      <c r="H49" s="146">
        <f>VLOOKUP( $A49, Aop!$A$2:$N$415, 4, 0)</f>
        <v>48</v>
      </c>
      <c r="I49" s="146">
        <f t="shared" si="4"/>
        <v>2018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01866885</v>
      </c>
      <c r="E50" s="146" t="str">
        <f t="shared" si="8"/>
        <v>4400836260000</v>
      </c>
      <c r="F50" s="146" t="b">
        <f t="shared" si="2"/>
        <v>0</v>
      </c>
      <c r="G50" s="190">
        <f t="shared" si="3"/>
        <v>43281</v>
      </c>
      <c r="H50" s="146">
        <f>VLOOKUP( $A50, Aop!$A$2:$N$415, 4, 0)</f>
        <v>49</v>
      </c>
      <c r="I50" s="146">
        <f t="shared" si="4"/>
        <v>2018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01866885</v>
      </c>
      <c r="E51" s="146" t="str">
        <f t="shared" si="8"/>
        <v>4400836260000</v>
      </c>
      <c r="F51" s="146" t="b">
        <f t="shared" si="2"/>
        <v>0</v>
      </c>
      <c r="G51" s="190">
        <f t="shared" si="3"/>
        <v>43281</v>
      </c>
      <c r="H51" s="146">
        <f>VLOOKUP( $A51, Aop!$A$2:$N$415, 4, 0)</f>
        <v>50</v>
      </c>
      <c r="I51" s="146">
        <f t="shared" si="4"/>
        <v>2018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01866885</v>
      </c>
      <c r="E52" s="146" t="str">
        <f t="shared" si="8"/>
        <v>4400836260000</v>
      </c>
      <c r="F52" s="146" t="b">
        <f t="shared" si="2"/>
        <v>0</v>
      </c>
      <c r="G52" s="190">
        <f t="shared" si="3"/>
        <v>43281</v>
      </c>
      <c r="H52" s="146">
        <f>VLOOKUP( $A52, Aop!$A$2:$N$415, 4, 0)</f>
        <v>51</v>
      </c>
      <c r="I52" s="146">
        <f t="shared" si="4"/>
        <v>2018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01866885</v>
      </c>
      <c r="E53" s="146" t="str">
        <f t="shared" si="8"/>
        <v>4400836260000</v>
      </c>
      <c r="F53" s="146" t="b">
        <f t="shared" si="2"/>
        <v>0</v>
      </c>
      <c r="G53" s="190">
        <f t="shared" si="3"/>
        <v>43281</v>
      </c>
      <c r="H53" s="146">
        <f>VLOOKUP( $A53, Aop!$A$2:$N$415, 4, 0)</f>
        <v>52</v>
      </c>
      <c r="I53" s="146">
        <f t="shared" si="4"/>
        <v>2018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01866885</v>
      </c>
      <c r="E54" s="146" t="str">
        <f t="shared" si="8"/>
        <v>4400836260000</v>
      </c>
      <c r="F54" s="146" t="b">
        <f t="shared" si="2"/>
        <v>0</v>
      </c>
      <c r="G54" s="190">
        <f t="shared" si="3"/>
        <v>43281</v>
      </c>
      <c r="H54" s="146">
        <f>VLOOKUP( $A54, Aop!$A$2:$N$415, 4, 0)</f>
        <v>53</v>
      </c>
      <c r="I54" s="146">
        <f t="shared" si="4"/>
        <v>2018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01866885</v>
      </c>
      <c r="E55" s="146" t="str">
        <f t="shared" si="8"/>
        <v>4400836260000</v>
      </c>
      <c r="F55" s="146" t="b">
        <f t="shared" si="2"/>
        <v>0</v>
      </c>
      <c r="G55" s="190">
        <f t="shared" si="3"/>
        <v>43281</v>
      </c>
      <c r="H55" s="146">
        <f>VLOOKUP( $A55, Aop!$A$2:$N$415, 4, 0)</f>
        <v>54</v>
      </c>
      <c r="I55" s="146">
        <f t="shared" si="4"/>
        <v>2018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01866885</v>
      </c>
      <c r="E56" s="146" t="str">
        <f t="shared" si="8"/>
        <v>4400836260000</v>
      </c>
      <c r="F56" s="146" t="b">
        <f t="shared" si="2"/>
        <v>0</v>
      </c>
      <c r="G56" s="190">
        <f t="shared" si="3"/>
        <v>43281</v>
      </c>
      <c r="H56" s="146">
        <f>VLOOKUP( $A56, Aop!$A$2:$N$415, 4, 0)</f>
        <v>55</v>
      </c>
      <c r="I56" s="146">
        <f t="shared" si="4"/>
        <v>2018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01866885</v>
      </c>
      <c r="E57" s="146" t="str">
        <f t="shared" si="8"/>
        <v>4400836260000</v>
      </c>
      <c r="F57" s="146" t="b">
        <f t="shared" si="2"/>
        <v>0</v>
      </c>
      <c r="G57" s="190">
        <f t="shared" si="3"/>
        <v>43281</v>
      </c>
      <c r="H57" s="146">
        <f>VLOOKUP( $A57, Aop!$A$2:$N$415, 4, 0)</f>
        <v>56</v>
      </c>
      <c r="I57" s="146">
        <f t="shared" si="4"/>
        <v>2018</v>
      </c>
      <c r="J57" s="79">
        <f t="shared" ca="1" si="9"/>
        <v>866918</v>
      </c>
      <c r="K57" s="79">
        <f t="shared" ca="1" si="5"/>
        <v>0</v>
      </c>
      <c r="L57" s="79">
        <f t="shared" ca="1" si="6"/>
        <v>866918</v>
      </c>
      <c r="M57" s="79">
        <f t="shared" ca="1" si="7"/>
        <v>952868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01866885</v>
      </c>
      <c r="E58" s="146" t="str">
        <f t="shared" si="8"/>
        <v>4400836260000</v>
      </c>
      <c r="F58" s="146" t="b">
        <f t="shared" si="2"/>
        <v>0</v>
      </c>
      <c r="G58" s="190">
        <f t="shared" si="3"/>
        <v>43281</v>
      </c>
      <c r="H58" s="146">
        <f>VLOOKUP( $A58, Aop!$A$2:$N$415, 4, 0)</f>
        <v>57</v>
      </c>
      <c r="I58" s="146">
        <f t="shared" si="4"/>
        <v>2018</v>
      </c>
      <c r="J58" s="79">
        <f t="shared" ca="1" si="9"/>
        <v>0</v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01866885</v>
      </c>
      <c r="E59" s="146" t="str">
        <f t="shared" si="8"/>
        <v>4400836260000</v>
      </c>
      <c r="F59" s="146" t="b">
        <f t="shared" si="2"/>
        <v>0</v>
      </c>
      <c r="G59" s="190">
        <f t="shared" si="3"/>
        <v>43281</v>
      </c>
      <c r="H59" s="146">
        <f>VLOOKUP( $A59, Aop!$A$2:$N$415, 4, 0)</f>
        <v>58</v>
      </c>
      <c r="I59" s="146">
        <f t="shared" si="4"/>
        <v>2018</v>
      </c>
      <c r="J59" s="79">
        <f t="shared" ca="1" si="9"/>
        <v>866918</v>
      </c>
      <c r="K59" s="79" t="str">
        <f t="shared" ca="1" si="5"/>
        <v/>
      </c>
      <c r="L59" s="79">
        <f t="shared" ca="1" si="6"/>
        <v>866918</v>
      </c>
      <c r="M59" s="79">
        <f t="shared" ca="1" si="7"/>
        <v>952868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01866885</v>
      </c>
      <c r="E60" s="146" t="str">
        <f t="shared" si="8"/>
        <v>4400836260000</v>
      </c>
      <c r="F60" s="146" t="b">
        <f t="shared" si="2"/>
        <v>0</v>
      </c>
      <c r="G60" s="190">
        <f t="shared" si="3"/>
        <v>43281</v>
      </c>
      <c r="H60" s="146">
        <f>VLOOKUP( $A60, Aop!$A$2:$N$415, 4, 0)</f>
        <v>59</v>
      </c>
      <c r="I60" s="146">
        <f t="shared" si="4"/>
        <v>2018</v>
      </c>
      <c r="J60" s="79">
        <f t="shared" ca="1" si="9"/>
        <v>35034</v>
      </c>
      <c r="K60" s="79" t="str">
        <f t="shared" ca="1" si="5"/>
        <v/>
      </c>
      <c r="L60" s="79">
        <f t="shared" ca="1" si="6"/>
        <v>35034</v>
      </c>
      <c r="M60" s="79">
        <f t="shared" ca="1" si="7"/>
        <v>72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01866885</v>
      </c>
      <c r="E61" s="146" t="str">
        <f t="shared" si="8"/>
        <v>4400836260000</v>
      </c>
      <c r="F61" s="146" t="b">
        <f t="shared" si="2"/>
        <v>0</v>
      </c>
      <c r="G61" s="190">
        <f t="shared" si="3"/>
        <v>43281</v>
      </c>
      <c r="H61" s="146">
        <f>VLOOKUP( $A61, Aop!$A$2:$N$415, 4, 0)</f>
        <v>60</v>
      </c>
      <c r="I61" s="146">
        <f t="shared" si="4"/>
        <v>2018</v>
      </c>
      <c r="J61" s="79">
        <f t="shared" ca="1" si="9"/>
        <v>2482</v>
      </c>
      <c r="K61" s="79" t="str">
        <f t="shared" ca="1" si="5"/>
        <v/>
      </c>
      <c r="L61" s="79">
        <f t="shared" ca="1" si="6"/>
        <v>2482</v>
      </c>
      <c r="M61" s="79">
        <f t="shared" ca="1" si="7"/>
        <v>2889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01866885</v>
      </c>
      <c r="E62" s="146" t="str">
        <f t="shared" si="8"/>
        <v>4400836260000</v>
      </c>
      <c r="F62" s="146" t="b">
        <f t="shared" si="2"/>
        <v>0</v>
      </c>
      <c r="G62" s="190">
        <f t="shared" si="3"/>
        <v>43281</v>
      </c>
      <c r="H62" s="146">
        <f>VLOOKUP( $A62, Aop!$A$2:$N$415, 4, 0)</f>
        <v>61</v>
      </c>
      <c r="I62" s="146">
        <f t="shared" si="4"/>
        <v>2018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01866885</v>
      </c>
      <c r="E63" s="146" t="str">
        <f t="shared" si="8"/>
        <v>4400836260000</v>
      </c>
      <c r="F63" s="146" t="b">
        <f t="shared" si="2"/>
        <v>0</v>
      </c>
      <c r="G63" s="190">
        <f t="shared" si="3"/>
        <v>43281</v>
      </c>
      <c r="H63" s="146">
        <f>VLOOKUP( $A63, Aop!$A$2:$N$415, 4, 0)</f>
        <v>62</v>
      </c>
      <c r="I63" s="146">
        <f t="shared" si="4"/>
        <v>2018</v>
      </c>
      <c r="J63" s="79">
        <f t="shared" ca="1" si="9"/>
        <v>16613464</v>
      </c>
      <c r="K63" s="79">
        <f t="shared" ca="1" si="5"/>
        <v>2640305</v>
      </c>
      <c r="L63" s="79">
        <f t="shared" ca="1" si="6"/>
        <v>13973159</v>
      </c>
      <c r="M63" s="79">
        <f t="shared" ca="1" si="7"/>
        <v>13724306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01866885</v>
      </c>
      <c r="E64" s="146" t="str">
        <f t="shared" si="8"/>
        <v>4400836260000</v>
      </c>
      <c r="F64" s="146" t="b">
        <f t="shared" si="2"/>
        <v>0</v>
      </c>
      <c r="G64" s="190">
        <f t="shared" si="3"/>
        <v>43281</v>
      </c>
      <c r="H64" s="146">
        <f>VLOOKUP( $A64, Aop!$A$2:$N$415, 4, 0)</f>
        <v>63</v>
      </c>
      <c r="I64" s="146">
        <f t="shared" si="4"/>
        <v>2018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01866885</v>
      </c>
      <c r="E65" s="146" t="str">
        <f t="shared" si="8"/>
        <v>4400836260000</v>
      </c>
      <c r="F65" s="146" t="b">
        <f t="shared" si="2"/>
        <v>0</v>
      </c>
      <c r="G65" s="190">
        <f t="shared" si="3"/>
        <v>43281</v>
      </c>
      <c r="H65" s="146">
        <f>VLOOKUP( $A65, Aop!$A$2:$N$415, 4, 0)</f>
        <v>64</v>
      </c>
      <c r="I65" s="146">
        <f t="shared" si="4"/>
        <v>2018</v>
      </c>
      <c r="J65" s="79">
        <f t="shared" ca="1" si="9"/>
        <v>16613464</v>
      </c>
      <c r="K65" s="79">
        <f t="shared" ca="1" si="5"/>
        <v>2640305</v>
      </c>
      <c r="L65" s="79">
        <f t="shared" ca="1" si="6"/>
        <v>13973159</v>
      </c>
      <c r="M65" s="79">
        <f t="shared" ca="1" si="7"/>
        <v>13724306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01866885</v>
      </c>
      <c r="E66" s="79" t="str">
        <f>Podatak_JIB</f>
        <v>4400836260000</v>
      </c>
      <c r="F66" s="79" t="b">
        <f>Konsolidovan_izvjestaj</f>
        <v>0</v>
      </c>
      <c r="G66" s="190">
        <f>Datum_Broj</f>
        <v>43281</v>
      </c>
      <c r="H66" s="79">
        <f>VLOOKUP( $A66, Aop!$A$2:$N$415, 4, 0)</f>
        <v>65</v>
      </c>
      <c r="I66" s="79">
        <f>Godina</f>
        <v>2018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01866885</v>
      </c>
      <c r="E67" s="146" t="str">
        <f t="shared" ref="E67:E127" si="15">Podatak_JIB</f>
        <v>4400836260000</v>
      </c>
      <c r="F67" s="146" t="b">
        <f t="shared" ref="F67:F129" si="16">Konsolidovan_izvjestaj</f>
        <v>0</v>
      </c>
      <c r="G67" s="190">
        <f t="shared" ref="G67:G129" si="17">Datum_Broj</f>
        <v>43281</v>
      </c>
      <c r="H67" s="146">
        <f>VLOOKUP( $A67, Aop!$A$2:$N$415, 4, 0)</f>
        <v>66</v>
      </c>
      <c r="I67" s="146">
        <f t="shared" ref="I67:I127" si="18">Godina</f>
        <v>2018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16613464</v>
      </c>
      <c r="K67" s="79">
        <f t="shared" ca="1" si="10"/>
        <v>2640305</v>
      </c>
      <c r="L67" s="79">
        <f t="shared" ca="1" si="11"/>
        <v>13973159</v>
      </c>
      <c r="M67" s="79">
        <f t="shared" ca="1" si="12"/>
        <v>13724306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01866885</v>
      </c>
      <c r="E68" s="146" t="str">
        <f t="shared" si="15"/>
        <v>4400836260000</v>
      </c>
      <c r="F68" s="146" t="b">
        <f t="shared" si="16"/>
        <v>0</v>
      </c>
      <c r="G68" s="190">
        <f t="shared" si="17"/>
        <v>43281</v>
      </c>
      <c r="H68" s="146">
        <f>VLOOKUP( $A68, Aop!$A$2:$N$415, 4, 0)</f>
        <v>101</v>
      </c>
      <c r="I68" s="146">
        <f t="shared" si="18"/>
        <v>2018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13122272</v>
      </c>
      <c r="M68" s="79">
        <f t="shared" ca="1" si="12"/>
        <v>12905440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01866885</v>
      </c>
      <c r="E69" s="146" t="str">
        <f t="shared" si="15"/>
        <v>4400836260000</v>
      </c>
      <c r="F69" s="146" t="b">
        <f t="shared" si="16"/>
        <v>0</v>
      </c>
      <c r="G69" s="190">
        <f t="shared" si="17"/>
        <v>43281</v>
      </c>
      <c r="H69" s="146">
        <f>VLOOKUP( $A69, Aop!$A$2:$N$415, 4, 0)</f>
        <v>102</v>
      </c>
      <c r="I69" s="146">
        <f t="shared" si="18"/>
        <v>2018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12058902</v>
      </c>
      <c r="M69" s="79">
        <f t="shared" ca="1" si="12"/>
        <v>12058902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01866885</v>
      </c>
      <c r="E70" s="146" t="str">
        <f t="shared" si="15"/>
        <v>4400836260000</v>
      </c>
      <c r="F70" s="146" t="b">
        <f t="shared" si="16"/>
        <v>0</v>
      </c>
      <c r="G70" s="190">
        <f t="shared" si="17"/>
        <v>43281</v>
      </c>
      <c r="H70" s="146">
        <f>VLOOKUP( $A70, Aop!$A$2:$N$415, 4, 0)</f>
        <v>103</v>
      </c>
      <c r="I70" s="146">
        <f t="shared" si="18"/>
        <v>2018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12058902</v>
      </c>
      <c r="M70" s="79">
        <f t="shared" ca="1" si="12"/>
        <v>12058902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01866885</v>
      </c>
      <c r="E71" s="146" t="str">
        <f t="shared" si="15"/>
        <v>4400836260000</v>
      </c>
      <c r="F71" s="146" t="b">
        <f t="shared" si="16"/>
        <v>0</v>
      </c>
      <c r="G71" s="190">
        <f t="shared" si="17"/>
        <v>43281</v>
      </c>
      <c r="H71" s="146">
        <f>VLOOKUP( $A71, Aop!$A$2:$N$415, 4, 0)</f>
        <v>104</v>
      </c>
      <c r="I71" s="146">
        <f t="shared" si="18"/>
        <v>2018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01866885</v>
      </c>
      <c r="E72" s="146" t="str">
        <f t="shared" si="15"/>
        <v>4400836260000</v>
      </c>
      <c r="F72" s="146" t="b">
        <f t="shared" si="16"/>
        <v>0</v>
      </c>
      <c r="G72" s="190">
        <f t="shared" si="17"/>
        <v>43281</v>
      </c>
      <c r="H72" s="146">
        <f>VLOOKUP( $A72, Aop!$A$2:$N$415, 4, 0)</f>
        <v>105</v>
      </c>
      <c r="I72" s="146">
        <f t="shared" si="18"/>
        <v>2018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01866885</v>
      </c>
      <c r="E73" s="146" t="str">
        <f t="shared" si="15"/>
        <v>4400836260000</v>
      </c>
      <c r="F73" s="146" t="b">
        <f t="shared" si="16"/>
        <v>0</v>
      </c>
      <c r="G73" s="190">
        <f t="shared" si="17"/>
        <v>43281</v>
      </c>
      <c r="H73" s="146">
        <f>VLOOKUP( $A73, Aop!$A$2:$N$415, 4, 0)</f>
        <v>106</v>
      </c>
      <c r="I73" s="146">
        <f t="shared" si="18"/>
        <v>2018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01866885</v>
      </c>
      <c r="E74" s="146" t="str">
        <f t="shared" si="15"/>
        <v>4400836260000</v>
      </c>
      <c r="F74" s="146" t="b">
        <f t="shared" si="16"/>
        <v>0</v>
      </c>
      <c r="G74" s="190">
        <f t="shared" si="17"/>
        <v>43281</v>
      </c>
      <c r="H74" s="146">
        <f>VLOOKUP( $A74, Aop!$A$2:$N$415, 4, 0)</f>
        <v>107</v>
      </c>
      <c r="I74" s="146">
        <f t="shared" si="18"/>
        <v>2018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01866885</v>
      </c>
      <c r="E75" s="146" t="str">
        <f t="shared" si="15"/>
        <v>4400836260000</v>
      </c>
      <c r="F75" s="146" t="b">
        <f t="shared" si="16"/>
        <v>0</v>
      </c>
      <c r="G75" s="190">
        <f t="shared" si="17"/>
        <v>43281</v>
      </c>
      <c r="H75" s="146">
        <f>VLOOKUP( $A75, Aop!$A$2:$N$415, 4, 0)</f>
        <v>108</v>
      </c>
      <c r="I75" s="146">
        <f t="shared" si="18"/>
        <v>2018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01866885</v>
      </c>
      <c r="E76" s="146" t="str">
        <f t="shared" si="15"/>
        <v>4400836260000</v>
      </c>
      <c r="F76" s="146" t="b">
        <f t="shared" si="16"/>
        <v>0</v>
      </c>
      <c r="G76" s="190">
        <f t="shared" si="17"/>
        <v>43281</v>
      </c>
      <c r="H76" s="146">
        <f>VLOOKUP( $A76, Aop!$A$2:$N$415, 4, 0)</f>
        <v>109</v>
      </c>
      <c r="I76" s="146">
        <f t="shared" si="18"/>
        <v>2018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01866885</v>
      </c>
      <c r="E77" s="146" t="str">
        <f t="shared" si="15"/>
        <v>4400836260000</v>
      </c>
      <c r="F77" s="146" t="b">
        <f t="shared" si="16"/>
        <v>0</v>
      </c>
      <c r="G77" s="190">
        <f t="shared" si="17"/>
        <v>43281</v>
      </c>
      <c r="H77" s="146">
        <f>VLOOKUP( $A77, Aop!$A$2:$N$415, 4, 0)</f>
        <v>110</v>
      </c>
      <c r="I77" s="146">
        <f t="shared" si="18"/>
        <v>2018</v>
      </c>
      <c r="J77" s="79" t="str">
        <f t="shared" ca="1" si="19"/>
        <v/>
      </c>
      <c r="K77" s="79" t="str">
        <f t="shared" ca="1" si="10"/>
        <v/>
      </c>
      <c r="L77" s="79">
        <f t="shared" ca="1" si="11"/>
        <v>6990</v>
      </c>
      <c r="M77" s="79">
        <f t="shared" ca="1" si="12"/>
        <v>6990</v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01866885</v>
      </c>
      <c r="E78" s="146" t="str">
        <f t="shared" si="15"/>
        <v>4400836260000</v>
      </c>
      <c r="F78" s="146" t="b">
        <f t="shared" si="16"/>
        <v>0</v>
      </c>
      <c r="G78" s="190">
        <f t="shared" si="17"/>
        <v>43281</v>
      </c>
      <c r="H78" s="146">
        <f>VLOOKUP( $A78, Aop!$A$2:$N$415, 4, 0)</f>
        <v>111</v>
      </c>
      <c r="I78" s="146">
        <f t="shared" si="18"/>
        <v>2018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01866885</v>
      </c>
      <c r="E79" s="146" t="str">
        <f t="shared" si="15"/>
        <v>4400836260000</v>
      </c>
      <c r="F79" s="146" t="b">
        <f t="shared" si="16"/>
        <v>0</v>
      </c>
      <c r="G79" s="190">
        <f t="shared" si="17"/>
        <v>43281</v>
      </c>
      <c r="H79" s="146">
        <f>VLOOKUP( $A79, Aop!$A$2:$N$415, 4, 0)</f>
        <v>112</v>
      </c>
      <c r="I79" s="146">
        <f t="shared" si="18"/>
        <v>2018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397147</v>
      </c>
      <c r="M79" s="79">
        <f t="shared" ca="1" si="12"/>
        <v>373863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01866885</v>
      </c>
      <c r="E80" s="146" t="str">
        <f t="shared" si="15"/>
        <v>4400836260000</v>
      </c>
      <c r="F80" s="146" t="b">
        <f t="shared" si="16"/>
        <v>0</v>
      </c>
      <c r="G80" s="190">
        <f t="shared" si="17"/>
        <v>43281</v>
      </c>
      <c r="H80" s="146">
        <f>VLOOKUP( $A80, Aop!$A$2:$N$415, 4, 0)</f>
        <v>113</v>
      </c>
      <c r="I80" s="146">
        <f t="shared" si="18"/>
        <v>2018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397147</v>
      </c>
      <c r="M80" s="79">
        <f t="shared" ca="1" si="12"/>
        <v>373863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01866885</v>
      </c>
      <c r="E81" s="146" t="str">
        <f t="shared" si="15"/>
        <v>4400836260000</v>
      </c>
      <c r="F81" s="146" t="b">
        <f t="shared" si="16"/>
        <v>0</v>
      </c>
      <c r="G81" s="190">
        <f t="shared" si="17"/>
        <v>43281</v>
      </c>
      <c r="H81" s="146">
        <f>VLOOKUP( $A81, Aop!$A$2:$N$415, 4, 0)</f>
        <v>114</v>
      </c>
      <c r="I81" s="146">
        <f t="shared" si="18"/>
        <v>2018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01866885</v>
      </c>
      <c r="E82" s="146" t="str">
        <f t="shared" si="15"/>
        <v>4400836260000</v>
      </c>
      <c r="F82" s="146" t="b">
        <f t="shared" si="16"/>
        <v>0</v>
      </c>
      <c r="G82" s="190">
        <f t="shared" si="17"/>
        <v>43281</v>
      </c>
      <c r="H82" s="146">
        <f>VLOOKUP( $A82, Aop!$A$2:$N$415, 4, 0)</f>
        <v>115</v>
      </c>
      <c r="I82" s="146">
        <f t="shared" si="18"/>
        <v>2018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01866885</v>
      </c>
      <c r="E83" s="146" t="str">
        <f t="shared" si="15"/>
        <v>4400836260000</v>
      </c>
      <c r="F83" s="146" t="b">
        <f t="shared" si="16"/>
        <v>0</v>
      </c>
      <c r="G83" s="190">
        <f t="shared" si="17"/>
        <v>43281</v>
      </c>
      <c r="H83" s="146">
        <f>VLOOKUP( $A83, Aop!$A$2:$N$415, 4, 0)</f>
        <v>116</v>
      </c>
      <c r="I83" s="146">
        <f t="shared" si="18"/>
        <v>2018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01866885</v>
      </c>
      <c r="E84" s="146" t="str">
        <f t="shared" si="15"/>
        <v>4400836260000</v>
      </c>
      <c r="F84" s="146" t="b">
        <f t="shared" si="16"/>
        <v>0</v>
      </c>
      <c r="G84" s="190">
        <f t="shared" si="17"/>
        <v>43281</v>
      </c>
      <c r="H84" s="146">
        <f>VLOOKUP( $A84, Aop!$A$2:$N$415, 4, 0)</f>
        <v>117</v>
      </c>
      <c r="I84" s="146">
        <f t="shared" si="18"/>
        <v>2018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01866885</v>
      </c>
      <c r="E85" s="146" t="str">
        <f t="shared" si="15"/>
        <v>4400836260000</v>
      </c>
      <c r="F85" s="146" t="b">
        <f t="shared" si="16"/>
        <v>0</v>
      </c>
      <c r="G85" s="190">
        <f t="shared" si="17"/>
        <v>43281</v>
      </c>
      <c r="H85" s="146">
        <f>VLOOKUP( $A85, Aop!$A$2:$N$415, 4, 0)</f>
        <v>118</v>
      </c>
      <c r="I85" s="146">
        <f t="shared" si="18"/>
        <v>2018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01866885</v>
      </c>
      <c r="E86" s="146" t="str">
        <f t="shared" si="15"/>
        <v>4400836260000</v>
      </c>
      <c r="F86" s="146" t="b">
        <f t="shared" si="16"/>
        <v>0</v>
      </c>
      <c r="G86" s="190">
        <f t="shared" si="17"/>
        <v>43281</v>
      </c>
      <c r="H86" s="146">
        <f>VLOOKUP( $A86, Aop!$A$2:$N$415, 4, 0)</f>
        <v>119</v>
      </c>
      <c r="I86" s="146">
        <f t="shared" si="18"/>
        <v>2018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659233</v>
      </c>
      <c r="M86" s="79">
        <f t="shared" ca="1" si="12"/>
        <v>465685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01866885</v>
      </c>
      <c r="E87" s="146" t="str">
        <f t="shared" si="15"/>
        <v>4400836260000</v>
      </c>
      <c r="F87" s="146" t="b">
        <f t="shared" si="16"/>
        <v>0</v>
      </c>
      <c r="G87" s="190">
        <f t="shared" si="17"/>
        <v>43281</v>
      </c>
      <c r="H87" s="146">
        <f>VLOOKUP( $A87, Aop!$A$2:$N$415, 4, 0)</f>
        <v>120</v>
      </c>
      <c r="I87" s="146">
        <f t="shared" si="18"/>
        <v>2018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442401</v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01866885</v>
      </c>
      <c r="E88" s="146" t="str">
        <f t="shared" si="15"/>
        <v>4400836260000</v>
      </c>
      <c r="F88" s="146" t="b">
        <f t="shared" si="16"/>
        <v>0</v>
      </c>
      <c r="G88" s="190">
        <f t="shared" si="17"/>
        <v>43281</v>
      </c>
      <c r="H88" s="146">
        <f>VLOOKUP( $A88, Aop!$A$2:$N$415, 4, 0)</f>
        <v>121</v>
      </c>
      <c r="I88" s="146">
        <f t="shared" si="18"/>
        <v>2018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216832</v>
      </c>
      <c r="M88" s="79">
        <f t="shared" ca="1" si="12"/>
        <v>465685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01866885</v>
      </c>
      <c r="E89" s="146" t="str">
        <f t="shared" si="15"/>
        <v>4400836260000</v>
      </c>
      <c r="F89" s="146" t="b">
        <f t="shared" si="16"/>
        <v>0</v>
      </c>
      <c r="G89" s="190">
        <f t="shared" si="17"/>
        <v>43281</v>
      </c>
      <c r="H89" s="146">
        <f>VLOOKUP( $A89, Aop!$A$2:$N$415, 4, 0)</f>
        <v>122</v>
      </c>
      <c r="I89" s="146">
        <f t="shared" si="18"/>
        <v>2018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01866885</v>
      </c>
      <c r="E90" s="146" t="str">
        <f t="shared" si="15"/>
        <v>4400836260000</v>
      </c>
      <c r="F90" s="146" t="b">
        <f t="shared" si="16"/>
        <v>0</v>
      </c>
      <c r="G90" s="190">
        <f t="shared" si="17"/>
        <v>43281</v>
      </c>
      <c r="H90" s="146">
        <f>VLOOKUP( $A90, Aop!$A$2:$N$415, 4, 0)</f>
        <v>123</v>
      </c>
      <c r="I90" s="146">
        <f t="shared" si="18"/>
        <v>2018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01866885</v>
      </c>
      <c r="E91" s="146" t="str">
        <f t="shared" si="15"/>
        <v>4400836260000</v>
      </c>
      <c r="F91" s="146" t="b">
        <f t="shared" si="16"/>
        <v>0</v>
      </c>
      <c r="G91" s="190">
        <f t="shared" si="17"/>
        <v>43281</v>
      </c>
      <c r="H91" s="146">
        <f>VLOOKUP( $A91, Aop!$A$2:$N$415, 4, 0)</f>
        <v>124</v>
      </c>
      <c r="I91" s="146">
        <f t="shared" si="18"/>
        <v>2018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01866885</v>
      </c>
      <c r="E92" s="146" t="str">
        <f t="shared" si="15"/>
        <v>4400836260000</v>
      </c>
      <c r="F92" s="146" t="b">
        <f t="shared" si="16"/>
        <v>0</v>
      </c>
      <c r="G92" s="190">
        <f t="shared" si="17"/>
        <v>43281</v>
      </c>
      <c r="H92" s="146">
        <f>VLOOKUP( $A92, Aop!$A$2:$N$415, 4, 0)</f>
        <v>125</v>
      </c>
      <c r="I92" s="146">
        <f t="shared" si="18"/>
        <v>2018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01866885</v>
      </c>
      <c r="E93" s="146" t="str">
        <f t="shared" si="15"/>
        <v>4400836260000</v>
      </c>
      <c r="F93" s="146" t="b">
        <f t="shared" si="16"/>
        <v>0</v>
      </c>
      <c r="G93" s="190">
        <f t="shared" si="17"/>
        <v>43281</v>
      </c>
      <c r="H93" s="146">
        <f>VLOOKUP( $A93, Aop!$A$2:$N$415, 4, 0)</f>
        <v>126</v>
      </c>
      <c r="I93" s="146">
        <f t="shared" si="18"/>
        <v>2018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5366</v>
      </c>
      <c r="M93" s="79">
        <f t="shared" ca="1" si="12"/>
        <v>8511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01866885</v>
      </c>
      <c r="E94" s="146" t="str">
        <f t="shared" si="15"/>
        <v>4400836260000</v>
      </c>
      <c r="F94" s="146" t="b">
        <f t="shared" si="16"/>
        <v>0</v>
      </c>
      <c r="G94" s="190">
        <f t="shared" si="17"/>
        <v>43281</v>
      </c>
      <c r="H94" s="146">
        <f>VLOOKUP( $A94, Aop!$A$2:$N$415, 4, 0)</f>
        <v>127</v>
      </c>
      <c r="I94" s="146">
        <f t="shared" si="18"/>
        <v>2018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01866885</v>
      </c>
      <c r="E95" s="146" t="str">
        <f t="shared" si="15"/>
        <v>4400836260000</v>
      </c>
      <c r="F95" s="146" t="b">
        <f t="shared" si="16"/>
        <v>0</v>
      </c>
      <c r="G95" s="190">
        <f t="shared" si="17"/>
        <v>43281</v>
      </c>
      <c r="H95" s="146">
        <f>VLOOKUP( $A95, Aop!$A$2:$N$415, 4, 0)</f>
        <v>128</v>
      </c>
      <c r="I95" s="146">
        <f t="shared" si="18"/>
        <v>2018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01866885</v>
      </c>
      <c r="E96" s="146" t="str">
        <f t="shared" si="15"/>
        <v>4400836260000</v>
      </c>
      <c r="F96" s="146" t="b">
        <f t="shared" si="16"/>
        <v>0</v>
      </c>
      <c r="G96" s="190">
        <f t="shared" si="17"/>
        <v>43281</v>
      </c>
      <c r="H96" s="146">
        <f>VLOOKUP( $A96, Aop!$A$2:$N$415, 4, 0)</f>
        <v>129</v>
      </c>
      <c r="I96" s="146">
        <f t="shared" si="18"/>
        <v>2018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01866885</v>
      </c>
      <c r="E97" s="146" t="str">
        <f t="shared" si="15"/>
        <v>4400836260000</v>
      </c>
      <c r="F97" s="146" t="b">
        <f t="shared" si="16"/>
        <v>0</v>
      </c>
      <c r="G97" s="190">
        <f t="shared" si="17"/>
        <v>43281</v>
      </c>
      <c r="H97" s="146">
        <f>VLOOKUP( $A97, Aop!$A$2:$N$415, 4, 0)</f>
        <v>130</v>
      </c>
      <c r="I97" s="146">
        <f t="shared" si="18"/>
        <v>2018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01866885</v>
      </c>
      <c r="E98" s="146" t="str">
        <f t="shared" si="15"/>
        <v>4400836260000</v>
      </c>
      <c r="F98" s="146" t="b">
        <f t="shared" si="16"/>
        <v>0</v>
      </c>
      <c r="G98" s="190">
        <f t="shared" si="17"/>
        <v>43281</v>
      </c>
      <c r="H98" s="146">
        <f>VLOOKUP( $A98, Aop!$A$2:$N$415, 4, 0)</f>
        <v>131</v>
      </c>
      <c r="I98" s="146">
        <f t="shared" si="18"/>
        <v>2018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01866885</v>
      </c>
      <c r="E99" s="146" t="str">
        <f t="shared" si="15"/>
        <v>4400836260000</v>
      </c>
      <c r="F99" s="146" t="b">
        <f t="shared" si="16"/>
        <v>0</v>
      </c>
      <c r="G99" s="190">
        <f t="shared" si="17"/>
        <v>43281</v>
      </c>
      <c r="H99" s="146">
        <f>VLOOKUP( $A99, Aop!$A$2:$N$415, 4, 0)</f>
        <v>132</v>
      </c>
      <c r="I99" s="146">
        <f t="shared" si="18"/>
        <v>2018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01866885</v>
      </c>
      <c r="E100" s="146" t="str">
        <f t="shared" si="15"/>
        <v>4400836260000</v>
      </c>
      <c r="F100" s="146" t="b">
        <f t="shared" si="16"/>
        <v>0</v>
      </c>
      <c r="G100" s="190">
        <f t="shared" si="17"/>
        <v>43281</v>
      </c>
      <c r="H100" s="146">
        <f>VLOOKUP( $A100, Aop!$A$2:$N$415, 4, 0)</f>
        <v>133</v>
      </c>
      <c r="I100" s="146">
        <f t="shared" si="18"/>
        <v>2018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01866885</v>
      </c>
      <c r="E101" s="146" t="str">
        <f t="shared" si="15"/>
        <v>4400836260000</v>
      </c>
      <c r="F101" s="146" t="b">
        <f t="shared" si="16"/>
        <v>0</v>
      </c>
      <c r="G101" s="190">
        <f t="shared" si="17"/>
        <v>43281</v>
      </c>
      <c r="H101" s="146">
        <f>VLOOKUP( $A101, Aop!$A$2:$N$415, 4, 0)</f>
        <v>134</v>
      </c>
      <c r="I101" s="146">
        <f t="shared" si="18"/>
        <v>2018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5366</v>
      </c>
      <c r="M101" s="79">
        <f t="shared" ca="1" si="12"/>
        <v>8511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01866885</v>
      </c>
      <c r="E102" s="146" t="str">
        <f t="shared" si="15"/>
        <v>4400836260000</v>
      </c>
      <c r="F102" s="146" t="b">
        <f t="shared" si="16"/>
        <v>0</v>
      </c>
      <c r="G102" s="190">
        <f t="shared" si="17"/>
        <v>43281</v>
      </c>
      <c r="H102" s="146">
        <f>VLOOKUP( $A102, Aop!$A$2:$N$415, 4, 0)</f>
        <v>135</v>
      </c>
      <c r="I102" s="146">
        <f t="shared" si="18"/>
        <v>2018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845521</v>
      </c>
      <c r="M102" s="79">
        <f t="shared" ca="1" si="12"/>
        <v>810355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01866885</v>
      </c>
      <c r="E103" s="146" t="str">
        <f t="shared" si="15"/>
        <v>4400836260000</v>
      </c>
      <c r="F103" s="146" t="b">
        <f t="shared" si="16"/>
        <v>0</v>
      </c>
      <c r="G103" s="190">
        <f t="shared" si="17"/>
        <v>43281</v>
      </c>
      <c r="H103" s="146">
        <f>VLOOKUP( $A103, Aop!$A$2:$N$415, 4, 0)</f>
        <v>136</v>
      </c>
      <c r="I103" s="146">
        <f t="shared" si="18"/>
        <v>2018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01866885</v>
      </c>
      <c r="E104" s="146" t="str">
        <f t="shared" si="15"/>
        <v>4400836260000</v>
      </c>
      <c r="F104" s="146" t="b">
        <f t="shared" si="16"/>
        <v>0</v>
      </c>
      <c r="G104" s="190">
        <f t="shared" si="17"/>
        <v>43281</v>
      </c>
      <c r="H104" s="146">
        <f>VLOOKUP( $A104, Aop!$A$2:$N$415, 4, 0)</f>
        <v>137</v>
      </c>
      <c r="I104" s="146">
        <f t="shared" si="18"/>
        <v>2018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01866885</v>
      </c>
      <c r="E105" s="146" t="str">
        <f t="shared" si="15"/>
        <v>4400836260000</v>
      </c>
      <c r="F105" s="146" t="b">
        <f t="shared" si="16"/>
        <v>0</v>
      </c>
      <c r="G105" s="190">
        <f t="shared" si="17"/>
        <v>43281</v>
      </c>
      <c r="H105" s="146">
        <f>VLOOKUP( $A105, Aop!$A$2:$N$415, 4, 0)</f>
        <v>138</v>
      </c>
      <c r="I105" s="146">
        <f t="shared" si="18"/>
        <v>2018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01866885</v>
      </c>
      <c r="E106" s="146" t="str">
        <f t="shared" si="15"/>
        <v>4400836260000</v>
      </c>
      <c r="F106" s="146" t="b">
        <f t="shared" si="16"/>
        <v>0</v>
      </c>
      <c r="G106" s="190">
        <f t="shared" si="17"/>
        <v>43281</v>
      </c>
      <c r="H106" s="146">
        <f>VLOOKUP( $A106, Aop!$A$2:$N$415, 4, 0)</f>
        <v>139</v>
      </c>
      <c r="I106" s="146">
        <f t="shared" si="18"/>
        <v>2018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01866885</v>
      </c>
      <c r="E107" s="146" t="str">
        <f t="shared" si="15"/>
        <v>4400836260000</v>
      </c>
      <c r="F107" s="146" t="b">
        <f t="shared" si="16"/>
        <v>0</v>
      </c>
      <c r="G107" s="190">
        <f t="shared" si="17"/>
        <v>43281</v>
      </c>
      <c r="H107" s="146">
        <f>VLOOKUP( $A107, Aop!$A$2:$N$415, 4, 0)</f>
        <v>140</v>
      </c>
      <c r="I107" s="146">
        <f t="shared" si="18"/>
        <v>2018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01866885</v>
      </c>
      <c r="E108" s="146" t="str">
        <f t="shared" si="15"/>
        <v>4400836260000</v>
      </c>
      <c r="F108" s="146" t="b">
        <f t="shared" si="16"/>
        <v>0</v>
      </c>
      <c r="G108" s="190">
        <f t="shared" si="17"/>
        <v>43281</v>
      </c>
      <c r="H108" s="146">
        <f>VLOOKUP( $A108, Aop!$A$2:$N$415, 4, 0)</f>
        <v>141</v>
      </c>
      <c r="I108" s="146">
        <f t="shared" si="18"/>
        <v>2018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01866885</v>
      </c>
      <c r="E109" s="146" t="str">
        <f t="shared" si="15"/>
        <v>4400836260000</v>
      </c>
      <c r="F109" s="146" t="b">
        <f t="shared" si="16"/>
        <v>0</v>
      </c>
      <c r="G109" s="190">
        <f t="shared" si="17"/>
        <v>43281</v>
      </c>
      <c r="H109" s="146">
        <f>VLOOKUP( $A109, Aop!$A$2:$N$415, 4, 0)</f>
        <v>142</v>
      </c>
      <c r="I109" s="146">
        <f t="shared" si="18"/>
        <v>2018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01866885</v>
      </c>
      <c r="E110" s="146" t="str">
        <f t="shared" si="15"/>
        <v>4400836260000</v>
      </c>
      <c r="F110" s="146" t="b">
        <f t="shared" si="16"/>
        <v>0</v>
      </c>
      <c r="G110" s="190">
        <f t="shared" si="17"/>
        <v>43281</v>
      </c>
      <c r="H110" s="146">
        <f>VLOOKUP( $A110, Aop!$A$2:$N$415, 4, 0)</f>
        <v>143</v>
      </c>
      <c r="I110" s="146">
        <f t="shared" si="18"/>
        <v>2018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01866885</v>
      </c>
      <c r="E111" s="146" t="str">
        <f t="shared" si="15"/>
        <v>4400836260000</v>
      </c>
      <c r="F111" s="146" t="b">
        <f t="shared" si="16"/>
        <v>0</v>
      </c>
      <c r="G111" s="190">
        <f t="shared" si="17"/>
        <v>43281</v>
      </c>
      <c r="H111" s="146">
        <f>VLOOKUP( $A111, Aop!$A$2:$N$415, 4, 0)</f>
        <v>144</v>
      </c>
      <c r="I111" s="146">
        <f t="shared" si="18"/>
        <v>2018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845521</v>
      </c>
      <c r="M111" s="79">
        <f t="shared" ca="1" si="12"/>
        <v>810355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01866885</v>
      </c>
      <c r="E112" s="146" t="str">
        <f t="shared" si="15"/>
        <v>4400836260000</v>
      </c>
      <c r="F112" s="146" t="b">
        <f t="shared" si="16"/>
        <v>0</v>
      </c>
      <c r="G112" s="190">
        <f t="shared" si="17"/>
        <v>43281</v>
      </c>
      <c r="H112" s="146">
        <f>VLOOKUP( $A112, Aop!$A$2:$N$415, 4, 0)</f>
        <v>145</v>
      </c>
      <c r="I112" s="146">
        <f t="shared" si="18"/>
        <v>2018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01866885</v>
      </c>
      <c r="E113" s="146" t="str">
        <f t="shared" si="15"/>
        <v>4400836260000</v>
      </c>
      <c r="F113" s="146" t="b">
        <f t="shared" si="16"/>
        <v>0</v>
      </c>
      <c r="G113" s="190">
        <f t="shared" si="17"/>
        <v>43281</v>
      </c>
      <c r="H113" s="146">
        <f>VLOOKUP( $A113, Aop!$A$2:$N$415, 4, 0)</f>
        <v>146</v>
      </c>
      <c r="I113" s="146">
        <f t="shared" si="18"/>
        <v>2018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01866885</v>
      </c>
      <c r="E114" s="146" t="str">
        <f t="shared" si="15"/>
        <v>4400836260000</v>
      </c>
      <c r="F114" s="146" t="b">
        <f t="shared" si="16"/>
        <v>0</v>
      </c>
      <c r="G114" s="190">
        <f t="shared" si="17"/>
        <v>43281</v>
      </c>
      <c r="H114" s="146">
        <f>VLOOKUP( $A114, Aop!$A$2:$N$415, 4, 0)</f>
        <v>147</v>
      </c>
      <c r="I114" s="146">
        <f t="shared" si="18"/>
        <v>2018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01866885</v>
      </c>
      <c r="E115" s="146" t="str">
        <f t="shared" si="15"/>
        <v>4400836260000</v>
      </c>
      <c r="F115" s="146" t="b">
        <f t="shared" si="16"/>
        <v>0</v>
      </c>
      <c r="G115" s="190">
        <f t="shared" si="17"/>
        <v>43281</v>
      </c>
      <c r="H115" s="146">
        <f>VLOOKUP( $A115, Aop!$A$2:$N$415, 4, 0)</f>
        <v>148</v>
      </c>
      <c r="I115" s="146">
        <f t="shared" si="18"/>
        <v>2018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01866885</v>
      </c>
      <c r="E116" s="146" t="str">
        <f t="shared" si="15"/>
        <v>4400836260000</v>
      </c>
      <c r="F116" s="146" t="b">
        <f t="shared" si="16"/>
        <v>0</v>
      </c>
      <c r="G116" s="190">
        <f t="shared" si="17"/>
        <v>43281</v>
      </c>
      <c r="H116" s="146">
        <f>VLOOKUP( $A116, Aop!$A$2:$N$415, 4, 0)</f>
        <v>149</v>
      </c>
      <c r="I116" s="146">
        <f t="shared" si="18"/>
        <v>2018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01866885</v>
      </c>
      <c r="E117" s="146" t="str">
        <f t="shared" si="15"/>
        <v>4400836260000</v>
      </c>
      <c r="F117" s="146" t="b">
        <f t="shared" si="16"/>
        <v>0</v>
      </c>
      <c r="G117" s="190">
        <f t="shared" si="17"/>
        <v>43281</v>
      </c>
      <c r="H117" s="146">
        <f>VLOOKUP( $A117, Aop!$A$2:$N$415, 4, 0)</f>
        <v>150</v>
      </c>
      <c r="I117" s="146">
        <f t="shared" si="18"/>
        <v>2018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111538</v>
      </c>
      <c r="M117" s="79">
        <f t="shared" ca="1" si="12"/>
        <v>81326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01866885</v>
      </c>
      <c r="E118" s="146" t="str">
        <f t="shared" si="15"/>
        <v>4400836260000</v>
      </c>
      <c r="F118" s="146" t="b">
        <f t="shared" si="16"/>
        <v>0</v>
      </c>
      <c r="G118" s="190">
        <f t="shared" si="17"/>
        <v>43281</v>
      </c>
      <c r="H118" s="146">
        <f>VLOOKUP( $A118, Aop!$A$2:$N$415, 4, 0)</f>
        <v>151</v>
      </c>
      <c r="I118" s="146">
        <f t="shared" si="18"/>
        <v>2018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22861</v>
      </c>
      <c r="M118" s="79">
        <f t="shared" ca="1" si="12"/>
        <v>24298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01866885</v>
      </c>
      <c r="E119" s="146" t="str">
        <f t="shared" si="15"/>
        <v>4400836260000</v>
      </c>
      <c r="F119" s="146" t="b">
        <f t="shared" si="16"/>
        <v>0</v>
      </c>
      <c r="G119" s="190">
        <f t="shared" si="17"/>
        <v>43281</v>
      </c>
      <c r="H119" s="146">
        <f>VLOOKUP( $A119, Aop!$A$2:$N$415, 4, 0)</f>
        <v>152</v>
      </c>
      <c r="I119" s="146">
        <f t="shared" si="18"/>
        <v>2018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01866885</v>
      </c>
      <c r="E120" s="146" t="str">
        <f t="shared" si="15"/>
        <v>4400836260000</v>
      </c>
      <c r="F120" s="146" t="b">
        <f t="shared" si="16"/>
        <v>0</v>
      </c>
      <c r="G120" s="190">
        <f t="shared" si="17"/>
        <v>43281</v>
      </c>
      <c r="H120" s="146">
        <f>VLOOKUP( $A120, Aop!$A$2:$N$415, 4, 0)</f>
        <v>153</v>
      </c>
      <c r="I120" s="146">
        <f t="shared" si="18"/>
        <v>2018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88675</v>
      </c>
      <c r="M120" s="79">
        <f t="shared" ca="1" si="12"/>
        <v>56761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01866885</v>
      </c>
      <c r="E121" s="146" t="str">
        <f t="shared" si="15"/>
        <v>4400836260000</v>
      </c>
      <c r="F121" s="146" t="b">
        <f t="shared" si="16"/>
        <v>0</v>
      </c>
      <c r="G121" s="190">
        <f t="shared" si="17"/>
        <v>43281</v>
      </c>
      <c r="H121" s="146">
        <f>VLOOKUP( $A121, Aop!$A$2:$N$415, 4, 0)</f>
        <v>154</v>
      </c>
      <c r="I121" s="146">
        <f t="shared" si="18"/>
        <v>2018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2</v>
      </c>
      <c r="M121" s="79">
        <f t="shared" ca="1" si="12"/>
        <v>267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01866885</v>
      </c>
      <c r="E122" s="146" t="str">
        <f t="shared" si="15"/>
        <v>4400836260000</v>
      </c>
      <c r="F122" s="146" t="b">
        <f t="shared" si="16"/>
        <v>0</v>
      </c>
      <c r="G122" s="190">
        <f t="shared" si="17"/>
        <v>43281</v>
      </c>
      <c r="H122" s="146">
        <f>VLOOKUP( $A122, Aop!$A$2:$N$415, 4, 0)</f>
        <v>155</v>
      </c>
      <c r="I122" s="146">
        <f t="shared" si="18"/>
        <v>2018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01866885</v>
      </c>
      <c r="E123" s="146" t="str">
        <f t="shared" si="15"/>
        <v>4400836260000</v>
      </c>
      <c r="F123" s="146" t="b">
        <f t="shared" si="16"/>
        <v>0</v>
      </c>
      <c r="G123" s="190">
        <f t="shared" si="17"/>
        <v>43281</v>
      </c>
      <c r="H123" s="146">
        <f>VLOOKUP( $A123, Aop!$A$2:$N$415, 4, 0)</f>
        <v>156</v>
      </c>
      <c r="I123" s="146">
        <f t="shared" si="18"/>
        <v>2018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01866885</v>
      </c>
      <c r="E124" s="146" t="str">
        <f t="shared" si="15"/>
        <v>4400836260000</v>
      </c>
      <c r="F124" s="146" t="b">
        <f t="shared" si="16"/>
        <v>0</v>
      </c>
      <c r="G124" s="190">
        <f t="shared" si="17"/>
        <v>43281</v>
      </c>
      <c r="H124" s="146">
        <f>VLOOKUP( $A124, Aop!$A$2:$N$415, 4, 0)</f>
        <v>157</v>
      </c>
      <c r="I124" s="146">
        <f t="shared" si="18"/>
        <v>2018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28154</v>
      </c>
      <c r="M124" s="79" t="str">
        <f t="shared" ca="1" si="12"/>
        <v/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01866885</v>
      </c>
      <c r="E125" s="146" t="str">
        <f t="shared" si="15"/>
        <v>4400836260000</v>
      </c>
      <c r="F125" s="146" t="b">
        <f t="shared" si="16"/>
        <v>0</v>
      </c>
      <c r="G125" s="190">
        <f t="shared" si="17"/>
        <v>43281</v>
      </c>
      <c r="H125" s="146">
        <f>VLOOKUP( $A125, Aop!$A$2:$N$415, 4, 0)</f>
        <v>158</v>
      </c>
      <c r="I125" s="146">
        <f t="shared" si="18"/>
        <v>2018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676635</v>
      </c>
      <c r="M125" s="79">
        <f t="shared" ca="1" si="12"/>
        <v>675155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01866885</v>
      </c>
      <c r="E126" s="146" t="str">
        <f t="shared" si="15"/>
        <v>4400836260000</v>
      </c>
      <c r="F126" s="146" t="b">
        <f t="shared" si="16"/>
        <v>0</v>
      </c>
      <c r="G126" s="190">
        <f t="shared" si="17"/>
        <v>43281</v>
      </c>
      <c r="H126" s="146">
        <f>VLOOKUP( $A126, Aop!$A$2:$N$415, 4, 0)</f>
        <v>159</v>
      </c>
      <c r="I126" s="146">
        <f t="shared" si="18"/>
        <v>2018</v>
      </c>
      <c r="J126" s="79" t="str">
        <f t="shared" ca="1" si="19"/>
        <v/>
      </c>
      <c r="K126" s="79" t="str">
        <f t="shared" ca="1" si="10"/>
        <v/>
      </c>
      <c r="L126" s="79" t="str">
        <f t="shared" ca="1" si="11"/>
        <v/>
      </c>
      <c r="M126" s="79">
        <f t="shared" ca="1" si="12"/>
        <v>16240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01866885</v>
      </c>
      <c r="E127" s="146" t="str">
        <f t="shared" si="15"/>
        <v>4400836260000</v>
      </c>
      <c r="F127" s="146" t="b">
        <f t="shared" si="16"/>
        <v>0</v>
      </c>
      <c r="G127" s="190">
        <f t="shared" si="17"/>
        <v>43281</v>
      </c>
      <c r="H127" s="146">
        <f>VLOOKUP( $A127, Aop!$A$2:$N$415, 4, 0)</f>
        <v>160</v>
      </c>
      <c r="I127" s="146">
        <f t="shared" si="18"/>
        <v>2018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4740</v>
      </c>
      <c r="M127" s="79">
        <f t="shared" ca="1" si="12"/>
        <v>907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01866885</v>
      </c>
      <c r="E128" s="79" t="str">
        <f>Podatak_JIB</f>
        <v>4400836260000</v>
      </c>
      <c r="F128" s="79" t="b">
        <f>Konsolidovan_izvjestaj</f>
        <v>0</v>
      </c>
      <c r="G128" s="190">
        <f>Datum_Broj</f>
        <v>43281</v>
      </c>
      <c r="H128" s="79">
        <f>VLOOKUP( $A128, Aop!$A$2:$N$415, 4, 0)</f>
        <v>161</v>
      </c>
      <c r="I128" s="79">
        <f>Godina</f>
        <v>2018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6593</v>
      </c>
      <c r="M128" s="79">
        <f t="shared" ca="1" si="12"/>
        <v>17038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01866885</v>
      </c>
      <c r="E129" s="79" t="str">
        <f t="shared" ref="E129:E188" si="21">Podatak_JIB</f>
        <v>4400836260000</v>
      </c>
      <c r="F129" s="79" t="b">
        <f t="shared" si="16"/>
        <v>0</v>
      </c>
      <c r="G129" s="190">
        <f t="shared" si="17"/>
        <v>43281</v>
      </c>
      <c r="H129" s="146">
        <f>VLOOKUP( $A129, Aop!$A$2:$N$415, 4, 0)</f>
        <v>162</v>
      </c>
      <c r="I129" s="79">
        <f t="shared" ref="I129:I188" si="22">Godina</f>
        <v>2018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7062</v>
      </c>
      <c r="M129" s="79">
        <f t="shared" ca="1" si="12"/>
        <v>8890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01866885</v>
      </c>
      <c r="E130" s="79" t="str">
        <f t="shared" si="21"/>
        <v>4400836260000</v>
      </c>
      <c r="F130" s="79" t="b">
        <f t="shared" ref="F130:F189" si="24">Konsolidovan_izvjestaj</f>
        <v>0</v>
      </c>
      <c r="G130" s="190">
        <f t="shared" ref="G130:G189" si="25">Datum_Broj</f>
        <v>43281</v>
      </c>
      <c r="H130" s="146">
        <f>VLOOKUP( $A130, Aop!$A$2:$N$415, 4, 0)</f>
        <v>163</v>
      </c>
      <c r="I130" s="79">
        <f t="shared" si="22"/>
        <v>2018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>
        <f t="shared" ref="L130:L193" ca="1" si="27">IF( VLOOKUP( $H130, INDIRECT( "Lookup_" &amp; $B130), IF( LEFT( $B130, 2) = "BS", R$2, R$1), 0) = "", "", VLOOKUP( $H130, INDIRECT( "Lookup_" &amp; $B130), IF( LEFT( $B130, 2) = "BS", R$2, R$1), 0))</f>
        <v>10799</v>
      </c>
      <c r="M130" s="79">
        <f t="shared" ref="M130:M193" ca="1" si="28">IF( VLOOKUP( $H130, INDIRECT( "Lookup_" &amp; $B130), IF( LEFT( $B130, 2) = "BS", S$2, S$1), 0) = "", "", VLOOKUP( $H130, INDIRECT( "Lookup_" &amp; $B130), IF( LEFT( $B130, 2) = "BS", S$2, S$1), 0))</f>
        <v>10799</v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01866885</v>
      </c>
      <c r="E131" s="79" t="str">
        <f t="shared" si="21"/>
        <v>4400836260000</v>
      </c>
      <c r="F131" s="79" t="b">
        <f t="shared" si="24"/>
        <v>0</v>
      </c>
      <c r="G131" s="190">
        <f t="shared" si="25"/>
        <v>43281</v>
      </c>
      <c r="H131" s="146">
        <f>VLOOKUP( $A131, Aop!$A$2:$N$415, 4, 0)</f>
        <v>164</v>
      </c>
      <c r="I131" s="79">
        <f t="shared" si="22"/>
        <v>2018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13973159</v>
      </c>
      <c r="M131" s="79">
        <f t="shared" ca="1" si="28"/>
        <v>13724306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01866885</v>
      </c>
      <c r="E132" s="79" t="str">
        <f t="shared" si="21"/>
        <v>4400836260000</v>
      </c>
      <c r="F132" s="79" t="b">
        <f t="shared" si="24"/>
        <v>0</v>
      </c>
      <c r="G132" s="190">
        <f t="shared" si="25"/>
        <v>43281</v>
      </c>
      <c r="H132" s="146">
        <f>VLOOKUP( $A132, Aop!$A$2:$N$415, 4, 0)</f>
        <v>165</v>
      </c>
      <c r="I132" s="79">
        <f t="shared" si="22"/>
        <v>2018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01866885</v>
      </c>
      <c r="E133" s="79" t="str">
        <f t="shared" si="21"/>
        <v>4400836260000</v>
      </c>
      <c r="F133" s="79" t="b">
        <f t="shared" si="24"/>
        <v>0</v>
      </c>
      <c r="G133" s="190">
        <f t="shared" si="25"/>
        <v>43281</v>
      </c>
      <c r="H133" s="146">
        <f>VLOOKUP( $A133, Aop!$A$2:$N$415, 4, 0)</f>
        <v>166</v>
      </c>
      <c r="I133" s="79">
        <f t="shared" si="22"/>
        <v>2018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13973159</v>
      </c>
      <c r="M133" s="79">
        <f t="shared" ca="1" si="28"/>
        <v>13724306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01866885</v>
      </c>
      <c r="E134" s="79" t="str">
        <f t="shared" si="21"/>
        <v>4400836260000</v>
      </c>
      <c r="F134" s="79" t="b">
        <f t="shared" si="24"/>
        <v>0</v>
      </c>
      <c r="G134" s="190">
        <f t="shared" si="25"/>
        <v>43281</v>
      </c>
      <c r="H134" s="146">
        <f>VLOOKUP( $A134, Aop!$A$2:$N$415, 4, 0)</f>
        <v>201</v>
      </c>
      <c r="I134" s="79">
        <f t="shared" si="22"/>
        <v>2018</v>
      </c>
      <c r="J134" s="79"/>
      <c r="K134" s="79"/>
      <c r="L134" s="79">
        <f t="shared" ca="1" si="27"/>
        <v>794179</v>
      </c>
      <c r="M134" s="79">
        <f t="shared" ca="1" si="28"/>
        <v>560215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01866885</v>
      </c>
      <c r="E135" s="79" t="str">
        <f t="shared" si="21"/>
        <v>4400836260000</v>
      </c>
      <c r="F135" s="79" t="b">
        <f t="shared" si="24"/>
        <v>0</v>
      </c>
      <c r="G135" s="190">
        <f t="shared" si="25"/>
        <v>43281</v>
      </c>
      <c r="H135" s="146">
        <f>VLOOKUP( $A135, Aop!$A$2:$N$415, 4, 0)</f>
        <v>202</v>
      </c>
      <c r="I135" s="79">
        <f t="shared" si="22"/>
        <v>2018</v>
      </c>
      <c r="J135" s="79"/>
      <c r="K135" s="79"/>
      <c r="L135" s="79">
        <f t="shared" ca="1" si="27"/>
        <v>208221</v>
      </c>
      <c r="M135" s="79">
        <f t="shared" ca="1" si="28"/>
        <v>2621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01866885</v>
      </c>
      <c r="E136" s="79" t="str">
        <f t="shared" si="21"/>
        <v>4400836260000</v>
      </c>
      <c r="F136" s="79" t="b">
        <f t="shared" si="24"/>
        <v>0</v>
      </c>
      <c r="G136" s="190">
        <f t="shared" si="25"/>
        <v>43281</v>
      </c>
      <c r="H136" s="146">
        <f>VLOOKUP( $A136, Aop!$A$2:$N$415, 4, 0)</f>
        <v>203</v>
      </c>
      <c r="I136" s="79">
        <f t="shared" si="22"/>
        <v>2018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01866885</v>
      </c>
      <c r="E137" s="79" t="str">
        <f t="shared" si="21"/>
        <v>4400836260000</v>
      </c>
      <c r="F137" s="79" t="b">
        <f t="shared" si="24"/>
        <v>0</v>
      </c>
      <c r="G137" s="190">
        <f t="shared" si="25"/>
        <v>43281</v>
      </c>
      <c r="H137" s="146">
        <f>VLOOKUP( $A137, Aop!$A$2:$N$415, 4, 0)</f>
        <v>204</v>
      </c>
      <c r="I137" s="79">
        <f t="shared" si="22"/>
        <v>2018</v>
      </c>
      <c r="J137" s="79"/>
      <c r="K137" s="79"/>
      <c r="L137" s="79">
        <f t="shared" ca="1" si="27"/>
        <v>100009</v>
      </c>
      <c r="M137" s="79">
        <f t="shared" ca="1" si="28"/>
        <v>2621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01866885</v>
      </c>
      <c r="E138" s="79" t="str">
        <f t="shared" si="21"/>
        <v>4400836260000</v>
      </c>
      <c r="F138" s="79" t="b">
        <f t="shared" si="24"/>
        <v>0</v>
      </c>
      <c r="G138" s="190">
        <f t="shared" si="25"/>
        <v>43281</v>
      </c>
      <c r="H138" s="146">
        <f>VLOOKUP( $A138, Aop!$A$2:$N$415, 4, 0)</f>
        <v>205</v>
      </c>
      <c r="I138" s="79">
        <f t="shared" si="22"/>
        <v>2018</v>
      </c>
      <c r="J138" s="79"/>
      <c r="K138" s="79"/>
      <c r="L138" s="79">
        <f t="shared" ca="1" si="27"/>
        <v>108212</v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01866885</v>
      </c>
      <c r="E139" s="79" t="str">
        <f t="shared" si="21"/>
        <v>4400836260000</v>
      </c>
      <c r="F139" s="79" t="b">
        <f t="shared" si="24"/>
        <v>0</v>
      </c>
      <c r="G139" s="190">
        <f t="shared" si="25"/>
        <v>43281</v>
      </c>
      <c r="H139" s="146">
        <f>VLOOKUP( $A139, Aop!$A$2:$N$415, 4, 0)</f>
        <v>206</v>
      </c>
      <c r="I139" s="79">
        <f t="shared" si="22"/>
        <v>2018</v>
      </c>
      <c r="J139" s="79"/>
      <c r="K139" s="79"/>
      <c r="L139" s="79">
        <f t="shared" ca="1" si="27"/>
        <v>366432</v>
      </c>
      <c r="M139" s="79">
        <f t="shared" ca="1" si="28"/>
        <v>314711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01866885</v>
      </c>
      <c r="E140" s="79" t="str">
        <f t="shared" si="21"/>
        <v>4400836260000</v>
      </c>
      <c r="F140" s="79" t="b">
        <f t="shared" si="24"/>
        <v>0</v>
      </c>
      <c r="G140" s="190">
        <f t="shared" si="25"/>
        <v>43281</v>
      </c>
      <c r="H140" s="146">
        <f>VLOOKUP( $A140, Aop!$A$2:$N$415, 4, 0)</f>
        <v>207</v>
      </c>
      <c r="I140" s="79">
        <f t="shared" si="22"/>
        <v>2018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01866885</v>
      </c>
      <c r="E141" s="79" t="str">
        <f t="shared" si="21"/>
        <v>4400836260000</v>
      </c>
      <c r="F141" s="79" t="b">
        <f t="shared" si="24"/>
        <v>0</v>
      </c>
      <c r="G141" s="190">
        <f t="shared" si="25"/>
        <v>43281</v>
      </c>
      <c r="H141" s="146">
        <f>VLOOKUP( $A141, Aop!$A$2:$N$415, 4, 0)</f>
        <v>208</v>
      </c>
      <c r="I141" s="79">
        <f t="shared" si="22"/>
        <v>2018</v>
      </c>
      <c r="J141" s="79"/>
      <c r="K141" s="79"/>
      <c r="L141" s="79">
        <f t="shared" ca="1" si="27"/>
        <v>366432</v>
      </c>
      <c r="M141" s="79">
        <f t="shared" ca="1" si="28"/>
        <v>314711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01866885</v>
      </c>
      <c r="E142" s="79" t="str">
        <f t="shared" si="21"/>
        <v>4400836260000</v>
      </c>
      <c r="F142" s="79" t="b">
        <f t="shared" si="24"/>
        <v>0</v>
      </c>
      <c r="G142" s="190">
        <f t="shared" si="25"/>
        <v>43281</v>
      </c>
      <c r="H142" s="146">
        <f>VLOOKUP( $A142, Aop!$A$2:$N$415, 4, 0)</f>
        <v>209</v>
      </c>
      <c r="I142" s="79">
        <f t="shared" si="22"/>
        <v>2018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01866885</v>
      </c>
      <c r="E143" s="79" t="str">
        <f t="shared" si="21"/>
        <v>4400836260000</v>
      </c>
      <c r="F143" s="79" t="b">
        <f t="shared" si="24"/>
        <v>0</v>
      </c>
      <c r="G143" s="190">
        <f t="shared" si="25"/>
        <v>43281</v>
      </c>
      <c r="H143" s="146">
        <f>VLOOKUP( $A143, Aop!$A$2:$N$415, 4, 0)</f>
        <v>210</v>
      </c>
      <c r="I143" s="79">
        <f t="shared" si="22"/>
        <v>2018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01866885</v>
      </c>
      <c r="E144" s="79" t="str">
        <f t="shared" si="21"/>
        <v>4400836260000</v>
      </c>
      <c r="F144" s="79" t="b">
        <f t="shared" si="24"/>
        <v>0</v>
      </c>
      <c r="G144" s="190">
        <f t="shared" si="25"/>
        <v>43281</v>
      </c>
      <c r="H144" s="146">
        <f>VLOOKUP( $A144, Aop!$A$2:$N$415, 4, 0)</f>
        <v>211</v>
      </c>
      <c r="I144" s="79">
        <f t="shared" si="22"/>
        <v>2018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01866885</v>
      </c>
      <c r="E145" s="79" t="str">
        <f t="shared" si="21"/>
        <v>4400836260000</v>
      </c>
      <c r="F145" s="79" t="b">
        <f t="shared" si="24"/>
        <v>0</v>
      </c>
      <c r="G145" s="190">
        <f t="shared" si="25"/>
        <v>43281</v>
      </c>
      <c r="H145" s="146">
        <f>VLOOKUP( $A145, Aop!$A$2:$N$415, 4, 0)</f>
        <v>212</v>
      </c>
      <c r="I145" s="79">
        <f t="shared" si="22"/>
        <v>2018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01866885</v>
      </c>
      <c r="E146" s="79" t="str">
        <f t="shared" si="21"/>
        <v>4400836260000</v>
      </c>
      <c r="F146" s="79" t="b">
        <f t="shared" si="24"/>
        <v>0</v>
      </c>
      <c r="G146" s="190">
        <f t="shared" si="25"/>
        <v>43281</v>
      </c>
      <c r="H146" s="146">
        <f>VLOOKUP( $A146, Aop!$A$2:$N$415, 4, 0)</f>
        <v>213</v>
      </c>
      <c r="I146" s="79">
        <f t="shared" si="22"/>
        <v>2018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01866885</v>
      </c>
      <c r="E147" s="79" t="str">
        <f t="shared" si="21"/>
        <v>4400836260000</v>
      </c>
      <c r="F147" s="79" t="b">
        <f t="shared" si="24"/>
        <v>0</v>
      </c>
      <c r="G147" s="190">
        <f t="shared" si="25"/>
        <v>43281</v>
      </c>
      <c r="H147" s="146">
        <f>VLOOKUP( $A147, Aop!$A$2:$N$415, 4, 0)</f>
        <v>214</v>
      </c>
      <c r="I147" s="79">
        <f t="shared" si="22"/>
        <v>2018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01866885</v>
      </c>
      <c r="E148" s="79" t="str">
        <f t="shared" si="21"/>
        <v>4400836260000</v>
      </c>
      <c r="F148" s="79" t="b">
        <f t="shared" si="24"/>
        <v>0</v>
      </c>
      <c r="G148" s="190">
        <f t="shared" si="25"/>
        <v>43281</v>
      </c>
      <c r="H148" s="146">
        <f>VLOOKUP( $A148, Aop!$A$2:$N$415, 4, 0)</f>
        <v>215</v>
      </c>
      <c r="I148" s="79">
        <f t="shared" si="22"/>
        <v>2018</v>
      </c>
      <c r="J148" s="79"/>
      <c r="K148" s="79"/>
      <c r="L148" s="79">
        <f t="shared" ca="1" si="27"/>
        <v>219526</v>
      </c>
      <c r="M148" s="79">
        <f t="shared" ca="1" si="28"/>
        <v>242883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01866885</v>
      </c>
      <c r="E149" s="79" t="str">
        <f t="shared" si="21"/>
        <v>4400836260000</v>
      </c>
      <c r="F149" s="79" t="b">
        <f t="shared" si="24"/>
        <v>0</v>
      </c>
      <c r="G149" s="190">
        <f t="shared" si="25"/>
        <v>43281</v>
      </c>
      <c r="H149" s="146">
        <f>VLOOKUP( $A149, Aop!$A$2:$N$415, 4, 0)</f>
        <v>216</v>
      </c>
      <c r="I149" s="79">
        <f t="shared" si="22"/>
        <v>2018</v>
      </c>
      <c r="J149" s="79"/>
      <c r="K149" s="79"/>
      <c r="L149" s="79">
        <f t="shared" ca="1" si="27"/>
        <v>617264</v>
      </c>
      <c r="M149" s="79">
        <f t="shared" ca="1" si="28"/>
        <v>372274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01866885</v>
      </c>
      <c r="E150" s="79" t="str">
        <f t="shared" si="21"/>
        <v>4400836260000</v>
      </c>
      <c r="F150" s="79" t="b">
        <f t="shared" si="24"/>
        <v>0</v>
      </c>
      <c r="G150" s="190">
        <f t="shared" si="25"/>
        <v>43281</v>
      </c>
      <c r="H150" s="146">
        <f>VLOOKUP( $A150, Aop!$A$2:$N$415, 4, 0)</f>
        <v>217</v>
      </c>
      <c r="I150" s="79">
        <f t="shared" si="22"/>
        <v>2018</v>
      </c>
      <c r="J150" s="79"/>
      <c r="K150" s="79"/>
      <c r="L150" s="79">
        <f t="shared" ca="1" si="27"/>
        <v>207506</v>
      </c>
      <c r="M150" s="79">
        <f t="shared" ca="1" si="28"/>
        <v>798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01866885</v>
      </c>
      <c r="E151" s="79" t="str">
        <f t="shared" si="21"/>
        <v>4400836260000</v>
      </c>
      <c r="F151" s="79" t="b">
        <f t="shared" si="24"/>
        <v>0</v>
      </c>
      <c r="G151" s="190">
        <f t="shared" si="25"/>
        <v>43281</v>
      </c>
      <c r="H151" s="146">
        <f>VLOOKUP( $A151, Aop!$A$2:$N$415, 4, 0)</f>
        <v>218</v>
      </c>
      <c r="I151" s="79">
        <f t="shared" si="22"/>
        <v>2018</v>
      </c>
      <c r="J151" s="79"/>
      <c r="K151" s="79"/>
      <c r="L151" s="79">
        <f t="shared" ca="1" si="27"/>
        <v>73463</v>
      </c>
      <c r="M151" s="79">
        <f t="shared" ca="1" si="28"/>
        <v>79595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01866885</v>
      </c>
      <c r="E152" s="79" t="str">
        <f t="shared" si="21"/>
        <v>4400836260000</v>
      </c>
      <c r="F152" s="79" t="b">
        <f t="shared" si="24"/>
        <v>0</v>
      </c>
      <c r="G152" s="190">
        <f t="shared" si="25"/>
        <v>43281</v>
      </c>
      <c r="H152" s="146">
        <f>VLOOKUP( $A152, Aop!$A$2:$N$415, 4, 0)</f>
        <v>219</v>
      </c>
      <c r="I152" s="79">
        <f t="shared" si="22"/>
        <v>2018</v>
      </c>
      <c r="J152" s="79"/>
      <c r="K152" s="79"/>
      <c r="L152" s="79">
        <f t="shared" ca="1" si="27"/>
        <v>154008</v>
      </c>
      <c r="M152" s="79">
        <f t="shared" ca="1" si="28"/>
        <v>154041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01866885</v>
      </c>
      <c r="E153" s="79" t="str">
        <f t="shared" si="21"/>
        <v>4400836260000</v>
      </c>
      <c r="F153" s="79" t="b">
        <f t="shared" si="24"/>
        <v>0</v>
      </c>
      <c r="G153" s="190">
        <f t="shared" si="25"/>
        <v>43281</v>
      </c>
      <c r="H153" s="146">
        <f>VLOOKUP( $A153, Aop!$A$2:$N$415, 4, 0)</f>
        <v>220</v>
      </c>
      <c r="I153" s="79">
        <f t="shared" si="22"/>
        <v>2018</v>
      </c>
      <c r="J153" s="79"/>
      <c r="K153" s="79"/>
      <c r="L153" s="79">
        <f t="shared" ca="1" si="27"/>
        <v>141488</v>
      </c>
      <c r="M153" s="79">
        <f t="shared" ca="1" si="28"/>
        <v>130330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01866885</v>
      </c>
      <c r="E154" s="79" t="str">
        <f t="shared" si="21"/>
        <v>4400836260000</v>
      </c>
      <c r="F154" s="79" t="b">
        <f t="shared" si="24"/>
        <v>0</v>
      </c>
      <c r="G154" s="190">
        <f t="shared" si="25"/>
        <v>43281</v>
      </c>
      <c r="H154" s="146">
        <f>VLOOKUP( $A154, Aop!$A$2:$N$415, 4, 0)</f>
        <v>221</v>
      </c>
      <c r="I154" s="79">
        <f t="shared" si="22"/>
        <v>2018</v>
      </c>
      <c r="J154" s="79"/>
      <c r="K154" s="79"/>
      <c r="L154" s="79">
        <f t="shared" ca="1" si="27"/>
        <v>12520</v>
      </c>
      <c r="M154" s="79">
        <f t="shared" ca="1" si="28"/>
        <v>23711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01866885</v>
      </c>
      <c r="E155" s="79" t="str">
        <f t="shared" si="21"/>
        <v>4400836260000</v>
      </c>
      <c r="F155" s="79" t="b">
        <f t="shared" si="24"/>
        <v>0</v>
      </c>
      <c r="G155" s="190">
        <f t="shared" si="25"/>
        <v>43281</v>
      </c>
      <c r="H155" s="146">
        <f>VLOOKUP( $A155, Aop!$A$2:$N$415, 4, 0)</f>
        <v>222</v>
      </c>
      <c r="I155" s="79">
        <f t="shared" si="22"/>
        <v>2018</v>
      </c>
      <c r="J155" s="79"/>
      <c r="K155" s="79"/>
      <c r="L155" s="79">
        <f t="shared" ca="1" si="27"/>
        <v>43719</v>
      </c>
      <c r="M155" s="79">
        <f t="shared" ca="1" si="28"/>
        <v>24601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01866885</v>
      </c>
      <c r="E156" s="79" t="str">
        <f t="shared" si="21"/>
        <v>4400836260000</v>
      </c>
      <c r="F156" s="79" t="b">
        <f t="shared" si="24"/>
        <v>0</v>
      </c>
      <c r="G156" s="190">
        <f t="shared" si="25"/>
        <v>43281</v>
      </c>
      <c r="H156" s="146">
        <f>VLOOKUP( $A156, Aop!$A$2:$N$415, 4, 0)</f>
        <v>223</v>
      </c>
      <c r="I156" s="79">
        <f t="shared" si="22"/>
        <v>2018</v>
      </c>
      <c r="J156" s="79"/>
      <c r="K156" s="79"/>
      <c r="L156" s="79">
        <f t="shared" ca="1" si="27"/>
        <v>57473</v>
      </c>
      <c r="M156" s="79">
        <f t="shared" ca="1" si="28"/>
        <v>68235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01866885</v>
      </c>
      <c r="E157" s="79" t="str">
        <f>Podatak_JIB</f>
        <v>4400836260000</v>
      </c>
      <c r="F157" s="79" t="b">
        <f>Konsolidovan_izvjestaj</f>
        <v>0</v>
      </c>
      <c r="G157" s="190">
        <f>Datum_Broj</f>
        <v>43281</v>
      </c>
      <c r="H157" s="79">
        <f>VLOOKUP( $A157, Aop!$A$2:$N$415, 4, 0)</f>
        <v>224</v>
      </c>
      <c r="I157" s="79">
        <f>Godina</f>
        <v>2018</v>
      </c>
      <c r="J157" s="79"/>
      <c r="K157" s="79"/>
      <c r="L157" s="79">
        <f t="shared" ca="1" si="27"/>
        <v>57473</v>
      </c>
      <c r="M157" s="79">
        <f t="shared" ca="1" si="28"/>
        <v>68235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01866885</v>
      </c>
      <c r="E158" s="79" t="str">
        <f t="shared" si="21"/>
        <v>4400836260000</v>
      </c>
      <c r="F158" s="79" t="b">
        <f t="shared" si="24"/>
        <v>0</v>
      </c>
      <c r="G158" s="190">
        <f t="shared" si="25"/>
        <v>43281</v>
      </c>
      <c r="H158" s="146">
        <f>VLOOKUP( $A158, Aop!$A$2:$N$415, 4, 0)</f>
        <v>225</v>
      </c>
      <c r="I158" s="79">
        <f t="shared" si="22"/>
        <v>2018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01866885</v>
      </c>
      <c r="E159" s="79" t="str">
        <f t="shared" si="21"/>
        <v>4400836260000</v>
      </c>
      <c r="F159" s="79" t="b">
        <f t="shared" si="24"/>
        <v>0</v>
      </c>
      <c r="G159" s="190">
        <f t="shared" si="25"/>
        <v>43281</v>
      </c>
      <c r="H159" s="146">
        <f>VLOOKUP( $A159, Aop!$A$2:$N$415, 4, 0)</f>
        <v>226</v>
      </c>
      <c r="I159" s="79">
        <f t="shared" si="22"/>
        <v>2018</v>
      </c>
      <c r="J159" s="79"/>
      <c r="K159" s="79"/>
      <c r="L159" s="79">
        <f t="shared" ca="1" si="27"/>
        <v>62650</v>
      </c>
      <c r="M159" s="79">
        <f t="shared" ca="1" si="28"/>
        <v>33704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01866885</v>
      </c>
      <c r="E160" s="79" t="str">
        <f t="shared" si="21"/>
        <v>4400836260000</v>
      </c>
      <c r="F160" s="79" t="b">
        <f t="shared" si="24"/>
        <v>0</v>
      </c>
      <c r="G160" s="190">
        <f t="shared" si="25"/>
        <v>43281</v>
      </c>
      <c r="H160" s="146">
        <f>VLOOKUP( $A160, Aop!$A$2:$N$415, 4, 0)</f>
        <v>227</v>
      </c>
      <c r="I160" s="79">
        <f t="shared" si="22"/>
        <v>2018</v>
      </c>
      <c r="J160" s="79"/>
      <c r="K160" s="79"/>
      <c r="L160" s="79">
        <f t="shared" ca="1" si="27"/>
        <v>18313</v>
      </c>
      <c r="M160" s="79">
        <f t="shared" ca="1" si="28"/>
        <v>11170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01866885</v>
      </c>
      <c r="E161" s="79" t="str">
        <f t="shared" si="21"/>
        <v>4400836260000</v>
      </c>
      <c r="F161" s="79" t="b">
        <f t="shared" si="24"/>
        <v>0</v>
      </c>
      <c r="G161" s="190">
        <f t="shared" si="25"/>
        <v>43281</v>
      </c>
      <c r="H161" s="146">
        <f>VLOOKUP( $A161, Aop!$A$2:$N$415, 4, 0)</f>
        <v>228</v>
      </c>
      <c r="I161" s="79">
        <f t="shared" si="22"/>
        <v>2018</v>
      </c>
      <c r="J161" s="79"/>
      <c r="K161" s="79"/>
      <c r="L161" s="79">
        <f t="shared" ca="1" si="27"/>
        <v>132</v>
      </c>
      <c r="M161" s="79">
        <f t="shared" ca="1" si="28"/>
        <v>130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01866885</v>
      </c>
      <c r="E162" s="79" t="str">
        <f t="shared" si="21"/>
        <v>4400836260000</v>
      </c>
      <c r="F162" s="79" t="b">
        <f t="shared" si="24"/>
        <v>0</v>
      </c>
      <c r="G162" s="190">
        <f t="shared" si="25"/>
        <v>43281</v>
      </c>
      <c r="H162" s="146">
        <f>VLOOKUP( $A162, Aop!$A$2:$N$415, 4, 0)</f>
        <v>229</v>
      </c>
      <c r="I162" s="79">
        <f t="shared" si="22"/>
        <v>2018</v>
      </c>
      <c r="J162" s="79"/>
      <c r="K162" s="79"/>
      <c r="L162" s="79">
        <f t="shared" ca="1" si="27"/>
        <v>176915</v>
      </c>
      <c r="M162" s="79">
        <f t="shared" ca="1" si="28"/>
        <v>187941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01866885</v>
      </c>
      <c r="E163" s="79" t="str">
        <f t="shared" si="21"/>
        <v>4400836260000</v>
      </c>
      <c r="F163" s="79" t="b">
        <f t="shared" si="24"/>
        <v>0</v>
      </c>
      <c r="G163" s="190">
        <f t="shared" si="25"/>
        <v>43281</v>
      </c>
      <c r="H163" s="146">
        <f>VLOOKUP( $A163, Aop!$A$2:$N$415, 4, 0)</f>
        <v>230</v>
      </c>
      <c r="I163" s="79">
        <f t="shared" si="22"/>
        <v>2018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01866885</v>
      </c>
      <c r="E164" s="79" t="str">
        <f t="shared" si="21"/>
        <v>4400836260000</v>
      </c>
      <c r="F164" s="79" t="b">
        <f t="shared" si="24"/>
        <v>0</v>
      </c>
      <c r="G164" s="190">
        <f t="shared" si="25"/>
        <v>43281</v>
      </c>
      <c r="H164" s="146">
        <f>VLOOKUP( $A164, Aop!$A$2:$N$415, 4, 0)</f>
        <v>231</v>
      </c>
      <c r="I164" s="79">
        <f t="shared" si="22"/>
        <v>2018</v>
      </c>
      <c r="J164" s="79"/>
      <c r="K164" s="79"/>
      <c r="L164" s="79">
        <f t="shared" ca="1" si="27"/>
        <v>62266</v>
      </c>
      <c r="M164" s="79">
        <f t="shared" ca="1" si="28"/>
        <v>62898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01866885</v>
      </c>
      <c r="E165" s="79" t="str">
        <f t="shared" si="21"/>
        <v>4400836260000</v>
      </c>
      <c r="F165" s="79" t="b">
        <f t="shared" si="24"/>
        <v>0</v>
      </c>
      <c r="G165" s="190">
        <f t="shared" si="25"/>
        <v>43281</v>
      </c>
      <c r="H165" s="146">
        <f>VLOOKUP( $A165, Aop!$A$2:$N$415, 4, 0)</f>
        <v>232</v>
      </c>
      <c r="I165" s="79">
        <f t="shared" si="22"/>
        <v>2018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01866885</v>
      </c>
      <c r="E166" s="79" t="str">
        <f t="shared" si="21"/>
        <v>4400836260000</v>
      </c>
      <c r="F166" s="79" t="b">
        <f t="shared" si="24"/>
        <v>0</v>
      </c>
      <c r="G166" s="190">
        <f t="shared" si="25"/>
        <v>43281</v>
      </c>
      <c r="H166" s="146">
        <f>VLOOKUP( $A166, Aop!$A$2:$N$415, 4, 0)</f>
        <v>233</v>
      </c>
      <c r="I166" s="79">
        <f t="shared" si="22"/>
        <v>2018</v>
      </c>
      <c r="J166" s="79"/>
      <c r="K166" s="79"/>
      <c r="L166" s="79">
        <f t="shared" ca="1" si="27"/>
        <v>62256</v>
      </c>
      <c r="M166" s="79">
        <f t="shared" ca="1" si="28"/>
        <v>62637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01866885</v>
      </c>
      <c r="E167" s="79" t="str">
        <f t="shared" si="21"/>
        <v>4400836260000</v>
      </c>
      <c r="F167" s="79" t="b">
        <f t="shared" si="24"/>
        <v>0</v>
      </c>
      <c r="G167" s="190">
        <f t="shared" si="25"/>
        <v>43281</v>
      </c>
      <c r="H167" s="146">
        <f>VLOOKUP( $A167, Aop!$A$2:$N$415, 4, 0)</f>
        <v>234</v>
      </c>
      <c r="I167" s="79">
        <f t="shared" si="22"/>
        <v>2018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01866885</v>
      </c>
      <c r="E168" s="79" t="str">
        <f t="shared" si="21"/>
        <v>4400836260000</v>
      </c>
      <c r="F168" s="79" t="b">
        <f t="shared" si="24"/>
        <v>0</v>
      </c>
      <c r="G168" s="190">
        <f t="shared" si="25"/>
        <v>43281</v>
      </c>
      <c r="H168" s="146">
        <f>VLOOKUP( $A168, Aop!$A$2:$N$415, 4, 0)</f>
        <v>235</v>
      </c>
      <c r="I168" s="79">
        <f t="shared" si="22"/>
        <v>2018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01866885</v>
      </c>
      <c r="E169" s="79" t="str">
        <f t="shared" si="21"/>
        <v>4400836260000</v>
      </c>
      <c r="F169" s="79" t="b">
        <f t="shared" si="24"/>
        <v>0</v>
      </c>
      <c r="G169" s="190">
        <f t="shared" si="25"/>
        <v>43281</v>
      </c>
      <c r="H169" s="146">
        <f>VLOOKUP( $A169, Aop!$A$2:$N$415, 4, 0)</f>
        <v>236</v>
      </c>
      <c r="I169" s="79">
        <f t="shared" si="22"/>
        <v>2018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01866885</v>
      </c>
      <c r="E170" s="79" t="str">
        <f t="shared" si="21"/>
        <v>4400836260000</v>
      </c>
      <c r="F170" s="79" t="b">
        <f t="shared" si="24"/>
        <v>0</v>
      </c>
      <c r="G170" s="190">
        <f t="shared" si="25"/>
        <v>43281</v>
      </c>
      <c r="H170" s="146">
        <f>VLOOKUP( $A170, Aop!$A$2:$N$415, 4, 0)</f>
        <v>237</v>
      </c>
      <c r="I170" s="79">
        <f t="shared" si="22"/>
        <v>2018</v>
      </c>
      <c r="J170" s="79"/>
      <c r="K170" s="79"/>
      <c r="L170" s="79">
        <f t="shared" ca="1" si="27"/>
        <v>10</v>
      </c>
      <c r="M170" s="79">
        <f t="shared" ca="1" si="28"/>
        <v>261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01866885</v>
      </c>
      <c r="E171" s="79" t="str">
        <f>Podatak_JIB</f>
        <v>4400836260000</v>
      </c>
      <c r="F171" s="79" t="b">
        <f>Konsolidovan_izvjestaj</f>
        <v>0</v>
      </c>
      <c r="G171" s="190">
        <f>Datum_Broj</f>
        <v>43281</v>
      </c>
      <c r="H171" s="79">
        <f>VLOOKUP( $A171, Aop!$A$2:$N$415, 4, 0)</f>
        <v>238</v>
      </c>
      <c r="I171" s="79">
        <f>Godina</f>
        <v>2018</v>
      </c>
      <c r="J171" s="79"/>
      <c r="K171" s="79"/>
      <c r="L171" s="79">
        <f t="shared" ca="1" si="27"/>
        <v>0</v>
      </c>
      <c r="M171" s="79">
        <f t="shared" ca="1" si="28"/>
        <v>2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01866885</v>
      </c>
      <c r="E172" s="79" t="str">
        <f t="shared" si="21"/>
        <v>4400836260000</v>
      </c>
      <c r="F172" s="79" t="b">
        <f t="shared" si="24"/>
        <v>0</v>
      </c>
      <c r="G172" s="190">
        <f t="shared" si="25"/>
        <v>43281</v>
      </c>
      <c r="H172" s="146">
        <f>VLOOKUP( $A172, Aop!$A$2:$N$415, 4, 0)</f>
        <v>239</v>
      </c>
      <c r="I172" s="79">
        <f t="shared" si="22"/>
        <v>2018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01866885</v>
      </c>
      <c r="E173" s="79" t="str">
        <f t="shared" si="21"/>
        <v>4400836260000</v>
      </c>
      <c r="F173" s="79" t="b">
        <f t="shared" si="24"/>
        <v>0</v>
      </c>
      <c r="G173" s="190">
        <f t="shared" si="25"/>
        <v>43281</v>
      </c>
      <c r="H173" s="146">
        <f>VLOOKUP( $A173, Aop!$A$2:$N$415, 4, 0)</f>
        <v>240</v>
      </c>
      <c r="I173" s="79">
        <f t="shared" si="22"/>
        <v>2018</v>
      </c>
      <c r="J173" s="79"/>
      <c r="K173" s="79"/>
      <c r="L173" s="79" t="str">
        <f t="shared" ca="1" si="27"/>
        <v/>
      </c>
      <c r="M173" s="79">
        <f t="shared" ca="1" si="28"/>
        <v>1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01866885</v>
      </c>
      <c r="E174" s="79" t="str">
        <f t="shared" si="21"/>
        <v>4400836260000</v>
      </c>
      <c r="F174" s="79" t="b">
        <f t="shared" si="24"/>
        <v>0</v>
      </c>
      <c r="G174" s="190">
        <f t="shared" si="25"/>
        <v>43281</v>
      </c>
      <c r="H174" s="146">
        <f>VLOOKUP( $A174, Aop!$A$2:$N$415, 4, 0)</f>
        <v>241</v>
      </c>
      <c r="I174" s="79">
        <f t="shared" si="22"/>
        <v>2018</v>
      </c>
      <c r="J174" s="79"/>
      <c r="K174" s="79"/>
      <c r="L174" s="79" t="str">
        <f t="shared" ca="1" si="27"/>
        <v/>
      </c>
      <c r="M174" s="79">
        <f t="shared" ca="1" si="28"/>
        <v>1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01866885</v>
      </c>
      <c r="E175" s="79" t="str">
        <f t="shared" si="21"/>
        <v>4400836260000</v>
      </c>
      <c r="F175" s="79" t="b">
        <f t="shared" si="24"/>
        <v>0</v>
      </c>
      <c r="G175" s="190">
        <f t="shared" si="25"/>
        <v>43281</v>
      </c>
      <c r="H175" s="146">
        <f>VLOOKUP( $A175, Aop!$A$2:$N$415, 4, 0)</f>
        <v>242</v>
      </c>
      <c r="I175" s="79">
        <f t="shared" si="22"/>
        <v>2018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01866885</v>
      </c>
      <c r="E176" s="79" t="str">
        <f t="shared" si="21"/>
        <v>4400836260000</v>
      </c>
      <c r="F176" s="79" t="b">
        <f t="shared" si="24"/>
        <v>0</v>
      </c>
      <c r="G176" s="190">
        <f t="shared" si="25"/>
        <v>43281</v>
      </c>
      <c r="H176" s="146">
        <f>VLOOKUP( $A176, Aop!$A$2:$N$415, 4, 0)</f>
        <v>243</v>
      </c>
      <c r="I176" s="79">
        <f t="shared" si="22"/>
        <v>2018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01866885</v>
      </c>
      <c r="E177" s="79" t="str">
        <f t="shared" si="21"/>
        <v>4400836260000</v>
      </c>
      <c r="F177" s="79" t="b">
        <f t="shared" si="24"/>
        <v>0</v>
      </c>
      <c r="G177" s="190">
        <f t="shared" si="25"/>
        <v>43281</v>
      </c>
      <c r="H177" s="146">
        <f>VLOOKUP( $A177, Aop!$A$2:$N$415, 4, 0)</f>
        <v>244</v>
      </c>
      <c r="I177" s="79">
        <f t="shared" si="22"/>
        <v>2018</v>
      </c>
      <c r="J177" s="79"/>
      <c r="K177" s="79"/>
      <c r="L177" s="79">
        <f t="shared" ca="1" si="27"/>
        <v>239181</v>
      </c>
      <c r="M177" s="79">
        <f t="shared" ca="1" si="28"/>
        <v>250837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01866885</v>
      </c>
      <c r="E178" s="79" t="str">
        <f t="shared" si="21"/>
        <v>4400836260000</v>
      </c>
      <c r="F178" s="79" t="b">
        <f t="shared" si="24"/>
        <v>0</v>
      </c>
      <c r="G178" s="190">
        <f t="shared" si="25"/>
        <v>43281</v>
      </c>
      <c r="H178" s="146">
        <f>VLOOKUP( $A178, Aop!$A$2:$N$415, 4, 0)</f>
        <v>245</v>
      </c>
      <c r="I178" s="79">
        <f t="shared" si="22"/>
        <v>2018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01866885</v>
      </c>
      <c r="E179" s="79" t="str">
        <f t="shared" si="21"/>
        <v>4400836260000</v>
      </c>
      <c r="F179" s="79" t="b">
        <f t="shared" si="24"/>
        <v>0</v>
      </c>
      <c r="G179" s="190">
        <f t="shared" si="25"/>
        <v>43281</v>
      </c>
      <c r="H179" s="146">
        <f>VLOOKUP( $A179, Aop!$A$2:$N$415, 4, 0)</f>
        <v>246</v>
      </c>
      <c r="I179" s="79">
        <f t="shared" si="22"/>
        <v>2018</v>
      </c>
      <c r="J179" s="79"/>
      <c r="K179" s="79"/>
      <c r="L179" s="79">
        <f t="shared" ca="1" si="27"/>
        <v>5530</v>
      </c>
      <c r="M179" s="79">
        <f t="shared" ca="1" si="28"/>
        <v>19063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01866885</v>
      </c>
      <c r="E180" s="79" t="str">
        <f t="shared" si="21"/>
        <v>4400836260000</v>
      </c>
      <c r="F180" s="79" t="b">
        <f t="shared" si="24"/>
        <v>0</v>
      </c>
      <c r="G180" s="190">
        <f t="shared" si="25"/>
        <v>43281</v>
      </c>
      <c r="H180" s="146">
        <f>VLOOKUP( $A180, Aop!$A$2:$N$415, 4, 0)</f>
        <v>247</v>
      </c>
      <c r="I180" s="79">
        <f t="shared" si="22"/>
        <v>2018</v>
      </c>
      <c r="J180" s="79"/>
      <c r="K180" s="79"/>
      <c r="L180" s="79">
        <f t="shared" ca="1" si="27"/>
        <v>682</v>
      </c>
      <c r="M180" s="79">
        <f t="shared" ca="1" si="28"/>
        <v>1672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01866885</v>
      </c>
      <c r="E181" s="79" t="str">
        <f t="shared" si="21"/>
        <v>4400836260000</v>
      </c>
      <c r="F181" s="79" t="b">
        <f t="shared" si="24"/>
        <v>0</v>
      </c>
      <c r="G181" s="190">
        <f t="shared" si="25"/>
        <v>43281</v>
      </c>
      <c r="H181" s="146">
        <f>VLOOKUP( $A181, Aop!$A$2:$N$415, 4, 0)</f>
        <v>248</v>
      </c>
      <c r="I181" s="79">
        <f t="shared" si="22"/>
        <v>2018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01866885</v>
      </c>
      <c r="E182" s="79" t="str">
        <f t="shared" si="21"/>
        <v>4400836260000</v>
      </c>
      <c r="F182" s="79" t="b">
        <f t="shared" si="24"/>
        <v>0</v>
      </c>
      <c r="G182" s="190">
        <f t="shared" si="25"/>
        <v>43281</v>
      </c>
      <c r="H182" s="146">
        <f>VLOOKUP( $A182, Aop!$A$2:$N$415, 4, 0)</f>
        <v>249</v>
      </c>
      <c r="I182" s="79">
        <f t="shared" si="22"/>
        <v>2018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01866885</v>
      </c>
      <c r="E183" s="79" t="str">
        <f t="shared" si="21"/>
        <v>4400836260000</v>
      </c>
      <c r="F183" s="79" t="b">
        <f t="shared" si="24"/>
        <v>0</v>
      </c>
      <c r="G183" s="190">
        <f t="shared" si="25"/>
        <v>43281</v>
      </c>
      <c r="H183" s="146">
        <f>VLOOKUP( $A183, Aop!$A$2:$N$415, 4, 0)</f>
        <v>250</v>
      </c>
      <c r="I183" s="79">
        <f t="shared" si="22"/>
        <v>2018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01866885</v>
      </c>
      <c r="E184" s="79" t="str">
        <f t="shared" si="21"/>
        <v>4400836260000</v>
      </c>
      <c r="F184" s="79" t="b">
        <f t="shared" si="24"/>
        <v>0</v>
      </c>
      <c r="G184" s="190">
        <f t="shared" si="25"/>
        <v>43281</v>
      </c>
      <c r="H184" s="146">
        <f>VLOOKUP( $A184, Aop!$A$2:$N$415, 4, 0)</f>
        <v>251</v>
      </c>
      <c r="I184" s="79">
        <f t="shared" si="22"/>
        <v>2018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01866885</v>
      </c>
      <c r="E185" s="79" t="str">
        <f t="shared" si="21"/>
        <v>4400836260000</v>
      </c>
      <c r="F185" s="79" t="b">
        <f t="shared" si="24"/>
        <v>0</v>
      </c>
      <c r="G185" s="190">
        <f t="shared" si="25"/>
        <v>43281</v>
      </c>
      <c r="H185" s="146">
        <f>VLOOKUP( $A185, Aop!$A$2:$N$415, 4, 0)</f>
        <v>252</v>
      </c>
      <c r="I185" s="79">
        <f t="shared" si="22"/>
        <v>2018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01866885</v>
      </c>
      <c r="E186" s="79" t="str">
        <f t="shared" si="21"/>
        <v>4400836260000</v>
      </c>
      <c r="F186" s="79" t="b">
        <f t="shared" si="24"/>
        <v>0</v>
      </c>
      <c r="G186" s="190">
        <f t="shared" si="25"/>
        <v>43281</v>
      </c>
      <c r="H186" s="146">
        <f>VLOOKUP( $A186, Aop!$A$2:$N$415, 4, 0)</f>
        <v>253</v>
      </c>
      <c r="I186" s="79">
        <f t="shared" si="22"/>
        <v>2018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01866885</v>
      </c>
      <c r="E187" s="79" t="str">
        <f t="shared" si="21"/>
        <v>4400836260000</v>
      </c>
      <c r="F187" s="79" t="b">
        <f t="shared" si="24"/>
        <v>0</v>
      </c>
      <c r="G187" s="190">
        <f t="shared" si="25"/>
        <v>43281</v>
      </c>
      <c r="H187" s="146">
        <f>VLOOKUP( $A187, Aop!$A$2:$N$415, 4, 0)</f>
        <v>254</v>
      </c>
      <c r="I187" s="79">
        <f t="shared" si="22"/>
        <v>2018</v>
      </c>
      <c r="J187" s="79"/>
      <c r="K187" s="79"/>
      <c r="L187" s="79" t="str">
        <f t="shared" ca="1" si="27"/>
        <v/>
      </c>
      <c r="M187" s="79">
        <f t="shared" ca="1" si="28"/>
        <v>609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01866885</v>
      </c>
      <c r="E188" s="79" t="str">
        <f t="shared" si="21"/>
        <v>4400836260000</v>
      </c>
      <c r="F188" s="79" t="b">
        <f t="shared" si="24"/>
        <v>0</v>
      </c>
      <c r="G188" s="190">
        <f t="shared" si="25"/>
        <v>43281</v>
      </c>
      <c r="H188" s="146">
        <f>VLOOKUP( $A188, Aop!$A$2:$N$415, 4, 0)</f>
        <v>255</v>
      </c>
      <c r="I188" s="79">
        <f t="shared" si="22"/>
        <v>2018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01866885</v>
      </c>
      <c r="E189" s="79" t="str">
        <f t="shared" ref="E189:E250" si="31">Podatak_JIB</f>
        <v>4400836260000</v>
      </c>
      <c r="F189" s="79" t="b">
        <f t="shared" si="24"/>
        <v>0</v>
      </c>
      <c r="G189" s="190">
        <f t="shared" si="25"/>
        <v>43281</v>
      </c>
      <c r="H189" s="146">
        <f>VLOOKUP( $A189, Aop!$A$2:$N$415, 4, 0)</f>
        <v>256</v>
      </c>
      <c r="I189" s="79">
        <f t="shared" ref="I189:I250" si="32">Godina</f>
        <v>2018</v>
      </c>
      <c r="J189" s="79"/>
      <c r="K189" s="79"/>
      <c r="L189" s="79">
        <f t="shared" ca="1" si="27"/>
        <v>4848</v>
      </c>
      <c r="M189" s="79">
        <f t="shared" ca="1" si="28"/>
        <v>16782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01866885</v>
      </c>
      <c r="E190" s="79" t="str">
        <f t="shared" si="31"/>
        <v>4400836260000</v>
      </c>
      <c r="F190" s="79" t="b">
        <f t="shared" ref="F190:F251" si="34">Konsolidovan_izvjestaj</f>
        <v>0</v>
      </c>
      <c r="G190" s="190">
        <f t="shared" ref="G190:G251" si="35">Datum_Broj</f>
        <v>43281</v>
      </c>
      <c r="H190" s="146">
        <f>VLOOKUP( $A190, Aop!$A$2:$N$415, 4, 0)</f>
        <v>257</v>
      </c>
      <c r="I190" s="79">
        <f t="shared" si="32"/>
        <v>2018</v>
      </c>
      <c r="J190" s="79"/>
      <c r="K190" s="79"/>
      <c r="L190" s="79">
        <f t="shared" ca="1" si="27"/>
        <v>3786</v>
      </c>
      <c r="M190" s="79">
        <f t="shared" ca="1" si="28"/>
        <v>7903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01866885</v>
      </c>
      <c r="E191" s="79" t="str">
        <f t="shared" si="31"/>
        <v>4400836260000</v>
      </c>
      <c r="F191" s="79" t="b">
        <f t="shared" si="34"/>
        <v>0</v>
      </c>
      <c r="G191" s="190">
        <f t="shared" si="35"/>
        <v>43281</v>
      </c>
      <c r="H191" s="146">
        <f>VLOOKUP( $A191, Aop!$A$2:$N$415, 4, 0)</f>
        <v>258</v>
      </c>
      <c r="I191" s="79">
        <f t="shared" si="32"/>
        <v>2018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01866885</v>
      </c>
      <c r="E192" s="79" t="str">
        <f t="shared" si="31"/>
        <v>4400836260000</v>
      </c>
      <c r="F192" s="79" t="b">
        <f t="shared" si="34"/>
        <v>0</v>
      </c>
      <c r="G192" s="190">
        <f t="shared" si="35"/>
        <v>43281</v>
      </c>
      <c r="H192" s="146">
        <f>VLOOKUP( $A192, Aop!$A$2:$N$415, 4, 0)</f>
        <v>259</v>
      </c>
      <c r="I192" s="79">
        <f t="shared" si="32"/>
        <v>2018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01866885</v>
      </c>
      <c r="E193" s="79" t="str">
        <f t="shared" si="31"/>
        <v>4400836260000</v>
      </c>
      <c r="F193" s="79" t="b">
        <f t="shared" si="34"/>
        <v>0</v>
      </c>
      <c r="G193" s="190">
        <f t="shared" si="35"/>
        <v>43281</v>
      </c>
      <c r="H193" s="146">
        <f>VLOOKUP( $A193, Aop!$A$2:$N$415, 4, 0)</f>
        <v>260</v>
      </c>
      <c r="I193" s="79">
        <f t="shared" si="32"/>
        <v>2018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01866885</v>
      </c>
      <c r="E194" s="79" t="str">
        <f>Podatak_JIB</f>
        <v>4400836260000</v>
      </c>
      <c r="F194" s="79" t="b">
        <f>Konsolidovan_izvjestaj</f>
        <v>0</v>
      </c>
      <c r="G194" s="190">
        <f>Datum_Broj</f>
        <v>43281</v>
      </c>
      <c r="H194" s="79">
        <f>VLOOKUP( $A194, Aop!$A$2:$N$415, 4, 0)</f>
        <v>261</v>
      </c>
      <c r="I194" s="79">
        <f>Godina</f>
        <v>2018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01866885</v>
      </c>
      <c r="E195" s="79" t="str">
        <f t="shared" si="31"/>
        <v>4400836260000</v>
      </c>
      <c r="F195" s="79" t="b">
        <f t="shared" si="34"/>
        <v>0</v>
      </c>
      <c r="G195" s="190">
        <f t="shared" si="35"/>
        <v>43281</v>
      </c>
      <c r="H195" s="146">
        <f>VLOOKUP( $A195, Aop!$A$2:$N$415, 4, 0)</f>
        <v>262</v>
      </c>
      <c r="I195" s="79">
        <f t="shared" si="32"/>
        <v>2018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01866885</v>
      </c>
      <c r="E196" s="79" t="str">
        <f t="shared" si="31"/>
        <v>4400836260000</v>
      </c>
      <c r="F196" s="79" t="b">
        <f t="shared" si="34"/>
        <v>0</v>
      </c>
      <c r="G196" s="190">
        <f t="shared" si="35"/>
        <v>43281</v>
      </c>
      <c r="H196" s="146">
        <f>VLOOKUP( $A196, Aop!$A$2:$N$415, 4, 0)</f>
        <v>263</v>
      </c>
      <c r="I196" s="79">
        <f t="shared" si="32"/>
        <v>2018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01866885</v>
      </c>
      <c r="E197" s="79" t="str">
        <f t="shared" si="31"/>
        <v>4400836260000</v>
      </c>
      <c r="F197" s="79" t="b">
        <f t="shared" si="34"/>
        <v>0</v>
      </c>
      <c r="G197" s="190">
        <f t="shared" si="35"/>
        <v>43281</v>
      </c>
      <c r="H197" s="146">
        <f>VLOOKUP( $A197, Aop!$A$2:$N$415, 4, 0)</f>
        <v>264</v>
      </c>
      <c r="I197" s="79">
        <f t="shared" si="32"/>
        <v>2018</v>
      </c>
      <c r="J197" s="79"/>
      <c r="K197" s="79"/>
      <c r="L197" s="79">
        <f t="shared" ca="1" si="36"/>
        <v>372</v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01866885</v>
      </c>
      <c r="E198" s="79" t="str">
        <f t="shared" si="31"/>
        <v>4400836260000</v>
      </c>
      <c r="F198" s="79" t="b">
        <f t="shared" si="34"/>
        <v>0</v>
      </c>
      <c r="G198" s="190">
        <f t="shared" si="35"/>
        <v>43281</v>
      </c>
      <c r="H198" s="146">
        <f>VLOOKUP( $A198, Aop!$A$2:$N$415, 4, 0)</f>
        <v>265</v>
      </c>
      <c r="I198" s="79">
        <f t="shared" si="32"/>
        <v>2018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01866885</v>
      </c>
      <c r="E199" s="79" t="str">
        <f t="shared" si="31"/>
        <v>4400836260000</v>
      </c>
      <c r="F199" s="79" t="b">
        <f t="shared" si="34"/>
        <v>0</v>
      </c>
      <c r="G199" s="190">
        <f t="shared" si="35"/>
        <v>43281</v>
      </c>
      <c r="H199" s="146">
        <f>VLOOKUP( $A199, Aop!$A$2:$N$415, 4, 0)</f>
        <v>266</v>
      </c>
      <c r="I199" s="79">
        <f t="shared" si="32"/>
        <v>2018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01866885</v>
      </c>
      <c r="E200" s="79" t="str">
        <f t="shared" si="31"/>
        <v>4400836260000</v>
      </c>
      <c r="F200" s="79" t="b">
        <f t="shared" si="34"/>
        <v>0</v>
      </c>
      <c r="G200" s="190">
        <f t="shared" si="35"/>
        <v>43281</v>
      </c>
      <c r="H200" s="146">
        <f>VLOOKUP( $A200, Aop!$A$2:$N$415, 4, 0)</f>
        <v>267</v>
      </c>
      <c r="I200" s="79">
        <f t="shared" si="32"/>
        <v>2018</v>
      </c>
      <c r="J200" s="79"/>
      <c r="K200" s="79"/>
      <c r="L200" s="79">
        <f t="shared" ca="1" si="36"/>
        <v>3414</v>
      </c>
      <c r="M200" s="79">
        <f t="shared" ca="1" si="37"/>
        <v>7903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01866885</v>
      </c>
      <c r="E201" s="79" t="str">
        <f t="shared" si="31"/>
        <v>4400836260000</v>
      </c>
      <c r="F201" s="79" t="b">
        <f t="shared" si="34"/>
        <v>0</v>
      </c>
      <c r="G201" s="190">
        <f t="shared" si="35"/>
        <v>43281</v>
      </c>
      <c r="H201" s="146">
        <f>VLOOKUP( $A201, Aop!$A$2:$N$415, 4, 0)</f>
        <v>268</v>
      </c>
      <c r="I201" s="79">
        <f t="shared" si="32"/>
        <v>2018</v>
      </c>
      <c r="J201" s="79"/>
      <c r="K201" s="79"/>
      <c r="L201" s="79">
        <f t="shared" ca="1" si="36"/>
        <v>1744</v>
      </c>
      <c r="M201" s="79">
        <f t="shared" ca="1" si="37"/>
        <v>11160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01866885</v>
      </c>
      <c r="E202" s="79" t="str">
        <f t="shared" si="31"/>
        <v>4400836260000</v>
      </c>
      <c r="F202" s="79" t="b">
        <f t="shared" si="34"/>
        <v>0</v>
      </c>
      <c r="G202" s="190">
        <f t="shared" si="35"/>
        <v>43281</v>
      </c>
      <c r="H202" s="146">
        <f>VLOOKUP( $A202, Aop!$A$2:$N$415, 4, 0)</f>
        <v>269</v>
      </c>
      <c r="I202" s="79">
        <f t="shared" si="32"/>
        <v>2018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01866885</v>
      </c>
      <c r="E203" s="79" t="str">
        <f t="shared" si="31"/>
        <v>4400836260000</v>
      </c>
      <c r="F203" s="79" t="b">
        <f t="shared" si="34"/>
        <v>0</v>
      </c>
      <c r="G203" s="190">
        <f t="shared" si="35"/>
        <v>43281</v>
      </c>
      <c r="H203" s="146">
        <f>VLOOKUP( $A203, Aop!$A$2:$N$415, 4, 0)</f>
        <v>270</v>
      </c>
      <c r="I203" s="79">
        <f t="shared" si="32"/>
        <v>2018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01866885</v>
      </c>
      <c r="E204" s="79" t="str">
        <f t="shared" si="31"/>
        <v>4400836260000</v>
      </c>
      <c r="F204" s="79" t="b">
        <f t="shared" si="34"/>
        <v>0</v>
      </c>
      <c r="G204" s="190">
        <f t="shared" si="35"/>
        <v>43281</v>
      </c>
      <c r="H204" s="146">
        <f>VLOOKUP( $A204, Aop!$A$2:$N$415, 4, 0)</f>
        <v>271</v>
      </c>
      <c r="I204" s="79">
        <f t="shared" si="32"/>
        <v>2018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01866885</v>
      </c>
      <c r="E205" s="79" t="str">
        <f t="shared" si="31"/>
        <v>4400836260000</v>
      </c>
      <c r="F205" s="79" t="b">
        <f t="shared" si="34"/>
        <v>0</v>
      </c>
      <c r="G205" s="190">
        <f t="shared" si="35"/>
        <v>43281</v>
      </c>
      <c r="H205" s="146">
        <f>VLOOKUP( $A205, Aop!$A$2:$N$415, 4, 0)</f>
        <v>272</v>
      </c>
      <c r="I205" s="79">
        <f t="shared" si="32"/>
        <v>2018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01866885</v>
      </c>
      <c r="E206" s="79" t="str">
        <f t="shared" si="31"/>
        <v>4400836260000</v>
      </c>
      <c r="F206" s="79" t="b">
        <f t="shared" si="34"/>
        <v>0</v>
      </c>
      <c r="G206" s="190">
        <f t="shared" si="35"/>
        <v>43281</v>
      </c>
      <c r="H206" s="146">
        <f>VLOOKUP( $A206, Aop!$A$2:$N$415, 4, 0)</f>
        <v>273</v>
      </c>
      <c r="I206" s="79">
        <f t="shared" si="32"/>
        <v>2018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01866885</v>
      </c>
      <c r="E207" s="79" t="str">
        <f t="shared" si="31"/>
        <v>4400836260000</v>
      </c>
      <c r="F207" s="79" t="b">
        <f t="shared" si="34"/>
        <v>0</v>
      </c>
      <c r="G207" s="190">
        <f t="shared" si="35"/>
        <v>43281</v>
      </c>
      <c r="H207" s="146">
        <f>VLOOKUP( $A207, Aop!$A$2:$N$415, 4, 0)</f>
        <v>274</v>
      </c>
      <c r="I207" s="79">
        <f t="shared" si="32"/>
        <v>2018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01866885</v>
      </c>
      <c r="E208" s="79" t="str">
        <f t="shared" si="31"/>
        <v>4400836260000</v>
      </c>
      <c r="F208" s="79" t="b">
        <f t="shared" si="34"/>
        <v>0</v>
      </c>
      <c r="G208" s="190">
        <f t="shared" si="35"/>
        <v>43281</v>
      </c>
      <c r="H208" s="146">
        <f>VLOOKUP( $A208, Aop!$A$2:$N$415, 4, 0)</f>
        <v>275</v>
      </c>
      <c r="I208" s="79">
        <f t="shared" si="32"/>
        <v>2018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01866885</v>
      </c>
      <c r="E209" s="79" t="str">
        <f t="shared" si="31"/>
        <v>4400836260000</v>
      </c>
      <c r="F209" s="79" t="b">
        <f t="shared" si="34"/>
        <v>0</v>
      </c>
      <c r="G209" s="190">
        <f t="shared" si="35"/>
        <v>43281</v>
      </c>
      <c r="H209" s="146">
        <f>VLOOKUP( $A209, Aop!$A$2:$N$415, 4, 0)</f>
        <v>276</v>
      </c>
      <c r="I209" s="79">
        <f t="shared" si="32"/>
        <v>2018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01866885</v>
      </c>
      <c r="E210" s="79" t="str">
        <f t="shared" si="31"/>
        <v>4400836260000</v>
      </c>
      <c r="F210" s="79" t="b">
        <f t="shared" si="34"/>
        <v>0</v>
      </c>
      <c r="G210" s="190">
        <f t="shared" si="35"/>
        <v>43281</v>
      </c>
      <c r="H210" s="146">
        <f>VLOOKUP( $A210, Aop!$A$2:$N$415, 4, 0)</f>
        <v>277</v>
      </c>
      <c r="I210" s="79">
        <f t="shared" si="32"/>
        <v>2018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01866885</v>
      </c>
      <c r="E211" s="79" t="str">
        <f t="shared" si="31"/>
        <v>4400836260000</v>
      </c>
      <c r="F211" s="79" t="b">
        <f t="shared" si="34"/>
        <v>0</v>
      </c>
      <c r="G211" s="190">
        <f t="shared" si="35"/>
        <v>43281</v>
      </c>
      <c r="H211" s="146">
        <f>VLOOKUP( $A211, Aop!$A$2:$N$415, 4, 0)</f>
        <v>278</v>
      </c>
      <c r="I211" s="79">
        <f t="shared" si="32"/>
        <v>2018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01866885</v>
      </c>
      <c r="E212" s="79" t="str">
        <f t="shared" si="31"/>
        <v>4400836260000</v>
      </c>
      <c r="F212" s="79" t="b">
        <f t="shared" si="34"/>
        <v>0</v>
      </c>
      <c r="G212" s="190">
        <f t="shared" si="35"/>
        <v>43281</v>
      </c>
      <c r="H212" s="146">
        <f>VLOOKUP( $A212, Aop!$A$2:$N$415, 4, 0)</f>
        <v>279</v>
      </c>
      <c r="I212" s="79">
        <f t="shared" si="32"/>
        <v>2018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01866885</v>
      </c>
      <c r="E213" s="79" t="str">
        <f t="shared" si="31"/>
        <v>4400836260000</v>
      </c>
      <c r="F213" s="79" t="b">
        <f t="shared" si="34"/>
        <v>0</v>
      </c>
      <c r="G213" s="190">
        <f t="shared" si="35"/>
        <v>43281</v>
      </c>
      <c r="H213" s="146">
        <f>VLOOKUP( $A213, Aop!$A$2:$N$415, 4, 0)</f>
        <v>280</v>
      </c>
      <c r="I213" s="79">
        <f t="shared" si="32"/>
        <v>2018</v>
      </c>
      <c r="J213" s="79"/>
      <c r="K213" s="79"/>
      <c r="L213" s="79">
        <f t="shared" ca="1" si="36"/>
        <v>0</v>
      </c>
      <c r="M213" s="79">
        <f t="shared" ca="1" si="37"/>
        <v>159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01866885</v>
      </c>
      <c r="E214" s="79" t="str">
        <f t="shared" si="31"/>
        <v>4400836260000</v>
      </c>
      <c r="F214" s="79" t="b">
        <f t="shared" si="34"/>
        <v>0</v>
      </c>
      <c r="G214" s="190">
        <f t="shared" si="35"/>
        <v>43281</v>
      </c>
      <c r="H214" s="146">
        <f>VLOOKUP( $A214, Aop!$A$2:$N$415, 4, 0)</f>
        <v>281</v>
      </c>
      <c r="I214" s="79">
        <f t="shared" si="32"/>
        <v>2018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01866885</v>
      </c>
      <c r="E215" s="79" t="str">
        <f t="shared" si="31"/>
        <v>4400836260000</v>
      </c>
      <c r="F215" s="79" t="b">
        <f t="shared" si="34"/>
        <v>0</v>
      </c>
      <c r="G215" s="190">
        <f t="shared" si="35"/>
        <v>43281</v>
      </c>
      <c r="H215" s="146">
        <f>VLOOKUP( $A215, Aop!$A$2:$N$415, 4, 0)</f>
        <v>282</v>
      </c>
      <c r="I215" s="79">
        <f t="shared" si="32"/>
        <v>2018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01866885</v>
      </c>
      <c r="E216" s="79" t="str">
        <f>Podatak_JIB</f>
        <v>4400836260000</v>
      </c>
      <c r="F216" s="79" t="b">
        <f>Konsolidovan_izvjestaj</f>
        <v>0</v>
      </c>
      <c r="G216" s="190">
        <f>Datum_Broj</f>
        <v>43281</v>
      </c>
      <c r="H216" s="79">
        <f>VLOOKUP( $A216, Aop!$A$2:$N$415, 4, 0)</f>
        <v>283</v>
      </c>
      <c r="I216" s="79">
        <f>Godina</f>
        <v>2018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01866885</v>
      </c>
      <c r="E217" s="79" t="str">
        <f t="shared" si="31"/>
        <v>4400836260000</v>
      </c>
      <c r="F217" s="79" t="b">
        <f t="shared" si="34"/>
        <v>0</v>
      </c>
      <c r="G217" s="190">
        <f t="shared" si="35"/>
        <v>43281</v>
      </c>
      <c r="H217" s="146">
        <f>VLOOKUP( $A217, Aop!$A$2:$N$415, 4, 0)</f>
        <v>284</v>
      </c>
      <c r="I217" s="79">
        <f t="shared" si="32"/>
        <v>2018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01866885</v>
      </c>
      <c r="E218" s="79" t="str">
        <f t="shared" si="31"/>
        <v>4400836260000</v>
      </c>
      <c r="F218" s="79" t="b">
        <f t="shared" si="34"/>
        <v>0</v>
      </c>
      <c r="G218" s="190">
        <f t="shared" si="35"/>
        <v>43281</v>
      </c>
      <c r="H218" s="146">
        <f>VLOOKUP( $A218, Aop!$A$2:$N$415, 4, 0)</f>
        <v>285</v>
      </c>
      <c r="I218" s="79">
        <f t="shared" si="32"/>
        <v>2018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01866885</v>
      </c>
      <c r="E219" s="79" t="str">
        <f>Podatak_JIB</f>
        <v>4400836260000</v>
      </c>
      <c r="F219" s="79" t="b">
        <f>Konsolidovan_izvjestaj</f>
        <v>0</v>
      </c>
      <c r="G219" s="190">
        <f>Datum_Broj</f>
        <v>43281</v>
      </c>
      <c r="H219" s="79">
        <f>VLOOKUP( $A219, Aop!$A$2:$N$415, 4, 0)</f>
        <v>286</v>
      </c>
      <c r="I219" s="79">
        <f>Godina</f>
        <v>2018</v>
      </c>
      <c r="J219" s="79"/>
      <c r="K219" s="79"/>
      <c r="L219" s="79" t="str">
        <f t="shared" ca="1" si="36"/>
        <v/>
      </c>
      <c r="M219" s="79">
        <f t="shared" ca="1" si="37"/>
        <v>159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01866885</v>
      </c>
      <c r="E220" s="79" t="str">
        <f t="shared" si="31"/>
        <v>4400836260000</v>
      </c>
      <c r="F220" s="79" t="b">
        <f t="shared" si="34"/>
        <v>0</v>
      </c>
      <c r="G220" s="190">
        <f t="shared" si="35"/>
        <v>43281</v>
      </c>
      <c r="H220" s="146">
        <f>VLOOKUP( $A220, Aop!$A$2:$N$415, 4, 0)</f>
        <v>287</v>
      </c>
      <c r="I220" s="79">
        <f t="shared" si="32"/>
        <v>2018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01866885</v>
      </c>
      <c r="E221" s="79" t="str">
        <f t="shared" si="31"/>
        <v>4400836260000</v>
      </c>
      <c r="F221" s="79" t="b">
        <f t="shared" si="34"/>
        <v>0</v>
      </c>
      <c r="G221" s="190">
        <f t="shared" si="35"/>
        <v>43281</v>
      </c>
      <c r="H221" s="146">
        <f>VLOOKUP( $A221, Aop!$A$2:$N$415, 4, 0)</f>
        <v>288</v>
      </c>
      <c r="I221" s="79">
        <f t="shared" si="32"/>
        <v>2018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01866885</v>
      </c>
      <c r="E222" s="79" t="str">
        <f>Podatak_JIB</f>
        <v>4400836260000</v>
      </c>
      <c r="F222" s="79" t="b">
        <f>Konsolidovan_izvjestaj</f>
        <v>0</v>
      </c>
      <c r="G222" s="190">
        <f>Datum_Broj</f>
        <v>43281</v>
      </c>
      <c r="H222" s="79">
        <f>VLOOKUP( $A222, Aop!$A$2:$N$415, 4, 0)</f>
        <v>289</v>
      </c>
      <c r="I222" s="79">
        <f>Godina</f>
        <v>2018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01866885</v>
      </c>
      <c r="E223" s="79" t="str">
        <f t="shared" si="31"/>
        <v>4400836260000</v>
      </c>
      <c r="F223" s="79" t="b">
        <f t="shared" si="34"/>
        <v>0</v>
      </c>
      <c r="G223" s="190">
        <f t="shared" si="35"/>
        <v>43281</v>
      </c>
      <c r="H223" s="146">
        <f>VLOOKUP( $A223, Aop!$A$2:$N$415, 4, 0)</f>
        <v>290</v>
      </c>
      <c r="I223" s="79">
        <f t="shared" si="32"/>
        <v>2018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01866885</v>
      </c>
      <c r="E224" s="79" t="str">
        <f t="shared" si="31"/>
        <v>4400836260000</v>
      </c>
      <c r="F224" s="79" t="b">
        <f t="shared" si="34"/>
        <v>0</v>
      </c>
      <c r="G224" s="190">
        <f t="shared" si="35"/>
        <v>43281</v>
      </c>
      <c r="H224" s="146">
        <f>VLOOKUP( $A224, Aop!$A$2:$N$415, 4, 0)</f>
        <v>291</v>
      </c>
      <c r="I224" s="79">
        <f t="shared" si="32"/>
        <v>2018</v>
      </c>
      <c r="J224" s="79"/>
      <c r="K224" s="79"/>
      <c r="L224" s="79">
        <f t="shared" ca="1" si="36"/>
        <v>0</v>
      </c>
      <c r="M224" s="79">
        <f t="shared" ca="1" si="37"/>
        <v>159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01866885</v>
      </c>
      <c r="E225" s="79" t="str">
        <f t="shared" si="31"/>
        <v>4400836260000</v>
      </c>
      <c r="F225" s="79" t="b">
        <f t="shared" si="34"/>
        <v>0</v>
      </c>
      <c r="G225" s="190">
        <f t="shared" si="35"/>
        <v>43281</v>
      </c>
      <c r="H225" s="146">
        <f>VLOOKUP( $A225, Aop!$A$2:$N$415, 4, 0)</f>
        <v>292</v>
      </c>
      <c r="I225" s="79">
        <f t="shared" si="32"/>
        <v>2018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01866885</v>
      </c>
      <c r="E226" s="79" t="str">
        <f t="shared" si="31"/>
        <v>4400836260000</v>
      </c>
      <c r="F226" s="79" t="b">
        <f t="shared" si="34"/>
        <v>0</v>
      </c>
      <c r="G226" s="190">
        <f t="shared" si="35"/>
        <v>43281</v>
      </c>
      <c r="H226" s="146">
        <f>VLOOKUP( $A226, Aop!$A$2:$N$415, 4, 0)</f>
        <v>293</v>
      </c>
      <c r="I226" s="79">
        <f t="shared" si="32"/>
        <v>2018</v>
      </c>
      <c r="J226" s="79"/>
      <c r="K226" s="79"/>
      <c r="L226" s="79" t="str">
        <f t="shared" ca="1" si="36"/>
        <v/>
      </c>
      <c r="M226" s="79">
        <f t="shared" ca="1" si="37"/>
        <v>1841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01866885</v>
      </c>
      <c r="E227" s="79" t="str">
        <f t="shared" si="31"/>
        <v>4400836260000</v>
      </c>
      <c r="F227" s="79" t="b">
        <f t="shared" si="34"/>
        <v>0</v>
      </c>
      <c r="G227" s="190">
        <f t="shared" si="35"/>
        <v>43281</v>
      </c>
      <c r="H227" s="146">
        <f>VLOOKUP( $A227, Aop!$A$2:$N$415, 4, 0)</f>
        <v>294</v>
      </c>
      <c r="I227" s="79">
        <f t="shared" si="32"/>
        <v>2018</v>
      </c>
      <c r="J227" s="79"/>
      <c r="K227" s="79"/>
      <c r="L227" s="79">
        <f t="shared" ca="1" si="36"/>
        <v>240925</v>
      </c>
      <c r="M227" s="79">
        <f t="shared" ca="1" si="37"/>
        <v>259997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01866885</v>
      </c>
      <c r="E228" s="79" t="str">
        <f t="shared" si="31"/>
        <v>4400836260000</v>
      </c>
      <c r="F228" s="79" t="b">
        <f t="shared" si="34"/>
        <v>0</v>
      </c>
      <c r="G228" s="190">
        <f t="shared" si="35"/>
        <v>43281</v>
      </c>
      <c r="H228" s="146">
        <f>VLOOKUP( $A228, Aop!$A$2:$N$415, 4, 0)</f>
        <v>295</v>
      </c>
      <c r="I228" s="79">
        <f t="shared" si="32"/>
        <v>2018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01866885</v>
      </c>
      <c r="E229" s="79" t="str">
        <f t="shared" si="31"/>
        <v>4400836260000</v>
      </c>
      <c r="F229" s="79" t="b">
        <f t="shared" si="34"/>
        <v>0</v>
      </c>
      <c r="G229" s="190">
        <f t="shared" si="35"/>
        <v>43281</v>
      </c>
      <c r="H229" s="146">
        <f>VLOOKUP( $A229, Aop!$A$2:$N$415, 4, 0)</f>
        <v>296</v>
      </c>
      <c r="I229" s="79">
        <f t="shared" si="32"/>
        <v>2018</v>
      </c>
      <c r="J229" s="79"/>
      <c r="K229" s="79"/>
      <c r="L229" s="79">
        <f t="shared" ca="1" si="36"/>
        <v>24093</v>
      </c>
      <c r="M229" s="79">
        <f t="shared" ca="1" si="37"/>
        <v>27088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01866885</v>
      </c>
      <c r="E230" s="79" t="str">
        <f t="shared" si="31"/>
        <v>4400836260000</v>
      </c>
      <c r="F230" s="79" t="b">
        <f t="shared" si="34"/>
        <v>0</v>
      </c>
      <c r="G230" s="190">
        <f t="shared" si="35"/>
        <v>43281</v>
      </c>
      <c r="H230" s="146">
        <f>VLOOKUP( $A230, Aop!$A$2:$N$415, 4, 0)</f>
        <v>297</v>
      </c>
      <c r="I230" s="79">
        <f t="shared" si="32"/>
        <v>2018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01866885</v>
      </c>
      <c r="E231" s="79" t="str">
        <f t="shared" si="31"/>
        <v>4400836260000</v>
      </c>
      <c r="F231" s="79" t="b">
        <f t="shared" si="34"/>
        <v>0</v>
      </c>
      <c r="G231" s="190">
        <f t="shared" si="35"/>
        <v>43281</v>
      </c>
      <c r="H231" s="146">
        <f>VLOOKUP( $A231, Aop!$A$2:$N$415, 4, 0)</f>
        <v>298</v>
      </c>
      <c r="I231" s="79">
        <f t="shared" si="32"/>
        <v>2018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01866885</v>
      </c>
      <c r="E232" s="79" t="str">
        <f t="shared" si="31"/>
        <v>4400836260000</v>
      </c>
      <c r="F232" s="79" t="b">
        <f t="shared" si="34"/>
        <v>0</v>
      </c>
      <c r="G232" s="190">
        <f t="shared" si="35"/>
        <v>43281</v>
      </c>
      <c r="H232" s="146">
        <f>VLOOKUP( $A232, Aop!$A$2:$N$415, 4, 0)</f>
        <v>299</v>
      </c>
      <c r="I232" s="79">
        <f t="shared" si="32"/>
        <v>2018</v>
      </c>
      <c r="J232" s="79"/>
      <c r="K232" s="79"/>
      <c r="L232" s="79">
        <f t="shared" ca="1" si="36"/>
        <v>216832</v>
      </c>
      <c r="M232" s="79">
        <f t="shared" ca="1" si="37"/>
        <v>232909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01866885</v>
      </c>
      <c r="E233" s="79" t="str">
        <f t="shared" si="31"/>
        <v>4400836260000</v>
      </c>
      <c r="F233" s="79" t="b">
        <f t="shared" si="34"/>
        <v>0</v>
      </c>
      <c r="G233" s="190">
        <f t="shared" si="35"/>
        <v>43281</v>
      </c>
      <c r="H233" s="146">
        <f>VLOOKUP( $A233, Aop!$A$2:$N$415, 4, 0)</f>
        <v>300</v>
      </c>
      <c r="I233" s="79">
        <f t="shared" si="32"/>
        <v>2018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01866885</v>
      </c>
      <c r="E234" s="79" t="str">
        <f t="shared" si="31"/>
        <v>4400836260000</v>
      </c>
      <c r="F234" s="79" t="b">
        <f t="shared" si="34"/>
        <v>0</v>
      </c>
      <c r="G234" s="190">
        <f t="shared" si="35"/>
        <v>43281</v>
      </c>
      <c r="H234" s="146">
        <f>VLOOKUP( $A234, Aop!$A$2:$N$415, 4, 0)</f>
        <v>301</v>
      </c>
      <c r="I234" s="79">
        <f t="shared" si="32"/>
        <v>2018</v>
      </c>
      <c r="J234" s="79"/>
      <c r="K234" s="79"/>
      <c r="L234" s="79">
        <f t="shared" ca="1" si="36"/>
        <v>861975</v>
      </c>
      <c r="M234" s="79">
        <f t="shared" ca="1" si="37"/>
        <v>642176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01866885</v>
      </c>
      <c r="E235" s="79" t="str">
        <f t="shared" si="31"/>
        <v>4400836260000</v>
      </c>
      <c r="F235" s="79" t="b">
        <f t="shared" si="34"/>
        <v>0</v>
      </c>
      <c r="G235" s="190">
        <f t="shared" si="35"/>
        <v>43281</v>
      </c>
      <c r="H235" s="146">
        <f>VLOOKUP( $A235, Aop!$A$2:$N$415, 4, 0)</f>
        <v>302</v>
      </c>
      <c r="I235" s="79">
        <f t="shared" si="32"/>
        <v>2018</v>
      </c>
      <c r="J235" s="79"/>
      <c r="K235" s="79"/>
      <c r="L235" s="79">
        <f t="shared" ca="1" si="36"/>
        <v>621050</v>
      </c>
      <c r="M235" s="79">
        <f t="shared" ca="1" si="37"/>
        <v>382179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01866885</v>
      </c>
      <c r="E236" s="79" t="str">
        <f t="shared" si="31"/>
        <v>4400836260000</v>
      </c>
      <c r="F236" s="79" t="b">
        <f t="shared" si="34"/>
        <v>0</v>
      </c>
      <c r="G236" s="190">
        <f t="shared" si="35"/>
        <v>43281</v>
      </c>
      <c r="H236" s="146">
        <f>VLOOKUP( $A236, Aop!$A$2:$N$415, 4, 0)</f>
        <v>303</v>
      </c>
      <c r="I236" s="79">
        <f t="shared" si="32"/>
        <v>2018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01866885</v>
      </c>
      <c r="E237" s="79" t="str">
        <f t="shared" si="31"/>
        <v>4400836260000</v>
      </c>
      <c r="F237" s="79" t="b">
        <f t="shared" si="34"/>
        <v>0</v>
      </c>
      <c r="G237" s="190">
        <f t="shared" si="35"/>
        <v>43281</v>
      </c>
      <c r="H237" s="146">
        <f>VLOOKUP( $A237, Aop!$A$2:$N$415, 4, 0)</f>
        <v>304</v>
      </c>
      <c r="I237" s="79">
        <f t="shared" si="32"/>
        <v>2018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01866885</v>
      </c>
      <c r="E238" s="79" t="str">
        <f t="shared" si="31"/>
        <v>4400836260000</v>
      </c>
      <c r="F238" s="79" t="b">
        <f t="shared" si="34"/>
        <v>0</v>
      </c>
      <c r="G238" s="190">
        <f t="shared" si="35"/>
        <v>43281</v>
      </c>
      <c r="H238" s="146">
        <f>VLOOKUP( $A238, Aop!$A$2:$N$415, 4, 0)</f>
        <v>305</v>
      </c>
      <c r="I238" s="79">
        <f t="shared" si="32"/>
        <v>2018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01866885</v>
      </c>
      <c r="E239" s="79" t="str">
        <f t="shared" si="31"/>
        <v>4400836260000</v>
      </c>
      <c r="F239" s="79" t="b">
        <f t="shared" si="34"/>
        <v>0</v>
      </c>
      <c r="G239" s="190">
        <f t="shared" si="35"/>
        <v>43281</v>
      </c>
      <c r="H239" s="146">
        <f>VLOOKUP( $A239, Aop!$A$2:$N$415, 4, 0)</f>
        <v>306</v>
      </c>
      <c r="I239" s="79">
        <f t="shared" si="32"/>
        <v>2018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01866885</v>
      </c>
      <c r="E240" s="79" t="str">
        <f t="shared" si="31"/>
        <v>4400836260000</v>
      </c>
      <c r="F240" s="79" t="b">
        <f t="shared" si="34"/>
        <v>0</v>
      </c>
      <c r="G240" s="190">
        <f t="shared" si="35"/>
        <v>43281</v>
      </c>
      <c r="H240" s="146">
        <f>VLOOKUP( $A240, Aop!$A$2:$N$415, 4, 0)</f>
        <v>307</v>
      </c>
      <c r="I240" s="79">
        <f t="shared" si="32"/>
        <v>2018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01866885</v>
      </c>
      <c r="E241" s="79" t="str">
        <f t="shared" si="31"/>
        <v>4400836260000</v>
      </c>
      <c r="F241" s="79" t="b">
        <f t="shared" si="34"/>
        <v>0</v>
      </c>
      <c r="G241" s="190">
        <f t="shared" si="35"/>
        <v>43281</v>
      </c>
      <c r="H241" s="146">
        <f>VLOOKUP( $A241, Aop!$A$2:$N$415, 4, 0)</f>
        <v>308</v>
      </c>
      <c r="I241" s="79">
        <f t="shared" si="32"/>
        <v>2018</v>
      </c>
      <c r="J241" s="79"/>
      <c r="K241" s="79"/>
      <c r="L241" s="79">
        <f t="shared" ca="1" si="36"/>
        <v>22</v>
      </c>
      <c r="M241" s="79">
        <f t="shared" ca="1" si="37"/>
        <v>19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01866885</v>
      </c>
      <c r="E242" s="79" t="str">
        <f t="shared" si="31"/>
        <v>4400836260000</v>
      </c>
      <c r="F242" s="79" t="b">
        <f t="shared" si="34"/>
        <v>0</v>
      </c>
      <c r="G242" s="190">
        <f t="shared" si="35"/>
        <v>43281</v>
      </c>
      <c r="H242" s="146">
        <f>VLOOKUP( $A242, Aop!$A$2:$N$415, 4, 0)</f>
        <v>309</v>
      </c>
      <c r="I242" s="79">
        <f t="shared" si="32"/>
        <v>2018</v>
      </c>
      <c r="J242" s="79"/>
      <c r="K242" s="79"/>
      <c r="L242" s="79">
        <f t="shared" ca="1" si="36"/>
        <v>22</v>
      </c>
      <c r="M242" s="79">
        <f t="shared" ca="1" si="37"/>
        <v>19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01866885</v>
      </c>
      <c r="E243" s="79" t="str">
        <f t="shared" si="31"/>
        <v>4400836260000</v>
      </c>
      <c r="F243" s="79" t="b">
        <f t="shared" si="34"/>
        <v>0</v>
      </c>
      <c r="G243" s="190">
        <f t="shared" si="35"/>
        <v>43281</v>
      </c>
      <c r="H243" s="146">
        <f>VLOOKUP( $A243, Aop!$A$2:$N$415, 4, 0)</f>
        <v>400</v>
      </c>
      <c r="I243" s="79">
        <f t="shared" si="32"/>
        <v>2018</v>
      </c>
      <c r="J243" s="79"/>
      <c r="K243" s="79"/>
      <c r="L243" s="79">
        <f t="shared" ca="1" si="36"/>
        <v>216832</v>
      </c>
      <c r="M243" s="79">
        <f t="shared" ca="1" si="37"/>
        <v>232909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01866885</v>
      </c>
      <c r="E244" s="79" t="str">
        <f t="shared" si="31"/>
        <v>4400836260000</v>
      </c>
      <c r="F244" s="79" t="b">
        <f t="shared" si="34"/>
        <v>0</v>
      </c>
      <c r="G244" s="190">
        <f t="shared" si="35"/>
        <v>43281</v>
      </c>
      <c r="H244" s="146">
        <f>VLOOKUP( $A244, Aop!$A$2:$N$415, 4, 0)</f>
        <v>401</v>
      </c>
      <c r="I244" s="79">
        <f t="shared" si="32"/>
        <v>2018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01866885</v>
      </c>
      <c r="E245" s="79" t="str">
        <f t="shared" si="31"/>
        <v>4400836260000</v>
      </c>
      <c r="F245" s="79" t="b">
        <f t="shared" si="34"/>
        <v>0</v>
      </c>
      <c r="G245" s="190">
        <f t="shared" si="35"/>
        <v>43281</v>
      </c>
      <c r="H245" s="146">
        <f>VLOOKUP( $A245, Aop!$A$2:$N$415, 4, 0)</f>
        <v>402</v>
      </c>
      <c r="I245" s="79">
        <f t="shared" si="32"/>
        <v>2018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01866885</v>
      </c>
      <c r="E246" s="79" t="str">
        <f>Podatak_JIB</f>
        <v>4400836260000</v>
      </c>
      <c r="F246" s="79" t="b">
        <f>Konsolidovan_izvjestaj</f>
        <v>0</v>
      </c>
      <c r="G246" s="190">
        <f>Datum_Broj</f>
        <v>43281</v>
      </c>
      <c r="H246" s="79">
        <f>VLOOKUP( $A246, Aop!$A$2:$N$415, 4, 0)</f>
        <v>403</v>
      </c>
      <c r="I246" s="79">
        <f>Godina</f>
        <v>2018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01866885</v>
      </c>
      <c r="E247" s="79" t="str">
        <f t="shared" si="31"/>
        <v>4400836260000</v>
      </c>
      <c r="F247" s="79" t="b">
        <f t="shared" si="34"/>
        <v>0</v>
      </c>
      <c r="G247" s="190">
        <f t="shared" si="35"/>
        <v>43281</v>
      </c>
      <c r="H247" s="146">
        <f>VLOOKUP( $A247, Aop!$A$2:$N$415, 4, 0)</f>
        <v>404</v>
      </c>
      <c r="I247" s="79">
        <f t="shared" si="32"/>
        <v>2018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01866885</v>
      </c>
      <c r="E248" s="79" t="str">
        <f t="shared" si="31"/>
        <v>4400836260000</v>
      </c>
      <c r="F248" s="79" t="b">
        <f t="shared" si="34"/>
        <v>0</v>
      </c>
      <c r="G248" s="190">
        <f t="shared" si="35"/>
        <v>43281</v>
      </c>
      <c r="H248" s="146">
        <f>VLOOKUP( $A248, Aop!$A$2:$N$415, 4, 0)</f>
        <v>405</v>
      </c>
      <c r="I248" s="79">
        <f t="shared" si="32"/>
        <v>2018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01866885</v>
      </c>
      <c r="E249" s="79" t="str">
        <f>Podatak_JIB</f>
        <v>4400836260000</v>
      </c>
      <c r="F249" s="79" t="b">
        <f>Konsolidovan_izvjestaj</f>
        <v>0</v>
      </c>
      <c r="G249" s="190">
        <f>Datum_Broj</f>
        <v>43281</v>
      </c>
      <c r="H249" s="79">
        <f>VLOOKUP( $A249, Aop!$A$2:$N$415, 4, 0)</f>
        <v>406</v>
      </c>
      <c r="I249" s="79">
        <f>Godina</f>
        <v>2018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01866885</v>
      </c>
      <c r="E250" s="79" t="str">
        <f t="shared" si="31"/>
        <v>4400836260000</v>
      </c>
      <c r="F250" s="79" t="b">
        <f t="shared" si="34"/>
        <v>0</v>
      </c>
      <c r="G250" s="190">
        <f t="shared" si="35"/>
        <v>43281</v>
      </c>
      <c r="H250" s="146">
        <f>VLOOKUP( $A250, Aop!$A$2:$N$415, 4, 0)</f>
        <v>407</v>
      </c>
      <c r="I250" s="79">
        <f t="shared" si="32"/>
        <v>2018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01866885</v>
      </c>
      <c r="E251" s="79" t="str">
        <f t="shared" ref="E251:E308" si="39">Podatak_JIB</f>
        <v>4400836260000</v>
      </c>
      <c r="F251" s="79" t="b">
        <f t="shared" si="34"/>
        <v>0</v>
      </c>
      <c r="G251" s="190">
        <f t="shared" si="35"/>
        <v>43281</v>
      </c>
      <c r="H251" s="146">
        <f>VLOOKUP( $A251, Aop!$A$2:$N$415, 4, 0)</f>
        <v>408</v>
      </c>
      <c r="I251" s="79">
        <f t="shared" ref="I251:I308" si="40">Godina</f>
        <v>2018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01866885</v>
      </c>
      <c r="E252" s="79" t="str">
        <f t="shared" si="39"/>
        <v>4400836260000</v>
      </c>
      <c r="F252" s="79" t="b">
        <f t="shared" ref="F252:F309" si="42">Konsolidovan_izvjestaj</f>
        <v>0</v>
      </c>
      <c r="G252" s="190">
        <f t="shared" ref="G252:G309" si="43">Datum_Broj</f>
        <v>43281</v>
      </c>
      <c r="H252" s="146">
        <f>VLOOKUP( $A252, Aop!$A$2:$N$415, 4, 0)</f>
        <v>409</v>
      </c>
      <c r="I252" s="79">
        <f t="shared" si="40"/>
        <v>2018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01866885</v>
      </c>
      <c r="E253" s="79" t="str">
        <f t="shared" si="39"/>
        <v>4400836260000</v>
      </c>
      <c r="F253" s="79" t="b">
        <f t="shared" si="42"/>
        <v>0</v>
      </c>
      <c r="G253" s="190">
        <f t="shared" si="43"/>
        <v>43281</v>
      </c>
      <c r="H253" s="146">
        <f>VLOOKUP( $A253, Aop!$A$2:$N$415, 4, 0)</f>
        <v>410</v>
      </c>
      <c r="I253" s="79">
        <f t="shared" si="40"/>
        <v>2018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01866885</v>
      </c>
      <c r="E254" s="79" t="str">
        <f t="shared" si="39"/>
        <v>4400836260000</v>
      </c>
      <c r="F254" s="79" t="b">
        <f t="shared" si="42"/>
        <v>0</v>
      </c>
      <c r="G254" s="190">
        <f t="shared" si="43"/>
        <v>43281</v>
      </c>
      <c r="H254" s="146">
        <f>VLOOKUP( $A254, Aop!$A$2:$N$415, 4, 0)</f>
        <v>411</v>
      </c>
      <c r="I254" s="79">
        <f t="shared" si="40"/>
        <v>2018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01866885</v>
      </c>
      <c r="E255" s="79" t="str">
        <f t="shared" si="39"/>
        <v>4400836260000</v>
      </c>
      <c r="F255" s="79" t="b">
        <f t="shared" si="42"/>
        <v>0</v>
      </c>
      <c r="G255" s="190">
        <f t="shared" si="43"/>
        <v>43281</v>
      </c>
      <c r="H255" s="146">
        <f>VLOOKUP( $A255, Aop!$A$2:$N$415, 4, 0)</f>
        <v>412</v>
      </c>
      <c r="I255" s="79">
        <f t="shared" si="40"/>
        <v>2018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01866885</v>
      </c>
      <c r="E256" s="79" t="str">
        <f t="shared" si="39"/>
        <v>4400836260000</v>
      </c>
      <c r="F256" s="79" t="b">
        <f t="shared" si="42"/>
        <v>0</v>
      </c>
      <c r="G256" s="190">
        <f t="shared" si="43"/>
        <v>43281</v>
      </c>
      <c r="H256" s="146">
        <f>VLOOKUP( $A256, Aop!$A$2:$N$415, 4, 0)</f>
        <v>413</v>
      </c>
      <c r="I256" s="79">
        <f t="shared" si="40"/>
        <v>2018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01866885</v>
      </c>
      <c r="E257" s="79" t="str">
        <f t="shared" si="39"/>
        <v>4400836260000</v>
      </c>
      <c r="F257" s="79" t="b">
        <f t="shared" si="42"/>
        <v>0</v>
      </c>
      <c r="G257" s="190">
        <f t="shared" si="43"/>
        <v>43281</v>
      </c>
      <c r="H257" s="146">
        <f>VLOOKUP( $A257, Aop!$A$2:$N$415, 4, 0)</f>
        <v>414</v>
      </c>
      <c r="I257" s="79">
        <f t="shared" si="40"/>
        <v>2018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01866885</v>
      </c>
      <c r="E258" s="79" t="str">
        <f t="shared" si="39"/>
        <v>4400836260000</v>
      </c>
      <c r="F258" s="79" t="b">
        <f t="shared" si="42"/>
        <v>0</v>
      </c>
      <c r="G258" s="190">
        <f t="shared" si="43"/>
        <v>43281</v>
      </c>
      <c r="H258" s="146">
        <f>VLOOKUP( $A258, Aop!$A$2:$N$415, 4, 0)</f>
        <v>415</v>
      </c>
      <c r="I258" s="79">
        <f t="shared" si="40"/>
        <v>2018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01866885</v>
      </c>
      <c r="E259" s="79" t="str">
        <f t="shared" si="39"/>
        <v>4400836260000</v>
      </c>
      <c r="F259" s="79" t="b">
        <f t="shared" si="42"/>
        <v>0</v>
      </c>
      <c r="G259" s="190">
        <f t="shared" si="43"/>
        <v>43281</v>
      </c>
      <c r="H259" s="146">
        <f>VLOOKUP( $A259, Aop!$A$2:$N$415, 4, 0)</f>
        <v>416</v>
      </c>
      <c r="I259" s="79">
        <f t="shared" si="40"/>
        <v>2018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01866885</v>
      </c>
      <c r="E260" s="79" t="str">
        <f t="shared" si="39"/>
        <v>4400836260000</v>
      </c>
      <c r="F260" s="79" t="b">
        <f t="shared" si="42"/>
        <v>0</v>
      </c>
      <c r="G260" s="190">
        <f t="shared" si="43"/>
        <v>43281</v>
      </c>
      <c r="H260" s="146">
        <f>VLOOKUP( $A260, Aop!$A$2:$N$415, 4, 0)</f>
        <v>417</v>
      </c>
      <c r="I260" s="79">
        <f t="shared" si="40"/>
        <v>2018</v>
      </c>
      <c r="J260" s="79"/>
      <c r="K260" s="79"/>
      <c r="L260" s="79">
        <f t="shared" ca="1" si="44"/>
        <v>216832</v>
      </c>
      <c r="M260" s="79">
        <f t="shared" ca="1" si="45"/>
        <v>232909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01866885</v>
      </c>
      <c r="E261" s="79" t="str">
        <f t="shared" si="39"/>
        <v>4400836260000</v>
      </c>
      <c r="F261" s="79" t="b">
        <f t="shared" si="42"/>
        <v>0</v>
      </c>
      <c r="G261" s="190">
        <f t="shared" si="43"/>
        <v>43281</v>
      </c>
      <c r="H261" s="146">
        <f>VLOOKUP( $A261, Aop!$A$2:$N$415, 4, 0)</f>
        <v>418</v>
      </c>
      <c r="I261" s="79">
        <f t="shared" si="40"/>
        <v>2018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01866885</v>
      </c>
      <c r="E262" s="79" t="str">
        <f t="shared" si="39"/>
        <v>4400836260000</v>
      </c>
      <c r="F262" s="79" t="b">
        <f t="shared" si="42"/>
        <v>0</v>
      </c>
      <c r="G262" s="190">
        <f t="shared" si="43"/>
        <v>43281</v>
      </c>
      <c r="H262" s="146">
        <f>VLOOKUP( $A262, Aop!$A$2:$N$415, 4, 0)</f>
        <v>501</v>
      </c>
      <c r="I262" s="79">
        <f t="shared" si="40"/>
        <v>2018</v>
      </c>
      <c r="J262" s="79"/>
      <c r="K262" s="79"/>
      <c r="L262" s="79">
        <f t="shared" ca="1" si="44"/>
        <v>871236</v>
      </c>
      <c r="M262" s="79">
        <f t="shared" ca="1" si="45"/>
        <v>726547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01866885</v>
      </c>
      <c r="E263" s="79" t="str">
        <f t="shared" si="39"/>
        <v>4400836260000</v>
      </c>
      <c r="F263" s="79" t="b">
        <f t="shared" si="42"/>
        <v>0</v>
      </c>
      <c r="G263" s="190">
        <f t="shared" si="43"/>
        <v>43281</v>
      </c>
      <c r="H263" s="146">
        <f>VLOOKUP( $A263, Aop!$A$2:$N$415, 4, 0)</f>
        <v>502</v>
      </c>
      <c r="I263" s="79">
        <f t="shared" si="40"/>
        <v>2018</v>
      </c>
      <c r="J263" s="79"/>
      <c r="K263" s="79"/>
      <c r="L263" s="79">
        <f t="shared" ca="1" si="44"/>
        <v>524336</v>
      </c>
      <c r="M263" s="79">
        <f t="shared" ca="1" si="45"/>
        <v>370092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01866885</v>
      </c>
      <c r="E264" s="79" t="str">
        <f t="shared" si="39"/>
        <v>4400836260000</v>
      </c>
      <c r="F264" s="79" t="b">
        <f t="shared" si="42"/>
        <v>0</v>
      </c>
      <c r="G264" s="190">
        <f t="shared" si="43"/>
        <v>43281</v>
      </c>
      <c r="H264" s="146">
        <f>VLOOKUP( $A264, Aop!$A$2:$N$415, 4, 0)</f>
        <v>503</v>
      </c>
      <c r="I264" s="79">
        <f t="shared" si="40"/>
        <v>2018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01866885</v>
      </c>
      <c r="E265" s="79" t="str">
        <f t="shared" si="39"/>
        <v>4400836260000</v>
      </c>
      <c r="F265" s="79" t="b">
        <f t="shared" si="42"/>
        <v>0</v>
      </c>
      <c r="G265" s="190">
        <f t="shared" si="43"/>
        <v>43281</v>
      </c>
      <c r="H265" s="146">
        <f>VLOOKUP( $A265, Aop!$A$2:$N$415, 4, 0)</f>
        <v>504</v>
      </c>
      <c r="I265" s="79">
        <f t="shared" si="40"/>
        <v>2018</v>
      </c>
      <c r="J265" s="79"/>
      <c r="K265" s="79"/>
      <c r="L265" s="79">
        <f t="shared" ca="1" si="44"/>
        <v>346900</v>
      </c>
      <c r="M265" s="79">
        <f t="shared" ca="1" si="45"/>
        <v>356455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01866885</v>
      </c>
      <c r="E266" s="79" t="str">
        <f t="shared" si="39"/>
        <v>4400836260000</v>
      </c>
      <c r="F266" s="79" t="b">
        <f t="shared" si="42"/>
        <v>0</v>
      </c>
      <c r="G266" s="190">
        <f t="shared" si="43"/>
        <v>43281</v>
      </c>
      <c r="H266" s="146">
        <f>VLOOKUP( $A266, Aop!$A$2:$N$415, 4, 0)</f>
        <v>505</v>
      </c>
      <c r="I266" s="79">
        <f t="shared" si="40"/>
        <v>2018</v>
      </c>
      <c r="J266" s="79"/>
      <c r="K266" s="79"/>
      <c r="L266" s="79">
        <f t="shared" ca="1" si="44"/>
        <v>733555</v>
      </c>
      <c r="M266" s="79">
        <f t="shared" ca="1" si="45"/>
        <v>877805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01866885</v>
      </c>
      <c r="E267" s="79" t="str">
        <f t="shared" si="39"/>
        <v>4400836260000</v>
      </c>
      <c r="F267" s="79" t="b">
        <f t="shared" si="42"/>
        <v>0</v>
      </c>
      <c r="G267" s="190">
        <f t="shared" si="43"/>
        <v>43281</v>
      </c>
      <c r="H267" s="146">
        <f>VLOOKUP( $A267, Aop!$A$2:$N$415, 4, 0)</f>
        <v>506</v>
      </c>
      <c r="I267" s="79">
        <f t="shared" si="40"/>
        <v>2018</v>
      </c>
      <c r="J267" s="79"/>
      <c r="K267" s="79"/>
      <c r="L267" s="79">
        <f t="shared" ca="1" si="44"/>
        <v>372152</v>
      </c>
      <c r="M267" s="79">
        <f t="shared" ca="1" si="45"/>
        <v>587975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01866885</v>
      </c>
      <c r="E268" s="79" t="str">
        <f t="shared" si="39"/>
        <v>4400836260000</v>
      </c>
      <c r="F268" s="79" t="b">
        <f t="shared" si="42"/>
        <v>0</v>
      </c>
      <c r="G268" s="190">
        <f t="shared" si="43"/>
        <v>43281</v>
      </c>
      <c r="H268" s="146">
        <f>VLOOKUP( $A268, Aop!$A$2:$N$415, 4, 0)</f>
        <v>507</v>
      </c>
      <c r="I268" s="79">
        <f t="shared" si="40"/>
        <v>2018</v>
      </c>
      <c r="J268" s="79"/>
      <c r="K268" s="79"/>
      <c r="L268" s="79">
        <f t="shared" ca="1" si="44"/>
        <v>136867</v>
      </c>
      <c r="M268" s="79">
        <f t="shared" ca="1" si="45"/>
        <v>136812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01866885</v>
      </c>
      <c r="E269" s="79" t="str">
        <f t="shared" si="39"/>
        <v>4400836260000</v>
      </c>
      <c r="F269" s="79" t="b">
        <f t="shared" si="42"/>
        <v>0</v>
      </c>
      <c r="G269" s="190">
        <f t="shared" si="43"/>
        <v>43281</v>
      </c>
      <c r="H269" s="146">
        <f>VLOOKUP( $A269, Aop!$A$2:$N$415, 4, 0)</f>
        <v>508</v>
      </c>
      <c r="I269" s="79">
        <f t="shared" si="40"/>
        <v>2018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01866885</v>
      </c>
      <c r="E270" s="79" t="str">
        <f t="shared" si="39"/>
        <v>4400836260000</v>
      </c>
      <c r="F270" s="79" t="b">
        <f t="shared" si="42"/>
        <v>0</v>
      </c>
      <c r="G270" s="190">
        <f t="shared" si="43"/>
        <v>43281</v>
      </c>
      <c r="H270" s="146">
        <f>VLOOKUP( $A270, Aop!$A$2:$N$415, 4, 0)</f>
        <v>509</v>
      </c>
      <c r="I270" s="79">
        <f t="shared" si="40"/>
        <v>2018</v>
      </c>
      <c r="J270" s="79"/>
      <c r="K270" s="79"/>
      <c r="L270" s="79">
        <f t="shared" ca="1" si="44"/>
        <v>34535</v>
      </c>
      <c r="M270" s="79">
        <f t="shared" ca="1" si="45"/>
        <v>43627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01866885</v>
      </c>
      <c r="E271" s="79" t="str">
        <f t="shared" si="39"/>
        <v>4400836260000</v>
      </c>
      <c r="F271" s="79" t="b">
        <f t="shared" si="42"/>
        <v>0</v>
      </c>
      <c r="G271" s="190">
        <f t="shared" si="43"/>
        <v>43281</v>
      </c>
      <c r="H271" s="146">
        <f>VLOOKUP( $A271, Aop!$A$2:$N$415, 4, 0)</f>
        <v>510</v>
      </c>
      <c r="I271" s="79">
        <f t="shared" si="40"/>
        <v>2018</v>
      </c>
      <c r="J271" s="79"/>
      <c r="K271" s="79"/>
      <c r="L271" s="79">
        <f t="shared" ca="1" si="44"/>
        <v>190001</v>
      </c>
      <c r="M271" s="79">
        <f t="shared" ca="1" si="45"/>
        <v>109391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01866885</v>
      </c>
      <c r="E272" s="79" t="str">
        <f>Podatak_JIB</f>
        <v>4400836260000</v>
      </c>
      <c r="F272" s="79" t="b">
        <f>Konsolidovan_izvjestaj</f>
        <v>0</v>
      </c>
      <c r="G272" s="190">
        <f>Datum_Broj</f>
        <v>43281</v>
      </c>
      <c r="H272" s="79">
        <f>VLOOKUP( $A272, Aop!$A$2:$N$415, 4, 0)</f>
        <v>511</v>
      </c>
      <c r="I272" s="79">
        <f>Godina</f>
        <v>2018</v>
      </c>
      <c r="J272" s="79"/>
      <c r="K272" s="79"/>
      <c r="L272" s="79">
        <f t="shared" ca="1" si="44"/>
        <v>137681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01866885</v>
      </c>
      <c r="E273" s="79" t="str">
        <f t="shared" si="39"/>
        <v>4400836260000</v>
      </c>
      <c r="F273" s="79" t="b">
        <f t="shared" si="42"/>
        <v>0</v>
      </c>
      <c r="G273" s="190">
        <f t="shared" si="43"/>
        <v>43281</v>
      </c>
      <c r="H273" s="146">
        <f>VLOOKUP( $A273, Aop!$A$2:$N$415, 4, 0)</f>
        <v>512</v>
      </c>
      <c r="I273" s="79">
        <f t="shared" si="40"/>
        <v>2018</v>
      </c>
      <c r="J273" s="79"/>
      <c r="K273" s="79"/>
      <c r="L273" s="79">
        <f t="shared" ca="1" si="44"/>
        <v>0</v>
      </c>
      <c r="M273" s="79">
        <f t="shared" ca="1" si="45"/>
        <v>151258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01866885</v>
      </c>
      <c r="E274" s="79" t="str">
        <f t="shared" si="39"/>
        <v>4400836260000</v>
      </c>
      <c r="F274" s="79" t="b">
        <f t="shared" si="42"/>
        <v>0</v>
      </c>
      <c r="G274" s="190">
        <f t="shared" si="43"/>
        <v>43281</v>
      </c>
      <c r="H274" s="146">
        <f>VLOOKUP( $A274, Aop!$A$2:$N$415, 4, 0)</f>
        <v>513</v>
      </c>
      <c r="I274" s="79">
        <f t="shared" si="40"/>
        <v>2018</v>
      </c>
      <c r="J274" s="79"/>
      <c r="K274" s="79"/>
      <c r="L274" s="79">
        <f t="shared" ca="1" si="44"/>
        <v>23506</v>
      </c>
      <c r="M274" s="79">
        <f t="shared" ca="1" si="45"/>
        <v>1125752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01866885</v>
      </c>
      <c r="E275" s="79" t="str">
        <f t="shared" si="39"/>
        <v>4400836260000</v>
      </c>
      <c r="F275" s="79" t="b">
        <f t="shared" si="42"/>
        <v>0</v>
      </c>
      <c r="G275" s="190">
        <f t="shared" si="43"/>
        <v>43281</v>
      </c>
      <c r="H275" s="146">
        <f>VLOOKUP( $A275, Aop!$A$2:$N$415, 4, 0)</f>
        <v>514</v>
      </c>
      <c r="I275" s="79">
        <f t="shared" si="40"/>
        <v>2018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01866885</v>
      </c>
      <c r="E276" s="79" t="str">
        <f t="shared" si="39"/>
        <v>4400836260000</v>
      </c>
      <c r="F276" s="79" t="b">
        <f t="shared" si="42"/>
        <v>0</v>
      </c>
      <c r="G276" s="190">
        <f t="shared" si="43"/>
        <v>43281</v>
      </c>
      <c r="H276" s="146">
        <f>VLOOKUP( $A276, Aop!$A$2:$N$415, 4, 0)</f>
        <v>515</v>
      </c>
      <c r="I276" s="79">
        <f t="shared" si="40"/>
        <v>2018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01866885</v>
      </c>
      <c r="E277" s="79" t="str">
        <f t="shared" si="39"/>
        <v>4400836260000</v>
      </c>
      <c r="F277" s="79" t="b">
        <f t="shared" si="42"/>
        <v>0</v>
      </c>
      <c r="G277" s="190">
        <f t="shared" si="43"/>
        <v>43281</v>
      </c>
      <c r="H277" s="146">
        <f>VLOOKUP( $A277, Aop!$A$2:$N$415, 4, 0)</f>
        <v>516</v>
      </c>
      <c r="I277" s="79">
        <f t="shared" si="40"/>
        <v>2018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01866885</v>
      </c>
      <c r="E278" s="79" t="str">
        <f t="shared" si="39"/>
        <v>4400836260000</v>
      </c>
      <c r="F278" s="79" t="b">
        <f t="shared" si="42"/>
        <v>0</v>
      </c>
      <c r="G278" s="190">
        <f t="shared" si="43"/>
        <v>43281</v>
      </c>
      <c r="H278" s="146">
        <f>VLOOKUP( $A278, Aop!$A$2:$N$415, 4, 0)</f>
        <v>517</v>
      </c>
      <c r="I278" s="79">
        <f t="shared" si="40"/>
        <v>2018</v>
      </c>
      <c r="J278" s="79"/>
      <c r="K278" s="79"/>
      <c r="L278" s="79">
        <f t="shared" ca="1" si="44"/>
        <v>23506</v>
      </c>
      <c r="M278" s="79">
        <f t="shared" ca="1" si="45"/>
        <v>15752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01866885</v>
      </c>
      <c r="E279" s="79" t="str">
        <f t="shared" si="39"/>
        <v>4400836260000</v>
      </c>
      <c r="F279" s="79" t="b">
        <f t="shared" si="42"/>
        <v>0</v>
      </c>
      <c r="G279" s="190">
        <f t="shared" si="43"/>
        <v>43281</v>
      </c>
      <c r="H279" s="146">
        <f>VLOOKUP( $A279, Aop!$A$2:$N$415, 4, 0)</f>
        <v>518</v>
      </c>
      <c r="I279" s="79">
        <f t="shared" si="40"/>
        <v>2018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01866885</v>
      </c>
      <c r="E280" s="79" t="str">
        <f t="shared" si="39"/>
        <v>4400836260000</v>
      </c>
      <c r="F280" s="79" t="b">
        <f t="shared" si="42"/>
        <v>0</v>
      </c>
      <c r="G280" s="190">
        <f t="shared" si="43"/>
        <v>43281</v>
      </c>
      <c r="H280" s="146">
        <f>VLOOKUP( $A280, Aop!$A$2:$N$415, 4, 0)</f>
        <v>519</v>
      </c>
      <c r="I280" s="79">
        <f t="shared" si="40"/>
        <v>2018</v>
      </c>
      <c r="J280" s="79"/>
      <c r="K280" s="79"/>
      <c r="L280" s="79" t="str">
        <f t="shared" ca="1" si="44"/>
        <v/>
      </c>
      <c r="M280" s="79">
        <f t="shared" ca="1" si="45"/>
        <v>1110000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01866885</v>
      </c>
      <c r="E281" s="79" t="str">
        <f t="shared" si="39"/>
        <v>4400836260000</v>
      </c>
      <c r="F281" s="79" t="b">
        <f t="shared" si="42"/>
        <v>0</v>
      </c>
      <c r="G281" s="190">
        <f t="shared" si="43"/>
        <v>43281</v>
      </c>
      <c r="H281" s="146">
        <f>VLOOKUP( $A281, Aop!$A$2:$N$415, 4, 0)</f>
        <v>520</v>
      </c>
      <c r="I281" s="79">
        <f t="shared" si="40"/>
        <v>2018</v>
      </c>
      <c r="J281" s="79"/>
      <c r="K281" s="79"/>
      <c r="L281" s="79">
        <f t="shared" ca="1" si="44"/>
        <v>245139</v>
      </c>
      <c r="M281" s="79">
        <f t="shared" ca="1" si="45"/>
        <v>11651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01866885</v>
      </c>
      <c r="E282" s="79" t="str">
        <f t="shared" si="39"/>
        <v>4400836260000</v>
      </c>
      <c r="F282" s="79" t="b">
        <f t="shared" si="42"/>
        <v>0</v>
      </c>
      <c r="G282" s="190">
        <f t="shared" si="43"/>
        <v>43281</v>
      </c>
      <c r="H282" s="146">
        <f>VLOOKUP( $A282, Aop!$A$2:$N$415, 4, 0)</f>
        <v>521</v>
      </c>
      <c r="I282" s="79">
        <f t="shared" si="40"/>
        <v>2018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01866885</v>
      </c>
      <c r="E283" s="79" t="str">
        <f t="shared" si="39"/>
        <v>4400836260000</v>
      </c>
      <c r="F283" s="79" t="b">
        <f t="shared" si="42"/>
        <v>0</v>
      </c>
      <c r="G283" s="190">
        <f t="shared" si="43"/>
        <v>43281</v>
      </c>
      <c r="H283" s="146">
        <f>VLOOKUP( $A283, Aop!$A$2:$N$415, 4, 0)</f>
        <v>522</v>
      </c>
      <c r="I283" s="79">
        <f t="shared" si="40"/>
        <v>2018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01866885</v>
      </c>
      <c r="E284" s="79" t="str">
        <f t="shared" si="39"/>
        <v>4400836260000</v>
      </c>
      <c r="F284" s="79" t="b">
        <f t="shared" si="42"/>
        <v>0</v>
      </c>
      <c r="G284" s="190">
        <f t="shared" si="43"/>
        <v>43281</v>
      </c>
      <c r="H284" s="146">
        <f>VLOOKUP( $A284, Aop!$A$2:$N$415, 4, 0)</f>
        <v>523</v>
      </c>
      <c r="I284" s="79">
        <f t="shared" si="40"/>
        <v>2018</v>
      </c>
      <c r="J284" s="79"/>
      <c r="K284" s="79"/>
      <c r="L284" s="79">
        <f t="shared" ca="1" si="44"/>
        <v>245139</v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01866885</v>
      </c>
      <c r="E285" s="79" t="str">
        <f t="shared" si="39"/>
        <v>4400836260000</v>
      </c>
      <c r="F285" s="79" t="b">
        <f t="shared" si="42"/>
        <v>0</v>
      </c>
      <c r="G285" s="190">
        <f t="shared" si="43"/>
        <v>43281</v>
      </c>
      <c r="H285" s="146">
        <f>VLOOKUP( $A285, Aop!$A$2:$N$415, 4, 0)</f>
        <v>524</v>
      </c>
      <c r="I285" s="79">
        <f t="shared" si="40"/>
        <v>2018</v>
      </c>
      <c r="J285" s="79"/>
      <c r="K285" s="79"/>
      <c r="L285" s="79" t="str">
        <f t="shared" ca="1" si="44"/>
        <v/>
      </c>
      <c r="M285" s="79">
        <f t="shared" ca="1" si="45"/>
        <v>11651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01866885</v>
      </c>
      <c r="E286" s="79" t="str">
        <f t="shared" si="39"/>
        <v>4400836260000</v>
      </c>
      <c r="F286" s="79" t="b">
        <f t="shared" si="42"/>
        <v>0</v>
      </c>
      <c r="G286" s="190">
        <f t="shared" si="43"/>
        <v>43281</v>
      </c>
      <c r="H286" s="146">
        <f>VLOOKUP( $A286, Aop!$A$2:$N$415, 4, 0)</f>
        <v>525</v>
      </c>
      <c r="I286" s="79">
        <f t="shared" si="40"/>
        <v>2018</v>
      </c>
      <c r="J286" s="79"/>
      <c r="K286" s="79"/>
      <c r="L286" s="79">
        <f t="shared" ca="1" si="44"/>
        <v>0</v>
      </c>
      <c r="M286" s="79">
        <f t="shared" ca="1" si="45"/>
        <v>1114101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01866885</v>
      </c>
      <c r="E287" s="79" t="str">
        <f t="shared" si="39"/>
        <v>4400836260000</v>
      </c>
      <c r="F287" s="79" t="b">
        <f t="shared" si="42"/>
        <v>0</v>
      </c>
      <c r="G287" s="190">
        <f t="shared" si="43"/>
        <v>43281</v>
      </c>
      <c r="H287" s="146">
        <f>VLOOKUP( $A287, Aop!$A$2:$N$415, 4, 0)</f>
        <v>526</v>
      </c>
      <c r="I287" s="79">
        <f t="shared" si="40"/>
        <v>2018</v>
      </c>
      <c r="J287" s="79"/>
      <c r="K287" s="79"/>
      <c r="L287" s="79">
        <f t="shared" ca="1" si="44"/>
        <v>221633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01866885</v>
      </c>
      <c r="E288" s="79" t="str">
        <f t="shared" si="39"/>
        <v>4400836260000</v>
      </c>
      <c r="F288" s="79" t="b">
        <f t="shared" si="42"/>
        <v>0</v>
      </c>
      <c r="G288" s="190">
        <f t="shared" si="43"/>
        <v>43281</v>
      </c>
      <c r="H288" s="146">
        <f>VLOOKUP( $A288, Aop!$A$2:$N$415, 4, 0)</f>
        <v>527</v>
      </c>
      <c r="I288" s="79">
        <f t="shared" si="40"/>
        <v>2018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01866885</v>
      </c>
      <c r="E289" s="79" t="str">
        <f t="shared" si="39"/>
        <v>4400836260000</v>
      </c>
      <c r="F289" s="79" t="b">
        <f t="shared" si="42"/>
        <v>0</v>
      </c>
      <c r="G289" s="190">
        <f t="shared" si="43"/>
        <v>43281</v>
      </c>
      <c r="H289" s="146">
        <f>VLOOKUP( $A289, Aop!$A$2:$N$415, 4, 0)</f>
        <v>528</v>
      </c>
      <c r="I289" s="79">
        <f t="shared" si="40"/>
        <v>2018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01866885</v>
      </c>
      <c r="E290" s="79" t="str">
        <f t="shared" si="39"/>
        <v>4400836260000</v>
      </c>
      <c r="F290" s="79" t="b">
        <f t="shared" si="42"/>
        <v>0</v>
      </c>
      <c r="G290" s="190">
        <f t="shared" si="43"/>
        <v>43281</v>
      </c>
      <c r="H290" s="146">
        <f>VLOOKUP( $A290, Aop!$A$2:$N$415, 4, 0)</f>
        <v>529</v>
      </c>
      <c r="I290" s="79">
        <f t="shared" si="40"/>
        <v>2018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01866885</v>
      </c>
      <c r="E291" s="79" t="str">
        <f t="shared" si="39"/>
        <v>4400836260000</v>
      </c>
      <c r="F291" s="79" t="b">
        <f t="shared" si="42"/>
        <v>0</v>
      </c>
      <c r="G291" s="190">
        <f t="shared" si="43"/>
        <v>43281</v>
      </c>
      <c r="H291" s="146">
        <f>VLOOKUP( $A291, Aop!$A$2:$N$415, 4, 0)</f>
        <v>530</v>
      </c>
      <c r="I291" s="79">
        <f t="shared" si="40"/>
        <v>2018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01866885</v>
      </c>
      <c r="E292" s="79" t="str">
        <f t="shared" si="39"/>
        <v>4400836260000</v>
      </c>
      <c r="F292" s="79" t="b">
        <f t="shared" si="42"/>
        <v>0</v>
      </c>
      <c r="G292" s="190">
        <f t="shared" si="43"/>
        <v>43281</v>
      </c>
      <c r="H292" s="146">
        <f>VLOOKUP( $A292, Aop!$A$2:$N$415, 4, 0)</f>
        <v>531</v>
      </c>
      <c r="I292" s="79">
        <f t="shared" si="40"/>
        <v>2018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01866885</v>
      </c>
      <c r="E293" s="79" t="str">
        <f t="shared" si="39"/>
        <v>4400836260000</v>
      </c>
      <c r="F293" s="79" t="b">
        <f t="shared" si="42"/>
        <v>0</v>
      </c>
      <c r="G293" s="190">
        <f t="shared" si="43"/>
        <v>43281</v>
      </c>
      <c r="H293" s="146">
        <f>VLOOKUP( $A293, Aop!$A$2:$N$415, 4, 0)</f>
        <v>532</v>
      </c>
      <c r="I293" s="79">
        <f t="shared" si="40"/>
        <v>2018</v>
      </c>
      <c r="J293" s="79"/>
      <c r="K293" s="79"/>
      <c r="L293" s="79">
        <f t="shared" ca="1" si="44"/>
        <v>1998</v>
      </c>
      <c r="M293" s="79">
        <f t="shared" ca="1" si="45"/>
        <v>604826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01866885</v>
      </c>
      <c r="E294" s="79" t="str">
        <f t="shared" si="39"/>
        <v>4400836260000</v>
      </c>
      <c r="F294" s="79" t="b">
        <f t="shared" si="42"/>
        <v>0</v>
      </c>
      <c r="G294" s="190">
        <f t="shared" si="43"/>
        <v>43281</v>
      </c>
      <c r="H294" s="146">
        <f>VLOOKUP( $A294, Aop!$A$2:$N$415, 4, 0)</f>
        <v>533</v>
      </c>
      <c r="I294" s="79">
        <f t="shared" si="40"/>
        <v>2018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01866885</v>
      </c>
      <c r="E295" s="79" t="str">
        <f t="shared" si="39"/>
        <v>4400836260000</v>
      </c>
      <c r="F295" s="79" t="b">
        <f t="shared" si="42"/>
        <v>0</v>
      </c>
      <c r="G295" s="190">
        <f t="shared" si="43"/>
        <v>43281</v>
      </c>
      <c r="H295" s="146">
        <f>VLOOKUP( $A295, Aop!$A$2:$N$415, 4, 0)</f>
        <v>534</v>
      </c>
      <c r="I295" s="79">
        <f t="shared" si="40"/>
        <v>2018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01866885</v>
      </c>
      <c r="E296" s="79" t="str">
        <f t="shared" si="39"/>
        <v>4400836260000</v>
      </c>
      <c r="F296" s="79" t="b">
        <f t="shared" si="42"/>
        <v>0</v>
      </c>
      <c r="G296" s="190">
        <f t="shared" si="43"/>
        <v>43281</v>
      </c>
      <c r="H296" s="146">
        <f>VLOOKUP( $A296, Aop!$A$2:$N$415, 4, 0)</f>
        <v>535</v>
      </c>
      <c r="I296" s="79">
        <f t="shared" si="40"/>
        <v>2018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01866885</v>
      </c>
      <c r="E297" s="79" t="str">
        <f t="shared" si="39"/>
        <v>4400836260000</v>
      </c>
      <c r="F297" s="79" t="b">
        <f t="shared" si="42"/>
        <v>0</v>
      </c>
      <c r="G297" s="190">
        <f t="shared" si="43"/>
        <v>43281</v>
      </c>
      <c r="H297" s="146">
        <f>VLOOKUP( $A297, Aop!$A$2:$N$415, 4, 0)</f>
        <v>536</v>
      </c>
      <c r="I297" s="79">
        <f t="shared" si="40"/>
        <v>2018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01866885</v>
      </c>
      <c r="E298" s="79" t="str">
        <f t="shared" si="39"/>
        <v>4400836260000</v>
      </c>
      <c r="F298" s="79" t="b">
        <f t="shared" si="42"/>
        <v>0</v>
      </c>
      <c r="G298" s="190">
        <f t="shared" si="43"/>
        <v>43281</v>
      </c>
      <c r="H298" s="146">
        <f>VLOOKUP( $A298, Aop!$A$2:$N$415, 4, 0)</f>
        <v>537</v>
      </c>
      <c r="I298" s="79">
        <f t="shared" si="40"/>
        <v>2018</v>
      </c>
      <c r="J298" s="79"/>
      <c r="K298" s="79"/>
      <c r="L298" s="79">
        <f t="shared" ca="1" si="44"/>
        <v>1998</v>
      </c>
      <c r="M298" s="79">
        <f t="shared" ca="1" si="45"/>
        <v>604826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01866885</v>
      </c>
      <c r="E299" s="79" t="str">
        <f t="shared" si="39"/>
        <v>4400836260000</v>
      </c>
      <c r="F299" s="79" t="b">
        <f t="shared" si="42"/>
        <v>0</v>
      </c>
      <c r="G299" s="190">
        <f t="shared" si="43"/>
        <v>43281</v>
      </c>
      <c r="H299" s="146">
        <f>VLOOKUP( $A299, Aop!$A$2:$N$415, 4, 0)</f>
        <v>538</v>
      </c>
      <c r="I299" s="79">
        <f t="shared" si="40"/>
        <v>2018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01866885</v>
      </c>
      <c r="E300" s="79" t="str">
        <f t="shared" si="39"/>
        <v>4400836260000</v>
      </c>
      <c r="F300" s="79" t="b">
        <f t="shared" si="42"/>
        <v>0</v>
      </c>
      <c r="G300" s="190">
        <f t="shared" si="43"/>
        <v>43281</v>
      </c>
      <c r="H300" s="146">
        <f>VLOOKUP( $A300, Aop!$A$2:$N$415, 4, 0)</f>
        <v>539</v>
      </c>
      <c r="I300" s="79">
        <f t="shared" si="40"/>
        <v>2018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01866885</v>
      </c>
      <c r="E301" s="79" t="str">
        <f t="shared" si="39"/>
        <v>4400836260000</v>
      </c>
      <c r="F301" s="79" t="b">
        <f t="shared" si="42"/>
        <v>0</v>
      </c>
      <c r="G301" s="190">
        <f t="shared" si="43"/>
        <v>43281</v>
      </c>
      <c r="H301" s="146">
        <f>VLOOKUP( $A301, Aop!$A$2:$N$415, 4, 0)</f>
        <v>540</v>
      </c>
      <c r="I301" s="79">
        <f t="shared" si="40"/>
        <v>2018</v>
      </c>
      <c r="J301" s="79"/>
      <c r="K301" s="79"/>
      <c r="L301" s="79">
        <f t="shared" ca="1" si="44"/>
        <v>1998</v>
      </c>
      <c r="M301" s="79">
        <f t="shared" ca="1" si="45"/>
        <v>604826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01866885</v>
      </c>
      <c r="E302" s="79" t="str">
        <f t="shared" si="39"/>
        <v>4400836260000</v>
      </c>
      <c r="F302" s="79" t="b">
        <f t="shared" si="42"/>
        <v>0</v>
      </c>
      <c r="G302" s="190">
        <f t="shared" si="43"/>
        <v>43281</v>
      </c>
      <c r="H302" s="146">
        <f>VLOOKUP( $A302, Aop!$A$2:$N$415, 4, 0)</f>
        <v>541</v>
      </c>
      <c r="I302" s="79">
        <f t="shared" si="40"/>
        <v>2018</v>
      </c>
      <c r="J302" s="79"/>
      <c r="K302" s="79"/>
      <c r="L302" s="79">
        <f t="shared" ca="1" si="44"/>
        <v>894742</v>
      </c>
      <c r="M302" s="79">
        <f t="shared" ca="1" si="45"/>
        <v>1852299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01866885</v>
      </c>
      <c r="E303" s="79" t="str">
        <f t="shared" si="39"/>
        <v>4400836260000</v>
      </c>
      <c r="F303" s="79" t="b">
        <f t="shared" si="42"/>
        <v>0</v>
      </c>
      <c r="G303" s="190">
        <f t="shared" si="43"/>
        <v>43281</v>
      </c>
      <c r="H303" s="146">
        <f>VLOOKUP( $A303, Aop!$A$2:$N$415, 4, 0)</f>
        <v>542</v>
      </c>
      <c r="I303" s="79">
        <f t="shared" si="40"/>
        <v>2018</v>
      </c>
      <c r="J303" s="79"/>
      <c r="K303" s="79"/>
      <c r="L303" s="79">
        <f t="shared" ca="1" si="44"/>
        <v>980692</v>
      </c>
      <c r="M303" s="79">
        <f t="shared" ca="1" si="45"/>
        <v>1494282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01866885</v>
      </c>
      <c r="E304" s="79" t="str">
        <f t="shared" si="39"/>
        <v>4400836260000</v>
      </c>
      <c r="F304" s="79" t="b">
        <f t="shared" si="42"/>
        <v>0</v>
      </c>
      <c r="G304" s="190">
        <f t="shared" si="43"/>
        <v>43281</v>
      </c>
      <c r="H304" s="146">
        <f>VLOOKUP( $A304, Aop!$A$2:$N$415, 4, 0)</f>
        <v>543</v>
      </c>
      <c r="I304" s="79">
        <f t="shared" si="40"/>
        <v>2018</v>
      </c>
      <c r="J304" s="79"/>
      <c r="K304" s="79"/>
      <c r="L304" s="79">
        <f t="shared" ca="1" si="44"/>
        <v>0</v>
      </c>
      <c r="M304" s="79">
        <f t="shared" ca="1" si="45"/>
        <v>358017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01866885</v>
      </c>
      <c r="E305" s="79" t="str">
        <f t="shared" si="39"/>
        <v>4400836260000</v>
      </c>
      <c r="F305" s="79" t="b">
        <f t="shared" si="42"/>
        <v>0</v>
      </c>
      <c r="G305" s="190">
        <f t="shared" si="43"/>
        <v>43281</v>
      </c>
      <c r="H305" s="146">
        <f>VLOOKUP( $A305, Aop!$A$2:$N$415, 4, 0)</f>
        <v>544</v>
      </c>
      <c r="I305" s="79">
        <f t="shared" si="40"/>
        <v>2018</v>
      </c>
      <c r="J305" s="79"/>
      <c r="K305" s="79"/>
      <c r="L305" s="79">
        <f t="shared" ca="1" si="44"/>
        <v>85950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01866885</v>
      </c>
      <c r="E306" s="79" t="str">
        <f t="shared" si="39"/>
        <v>4400836260000</v>
      </c>
      <c r="F306" s="79" t="b">
        <f t="shared" si="42"/>
        <v>0</v>
      </c>
      <c r="G306" s="190">
        <f t="shared" si="43"/>
        <v>43281</v>
      </c>
      <c r="H306" s="146">
        <f>VLOOKUP( $A306, Aop!$A$2:$N$415, 4, 0)</f>
        <v>545</v>
      </c>
      <c r="I306" s="79">
        <f t="shared" si="40"/>
        <v>2018</v>
      </c>
      <c r="J306" s="79"/>
      <c r="K306" s="79"/>
      <c r="L306" s="79">
        <f t="shared" ca="1" si="44"/>
        <v>952868</v>
      </c>
      <c r="M306" s="79">
        <f t="shared" ca="1" si="45"/>
        <v>366312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01866885</v>
      </c>
      <c r="E307" s="79" t="str">
        <f t="shared" si="39"/>
        <v>4400836260000</v>
      </c>
      <c r="F307" s="79" t="b">
        <f t="shared" si="42"/>
        <v>0</v>
      </c>
      <c r="G307" s="190">
        <f t="shared" si="43"/>
        <v>43281</v>
      </c>
      <c r="H307" s="146">
        <f>VLOOKUP( $A307, Aop!$A$2:$N$415, 4, 0)</f>
        <v>546</v>
      </c>
      <c r="I307" s="79">
        <f t="shared" si="40"/>
        <v>2018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01866885</v>
      </c>
      <c r="E308" s="79" t="str">
        <f t="shared" si="39"/>
        <v>4400836260000</v>
      </c>
      <c r="F308" s="79" t="b">
        <f t="shared" si="42"/>
        <v>0</v>
      </c>
      <c r="G308" s="190">
        <f t="shared" si="43"/>
        <v>43281</v>
      </c>
      <c r="H308" s="146">
        <f>VLOOKUP( $A308, Aop!$A$2:$N$415, 4, 0)</f>
        <v>547</v>
      </c>
      <c r="I308" s="79">
        <f t="shared" si="40"/>
        <v>2018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01866885</v>
      </c>
      <c r="E309" s="79" t="str">
        <f t="shared" ref="E309:E354" si="47">Podatak_JIB</f>
        <v>4400836260000</v>
      </c>
      <c r="F309" s="79" t="b">
        <f t="shared" si="42"/>
        <v>0</v>
      </c>
      <c r="G309" s="190">
        <f t="shared" si="43"/>
        <v>43281</v>
      </c>
      <c r="H309" s="146">
        <f>VLOOKUP( $A309, Aop!$A$2:$N$415, 4, 0)</f>
        <v>548</v>
      </c>
      <c r="I309" s="79">
        <f t="shared" ref="I309:I354" si="48">Godina</f>
        <v>2018</v>
      </c>
      <c r="J309" s="79"/>
      <c r="K309" s="79"/>
      <c r="L309" s="79">
        <f t="shared" ca="1" si="44"/>
        <v>866918</v>
      </c>
      <c r="M309" s="79">
        <f t="shared" ca="1" si="45"/>
        <v>724329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01866885</v>
      </c>
      <c r="E310" s="79" t="str">
        <f t="shared" si="47"/>
        <v>4400836260000</v>
      </c>
      <c r="F310" s="79" t="b">
        <f t="shared" ref="F310:F354" si="50">Konsolidovan_izvjestaj</f>
        <v>0</v>
      </c>
      <c r="G310" s="190">
        <f t="shared" ref="G310:G354" si="51">Datum_Broj</f>
        <v>43281</v>
      </c>
      <c r="H310" s="146">
        <f>VLOOKUP( $A310, Aop!$A$2:$N$415, 4, 0)</f>
        <v>601</v>
      </c>
      <c r="I310" s="79">
        <f t="shared" si="48"/>
        <v>2018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01866885</v>
      </c>
      <c r="E311" s="79" t="str">
        <f t="shared" si="47"/>
        <v>4400836260000</v>
      </c>
      <c r="F311" s="79" t="b">
        <f t="shared" si="50"/>
        <v>0</v>
      </c>
      <c r="G311" s="190">
        <f t="shared" si="51"/>
        <v>43281</v>
      </c>
      <c r="H311" s="146">
        <f>VLOOKUP( $A311, Aop!$A$2:$N$415, 4, 0)</f>
        <v>602</v>
      </c>
      <c r="I311" s="79">
        <f t="shared" si="48"/>
        <v>2018</v>
      </c>
      <c r="J311" s="79"/>
      <c r="K311" s="79"/>
      <c r="L311" s="79" t="str">
        <f t="shared" ca="1" si="44"/>
        <v/>
      </c>
      <c r="M311" s="79" t="str">
        <f t="shared" ca="1" si="45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01866885</v>
      </c>
      <c r="E312" s="79" t="str">
        <f t="shared" si="47"/>
        <v>4400836260000</v>
      </c>
      <c r="F312" s="79" t="b">
        <f t="shared" si="50"/>
        <v>0</v>
      </c>
      <c r="G312" s="190">
        <f t="shared" si="51"/>
        <v>43281</v>
      </c>
      <c r="H312" s="146">
        <f>VLOOKUP( $A312, Aop!$A$2:$N$415, 4, 0)</f>
        <v>603</v>
      </c>
      <c r="I312" s="79">
        <f t="shared" si="48"/>
        <v>2018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01866885</v>
      </c>
      <c r="E313" s="79" t="str">
        <f t="shared" si="47"/>
        <v>4400836260000</v>
      </c>
      <c r="F313" s="79" t="b">
        <f t="shared" si="50"/>
        <v>0</v>
      </c>
      <c r="G313" s="190">
        <f t="shared" si="51"/>
        <v>43281</v>
      </c>
      <c r="H313" s="146">
        <f>VLOOKUP( $A313, Aop!$A$2:$N$415, 4, 0)</f>
        <v>604</v>
      </c>
      <c r="I313" s="79">
        <f t="shared" si="48"/>
        <v>2018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01866885</v>
      </c>
      <c r="E314" s="79" t="str">
        <f t="shared" si="47"/>
        <v>4400836260000</v>
      </c>
      <c r="F314" s="79" t="b">
        <f t="shared" si="50"/>
        <v>0</v>
      </c>
      <c r="G314" s="190">
        <f t="shared" si="51"/>
        <v>43281</v>
      </c>
      <c r="H314" s="146">
        <f>VLOOKUP( $A314, Aop!$A$2:$N$415, 4, 0)</f>
        <v>605</v>
      </c>
      <c r="I314" s="79">
        <f t="shared" si="48"/>
        <v>2018</v>
      </c>
      <c r="J314" s="79"/>
      <c r="K314" s="79"/>
      <c r="L314" s="79" t="str">
        <f t="shared" ca="1" si="44"/>
        <v/>
      </c>
      <c r="M314" s="79" t="str">
        <f t="shared" ca="1" si="45"/>
        <v/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01866885</v>
      </c>
      <c r="E315" s="79" t="str">
        <f t="shared" si="47"/>
        <v>4400836260000</v>
      </c>
      <c r="F315" s="79" t="b">
        <f t="shared" si="50"/>
        <v>0</v>
      </c>
      <c r="G315" s="190">
        <f t="shared" si="51"/>
        <v>43281</v>
      </c>
      <c r="H315" s="146">
        <f>VLOOKUP( $A315, Aop!$A$2:$N$415, 4, 0)</f>
        <v>606</v>
      </c>
      <c r="I315" s="79">
        <f t="shared" si="48"/>
        <v>2018</v>
      </c>
      <c r="J315" s="79"/>
      <c r="K315" s="79"/>
      <c r="L315" s="79" t="str">
        <f t="shared" ca="1" si="44"/>
        <v/>
      </c>
      <c r="M315" s="79" t="str">
        <f t="shared" ca="1" si="45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01866885</v>
      </c>
      <c r="E316" s="79" t="str">
        <f t="shared" si="47"/>
        <v>4400836260000</v>
      </c>
      <c r="F316" s="79" t="b">
        <f t="shared" si="50"/>
        <v>0</v>
      </c>
      <c r="G316" s="190">
        <f t="shared" si="51"/>
        <v>43281</v>
      </c>
      <c r="H316" s="146">
        <f>VLOOKUP( $A316, Aop!$A$2:$N$415, 4, 0)</f>
        <v>607</v>
      </c>
      <c r="I316" s="79">
        <f t="shared" si="48"/>
        <v>2018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01866885</v>
      </c>
      <c r="E317" s="79" t="str">
        <f t="shared" si="47"/>
        <v>4400836260000</v>
      </c>
      <c r="F317" s="79" t="b">
        <f t="shared" si="50"/>
        <v>0</v>
      </c>
      <c r="G317" s="190">
        <f t="shared" si="51"/>
        <v>43281</v>
      </c>
      <c r="H317" s="146">
        <f>VLOOKUP( $A317, Aop!$A$2:$N$415, 4, 0)</f>
        <v>608</v>
      </c>
      <c r="I317" s="79">
        <f t="shared" si="48"/>
        <v>2018</v>
      </c>
      <c r="J317" s="79"/>
      <c r="K317" s="79"/>
      <c r="L317" s="79">
        <f t="shared" ca="1" si="44"/>
        <v>35986</v>
      </c>
      <c r="M317" s="79">
        <f t="shared" ca="1" si="45"/>
        <v>2621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01866885</v>
      </c>
      <c r="E318" s="79" t="str">
        <f t="shared" si="47"/>
        <v>4400836260000</v>
      </c>
      <c r="F318" s="79" t="b">
        <f t="shared" si="50"/>
        <v>0</v>
      </c>
      <c r="G318" s="190">
        <f t="shared" si="51"/>
        <v>43281</v>
      </c>
      <c r="H318" s="146">
        <f>VLOOKUP( $A318, Aop!$A$2:$N$415, 4, 0)</f>
        <v>609</v>
      </c>
      <c r="I318" s="79">
        <f t="shared" si="48"/>
        <v>2018</v>
      </c>
      <c r="J318" s="79"/>
      <c r="K318" s="79"/>
      <c r="L318" s="79">
        <f t="shared" ca="1" si="44"/>
        <v>64023</v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01866885</v>
      </c>
      <c r="E319" s="79" t="str">
        <f t="shared" si="47"/>
        <v>4400836260000</v>
      </c>
      <c r="F319" s="79" t="b">
        <f t="shared" si="50"/>
        <v>0</v>
      </c>
      <c r="G319" s="190">
        <f t="shared" si="51"/>
        <v>43281</v>
      </c>
      <c r="H319" s="146">
        <f>VLOOKUP( $A319, Aop!$A$2:$N$415, 4, 0)</f>
        <v>610</v>
      </c>
      <c r="I319" s="79">
        <f t="shared" si="48"/>
        <v>2018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01866885</v>
      </c>
      <c r="E320" s="79" t="str">
        <f t="shared" si="47"/>
        <v>4400836260000</v>
      </c>
      <c r="F320" s="79" t="b">
        <f t="shared" si="50"/>
        <v>0</v>
      </c>
      <c r="G320" s="190">
        <f t="shared" si="51"/>
        <v>43281</v>
      </c>
      <c r="H320" s="146">
        <f>VLOOKUP( $A320, Aop!$A$2:$N$415, 4, 0)</f>
        <v>611</v>
      </c>
      <c r="I320" s="79">
        <f t="shared" si="48"/>
        <v>2018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01866885</v>
      </c>
      <c r="E321" s="79" t="str">
        <f t="shared" si="47"/>
        <v>4400836260000</v>
      </c>
      <c r="F321" s="79" t="b">
        <f t="shared" si="50"/>
        <v>0</v>
      </c>
      <c r="G321" s="190">
        <f t="shared" si="51"/>
        <v>43281</v>
      </c>
      <c r="H321" s="146">
        <f>VLOOKUP( $A321, Aop!$A$2:$N$415, 4, 0)</f>
        <v>612</v>
      </c>
      <c r="I321" s="79">
        <f t="shared" si="48"/>
        <v>2018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01866885</v>
      </c>
      <c r="E322" s="79" t="str">
        <f t="shared" si="47"/>
        <v>4400836260000</v>
      </c>
      <c r="F322" s="79" t="b">
        <f t="shared" si="50"/>
        <v>0</v>
      </c>
      <c r="G322" s="190">
        <f t="shared" si="51"/>
        <v>43281</v>
      </c>
      <c r="H322" s="146">
        <f>VLOOKUP( $A322, Aop!$A$2:$N$415, 4, 0)</f>
        <v>613</v>
      </c>
      <c r="I322" s="79">
        <f t="shared" si="48"/>
        <v>2018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01866885</v>
      </c>
      <c r="E323" s="79" t="str">
        <f t="shared" si="47"/>
        <v>4400836260000</v>
      </c>
      <c r="F323" s="79" t="b">
        <f t="shared" si="50"/>
        <v>0</v>
      </c>
      <c r="G323" s="190">
        <f t="shared" si="51"/>
        <v>43281</v>
      </c>
      <c r="H323" s="146">
        <f>VLOOKUP( $A323, Aop!$A$2:$N$415, 4, 0)</f>
        <v>614</v>
      </c>
      <c r="I323" s="79">
        <f t="shared" si="48"/>
        <v>2018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01866885</v>
      </c>
      <c r="E324" s="79" t="str">
        <f t="shared" si="47"/>
        <v>4400836260000</v>
      </c>
      <c r="F324" s="79" t="b">
        <f t="shared" si="50"/>
        <v>0</v>
      </c>
      <c r="G324" s="190">
        <f t="shared" si="51"/>
        <v>43281</v>
      </c>
      <c r="H324" s="146">
        <f>VLOOKUP( $A324, Aop!$A$2:$N$415, 4, 0)</f>
        <v>615</v>
      </c>
      <c r="I324" s="79">
        <f t="shared" si="48"/>
        <v>2018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01866885</v>
      </c>
      <c r="E325" s="79" t="str">
        <f t="shared" si="47"/>
        <v>4400836260000</v>
      </c>
      <c r="F325" s="79" t="b">
        <f t="shared" si="50"/>
        <v>0</v>
      </c>
      <c r="G325" s="190">
        <f t="shared" si="51"/>
        <v>43281</v>
      </c>
      <c r="H325" s="146">
        <f>VLOOKUP( $A325, Aop!$A$2:$N$415, 4, 0)</f>
        <v>616</v>
      </c>
      <c r="I325" s="79">
        <f t="shared" si="48"/>
        <v>2018</v>
      </c>
      <c r="J325" s="79"/>
      <c r="K325" s="79"/>
      <c r="L325" s="79">
        <f t="shared" ca="1" si="52"/>
        <v>351106</v>
      </c>
      <c r="M325" s="79">
        <f t="shared" ca="1" si="53"/>
        <v>251769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01866885</v>
      </c>
      <c r="E326" s="79" t="str">
        <f t="shared" si="47"/>
        <v>4400836260000</v>
      </c>
      <c r="F326" s="79" t="b">
        <f t="shared" si="50"/>
        <v>0</v>
      </c>
      <c r="G326" s="190">
        <f t="shared" si="51"/>
        <v>43281</v>
      </c>
      <c r="H326" s="146">
        <f>VLOOKUP( $A326, Aop!$A$2:$N$415, 4, 0)</f>
        <v>617</v>
      </c>
      <c r="I326" s="79">
        <f t="shared" si="48"/>
        <v>2018</v>
      </c>
      <c r="J326" s="79"/>
      <c r="K326" s="79"/>
      <c r="L326" s="79">
        <f t="shared" ca="1" si="52"/>
        <v>15326</v>
      </c>
      <c r="M326" s="79">
        <f t="shared" ca="1" si="53"/>
        <v>28324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01866885</v>
      </c>
      <c r="E327" s="79" t="str">
        <f t="shared" si="47"/>
        <v>4400836260000</v>
      </c>
      <c r="F327" s="79" t="b">
        <f t="shared" si="50"/>
        <v>0</v>
      </c>
      <c r="G327" s="190">
        <f t="shared" si="51"/>
        <v>43281</v>
      </c>
      <c r="H327" s="146">
        <f>VLOOKUP( $A327, Aop!$A$2:$N$415, 4, 0)</f>
        <v>618</v>
      </c>
      <c r="I327" s="79">
        <f t="shared" si="48"/>
        <v>2018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01866885</v>
      </c>
      <c r="E328" s="79" t="str">
        <f t="shared" si="47"/>
        <v>4400836260000</v>
      </c>
      <c r="F328" s="79" t="b">
        <f t="shared" si="50"/>
        <v>0</v>
      </c>
      <c r="G328" s="190">
        <f t="shared" si="51"/>
        <v>43281</v>
      </c>
      <c r="H328" s="146">
        <f>VLOOKUP( $A328, Aop!$A$2:$N$415, 4, 0)</f>
        <v>619</v>
      </c>
      <c r="I328" s="79">
        <f t="shared" si="48"/>
        <v>2018</v>
      </c>
      <c r="J328" s="79"/>
      <c r="K328" s="79"/>
      <c r="L328" s="79">
        <f t="shared" ca="1" si="52"/>
        <v>219526</v>
      </c>
      <c r="M328" s="79">
        <f t="shared" ca="1" si="53"/>
        <v>242883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01866885</v>
      </c>
      <c r="E329" s="79" t="str">
        <f t="shared" si="47"/>
        <v>4400836260000</v>
      </c>
      <c r="F329" s="79" t="b">
        <f t="shared" si="50"/>
        <v>0</v>
      </c>
      <c r="G329" s="190">
        <f t="shared" si="51"/>
        <v>43281</v>
      </c>
      <c r="H329" s="146">
        <f>VLOOKUP( $A329, Aop!$A$2:$N$415, 4, 0)</f>
        <v>620</v>
      </c>
      <c r="I329" s="79">
        <f t="shared" si="48"/>
        <v>2018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01866885</v>
      </c>
      <c r="E330" s="79" t="str">
        <f t="shared" si="47"/>
        <v>4400836260000</v>
      </c>
      <c r="F330" s="79" t="b">
        <f t="shared" si="50"/>
        <v>0</v>
      </c>
      <c r="G330" s="190">
        <f t="shared" si="51"/>
        <v>43281</v>
      </c>
      <c r="H330" s="146">
        <f>VLOOKUP( $A330, Aop!$A$2:$N$415, 4, 0)</f>
        <v>621</v>
      </c>
      <c r="I330" s="79">
        <f t="shared" si="48"/>
        <v>2018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01866885</v>
      </c>
      <c r="E331" s="79" t="str">
        <f t="shared" si="47"/>
        <v>4400836260000</v>
      </c>
      <c r="F331" s="79" t="b">
        <f t="shared" si="50"/>
        <v>0</v>
      </c>
      <c r="G331" s="190">
        <f t="shared" si="51"/>
        <v>43281</v>
      </c>
      <c r="H331" s="146">
        <f>VLOOKUP( $A331, Aop!$A$2:$N$415, 4, 0)</f>
        <v>622</v>
      </c>
      <c r="I331" s="79">
        <f t="shared" si="48"/>
        <v>2018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01866885</v>
      </c>
      <c r="E332" s="79" t="str">
        <f t="shared" si="47"/>
        <v>4400836260000</v>
      </c>
      <c r="F332" s="79" t="b">
        <f t="shared" si="50"/>
        <v>0</v>
      </c>
      <c r="G332" s="190">
        <f t="shared" si="51"/>
        <v>43281</v>
      </c>
      <c r="H332" s="146">
        <f>VLOOKUP( $A332, Aop!$A$2:$N$415, 4, 0)</f>
        <v>623</v>
      </c>
      <c r="I332" s="79">
        <f t="shared" si="48"/>
        <v>2018</v>
      </c>
      <c r="J332" s="79"/>
      <c r="K332" s="79"/>
      <c r="L332" s="79">
        <f t="shared" ca="1" si="52"/>
        <v>219526</v>
      </c>
      <c r="M332" s="79">
        <f t="shared" ca="1" si="53"/>
        <v>242883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01866885</v>
      </c>
      <c r="E333" s="79" t="str">
        <f t="shared" si="47"/>
        <v>4400836260000</v>
      </c>
      <c r="F333" s="79" t="b">
        <f t="shared" si="50"/>
        <v>0</v>
      </c>
      <c r="G333" s="190">
        <f t="shared" si="51"/>
        <v>43281</v>
      </c>
      <c r="H333" s="146">
        <f>VLOOKUP( $A333, Aop!$A$2:$N$415, 4, 0)</f>
        <v>624</v>
      </c>
      <c r="I333" s="79">
        <f t="shared" si="48"/>
        <v>2018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01866885</v>
      </c>
      <c r="E334" s="79" t="str">
        <f t="shared" si="47"/>
        <v>4400836260000</v>
      </c>
      <c r="F334" s="79" t="b">
        <f t="shared" si="50"/>
        <v>0</v>
      </c>
      <c r="G334" s="190">
        <f t="shared" si="51"/>
        <v>43281</v>
      </c>
      <c r="H334" s="146">
        <f>VLOOKUP( $A334, Aop!$A$2:$N$415, 4, 0)</f>
        <v>625</v>
      </c>
      <c r="I334" s="79">
        <f t="shared" si="48"/>
        <v>2018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01866885</v>
      </c>
      <c r="E335" s="79" t="str">
        <f t="shared" si="47"/>
        <v>4400836260000</v>
      </c>
      <c r="F335" s="79" t="b">
        <f t="shared" si="50"/>
        <v>0</v>
      </c>
      <c r="G335" s="190">
        <f t="shared" si="51"/>
        <v>43281</v>
      </c>
      <c r="H335" s="146">
        <f>VLOOKUP( $A335, Aop!$A$2:$N$415, 4, 0)</f>
        <v>626</v>
      </c>
      <c r="I335" s="79">
        <f t="shared" si="48"/>
        <v>2018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01866885</v>
      </c>
      <c r="E336" s="79" t="str">
        <f t="shared" si="47"/>
        <v>4400836260000</v>
      </c>
      <c r="F336" s="79" t="b">
        <f t="shared" si="50"/>
        <v>0</v>
      </c>
      <c r="G336" s="190">
        <f t="shared" si="51"/>
        <v>43281</v>
      </c>
      <c r="H336" s="146">
        <f>VLOOKUP( $A336, Aop!$A$2:$N$415, 4, 0)</f>
        <v>627</v>
      </c>
      <c r="I336" s="79">
        <f t="shared" si="48"/>
        <v>2018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01866885</v>
      </c>
      <c r="E337" s="79" t="str">
        <f t="shared" si="47"/>
        <v>4400836260000</v>
      </c>
      <c r="F337" s="79" t="b">
        <f t="shared" si="50"/>
        <v>0</v>
      </c>
      <c r="G337" s="190">
        <f t="shared" si="51"/>
        <v>43281</v>
      </c>
      <c r="H337" s="146">
        <f>VLOOKUP( $A337, Aop!$A$2:$N$415, 4, 0)</f>
        <v>628</v>
      </c>
      <c r="I337" s="79">
        <f t="shared" si="48"/>
        <v>2018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01866885</v>
      </c>
      <c r="E338" s="79" t="str">
        <f t="shared" si="47"/>
        <v>4400836260000</v>
      </c>
      <c r="F338" s="79" t="b">
        <f t="shared" si="50"/>
        <v>0</v>
      </c>
      <c r="G338" s="190">
        <f t="shared" si="51"/>
        <v>43281</v>
      </c>
      <c r="H338" s="146">
        <f>VLOOKUP( $A338, Aop!$A$2:$N$415, 4, 0)</f>
        <v>629</v>
      </c>
      <c r="I338" s="79">
        <f t="shared" si="48"/>
        <v>2018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01866885</v>
      </c>
      <c r="E339" s="79" t="str">
        <f t="shared" si="47"/>
        <v>4400836260000</v>
      </c>
      <c r="F339" s="79" t="b">
        <f t="shared" si="50"/>
        <v>0</v>
      </c>
      <c r="G339" s="190">
        <f t="shared" si="51"/>
        <v>43281</v>
      </c>
      <c r="H339" s="146">
        <f>VLOOKUP( $A339, Aop!$A$2:$N$415, 4, 0)</f>
        <v>630</v>
      </c>
      <c r="I339" s="79">
        <f t="shared" si="48"/>
        <v>2018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01866885</v>
      </c>
      <c r="E340" s="79" t="str">
        <f>Podatak_JIB</f>
        <v>4400836260000</v>
      </c>
      <c r="F340" s="79" t="b">
        <f>Konsolidovan_izvjestaj</f>
        <v>0</v>
      </c>
      <c r="G340" s="190">
        <f>Datum_Broj</f>
        <v>43281</v>
      </c>
      <c r="H340" s="79">
        <f>VLOOKUP( $A340, Aop!$A$2:$N$415, 4, 0)</f>
        <v>631</v>
      </c>
      <c r="I340" s="79">
        <f>Godina</f>
        <v>2018</v>
      </c>
      <c r="J340" s="79"/>
      <c r="K340" s="79"/>
      <c r="L340" s="79">
        <f t="shared" ca="1" si="52"/>
        <v>682</v>
      </c>
      <c r="M340" s="79">
        <f t="shared" ca="1" si="53"/>
        <v>1672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01866885</v>
      </c>
      <c r="E341" s="79" t="str">
        <f t="shared" si="47"/>
        <v>4400836260000</v>
      </c>
      <c r="F341" s="79" t="b">
        <f t="shared" si="50"/>
        <v>0</v>
      </c>
      <c r="G341" s="190">
        <f t="shared" si="51"/>
        <v>43281</v>
      </c>
      <c r="H341" s="146">
        <f>VLOOKUP( $A341, Aop!$A$2:$N$415, 4, 0)</f>
        <v>632</v>
      </c>
      <c r="I341" s="79">
        <f t="shared" si="48"/>
        <v>2018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01866885</v>
      </c>
      <c r="E342" s="79" t="str">
        <f t="shared" si="47"/>
        <v>4400836260000</v>
      </c>
      <c r="F342" s="79" t="b">
        <f t="shared" si="50"/>
        <v>0</v>
      </c>
      <c r="G342" s="190">
        <f t="shared" si="51"/>
        <v>43281</v>
      </c>
      <c r="H342" s="146">
        <f>VLOOKUP( $A342, Aop!$A$2:$N$415, 4, 0)</f>
        <v>633</v>
      </c>
      <c r="I342" s="79">
        <f t="shared" si="48"/>
        <v>2018</v>
      </c>
      <c r="J342" s="79"/>
      <c r="K342" s="79"/>
      <c r="L342" s="79" t="str">
        <f t="shared" ca="1" si="52"/>
        <v/>
      </c>
      <c r="M342" s="79">
        <f t="shared" ca="1" si="53"/>
        <v>79595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01866885</v>
      </c>
      <c r="E343" s="79" t="str">
        <f t="shared" si="47"/>
        <v>4400836260000</v>
      </c>
      <c r="F343" s="79" t="b">
        <f t="shared" si="50"/>
        <v>0</v>
      </c>
      <c r="G343" s="190">
        <f t="shared" si="51"/>
        <v>43281</v>
      </c>
      <c r="H343" s="146">
        <f>VLOOKUP( $A343, Aop!$A$2:$N$415, 4, 0)</f>
        <v>634</v>
      </c>
      <c r="I343" s="79">
        <f t="shared" si="48"/>
        <v>2018</v>
      </c>
      <c r="J343" s="79"/>
      <c r="K343" s="79"/>
      <c r="L343" s="79">
        <f t="shared" ca="1" si="52"/>
        <v>39136</v>
      </c>
      <c r="M343" s="79">
        <f t="shared" ca="1" si="53"/>
        <v>24696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01866885</v>
      </c>
      <c r="E344" s="79" t="str">
        <f t="shared" si="47"/>
        <v>4400836260000</v>
      </c>
      <c r="F344" s="79" t="b">
        <f t="shared" si="50"/>
        <v>0</v>
      </c>
      <c r="G344" s="190">
        <f t="shared" si="51"/>
        <v>43281</v>
      </c>
      <c r="H344" s="146">
        <f>VLOOKUP( $A344, Aop!$A$2:$N$415, 4, 0)</f>
        <v>635</v>
      </c>
      <c r="I344" s="79">
        <f t="shared" si="48"/>
        <v>2018</v>
      </c>
      <c r="J344" s="79"/>
      <c r="K344" s="79"/>
      <c r="L344" s="79" t="str">
        <f t="shared" ca="1" si="52"/>
        <v/>
      </c>
      <c r="M344" s="79">
        <f t="shared" ca="1" si="53"/>
        <v>154041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01866885</v>
      </c>
      <c r="E345" s="79" t="str">
        <f t="shared" si="47"/>
        <v>4400836260000</v>
      </c>
      <c r="F345" s="79" t="b">
        <f t="shared" si="50"/>
        <v>0</v>
      </c>
      <c r="G345" s="190">
        <f t="shared" si="51"/>
        <v>43281</v>
      </c>
      <c r="H345" s="146">
        <f>VLOOKUP( $A345, Aop!$A$2:$N$415, 4, 0)</f>
        <v>636</v>
      </c>
      <c r="I345" s="79">
        <f t="shared" si="48"/>
        <v>2018</v>
      </c>
      <c r="J345" s="79"/>
      <c r="K345" s="79"/>
      <c r="L345" s="79">
        <f t="shared" ca="1" si="52"/>
        <v>14925</v>
      </c>
      <c r="M345" s="79">
        <f t="shared" ca="1" si="53"/>
        <v>14925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01866885</v>
      </c>
      <c r="E346" s="79" t="str">
        <f t="shared" si="47"/>
        <v>4400836260000</v>
      </c>
      <c r="F346" s="79" t="b">
        <f t="shared" si="50"/>
        <v>0</v>
      </c>
      <c r="G346" s="190">
        <f t="shared" si="51"/>
        <v>43281</v>
      </c>
      <c r="H346" s="146">
        <f>VLOOKUP( $A346, Aop!$A$2:$N$415, 4, 0)</f>
        <v>637</v>
      </c>
      <c r="I346" s="79">
        <f t="shared" si="48"/>
        <v>2018</v>
      </c>
      <c r="J346" s="79"/>
      <c r="K346" s="79"/>
      <c r="L346" s="79">
        <f t="shared" ca="1" si="52"/>
        <v>210</v>
      </c>
      <c r="M346" s="79">
        <f t="shared" ca="1" si="53"/>
        <v>757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01866885</v>
      </c>
      <c r="E347" s="79" t="str">
        <f t="shared" si="47"/>
        <v>4400836260000</v>
      </c>
      <c r="F347" s="79" t="b">
        <f t="shared" si="50"/>
        <v>0</v>
      </c>
      <c r="G347" s="190">
        <f t="shared" si="51"/>
        <v>43281</v>
      </c>
      <c r="H347" s="146">
        <f>VLOOKUP( $A347, Aop!$A$2:$N$415, 4, 0)</f>
        <v>638</v>
      </c>
      <c r="I347" s="79">
        <f t="shared" si="48"/>
        <v>2018</v>
      </c>
      <c r="J347" s="79"/>
      <c r="K347" s="79"/>
      <c r="L347" s="79">
        <f t="shared" ca="1" si="52"/>
        <v>137</v>
      </c>
      <c r="M347" s="79">
        <f t="shared" ca="1" si="53"/>
        <v>355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01866885</v>
      </c>
      <c r="E348" s="79" t="str">
        <f t="shared" si="47"/>
        <v>4400836260000</v>
      </c>
      <c r="F348" s="79" t="b">
        <f t="shared" si="50"/>
        <v>0</v>
      </c>
      <c r="G348" s="190">
        <f t="shared" si="51"/>
        <v>43281</v>
      </c>
      <c r="H348" s="146">
        <f>VLOOKUP( $A348, Aop!$A$2:$N$415, 4, 0)</f>
        <v>639</v>
      </c>
      <c r="I348" s="79">
        <f t="shared" si="48"/>
        <v>2018</v>
      </c>
      <c r="J348" s="79"/>
      <c r="K348" s="79"/>
      <c r="L348" s="79">
        <f t="shared" ca="1" si="52"/>
        <v>43718</v>
      </c>
      <c r="M348" s="79">
        <f t="shared" ca="1" si="53"/>
        <v>24600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01866885</v>
      </c>
      <c r="E349" s="79" t="str">
        <f t="shared" si="47"/>
        <v>4400836260000</v>
      </c>
      <c r="F349" s="79" t="b">
        <f t="shared" si="50"/>
        <v>0</v>
      </c>
      <c r="G349" s="190">
        <f t="shared" si="51"/>
        <v>43281</v>
      </c>
      <c r="H349" s="146">
        <f>VLOOKUP( $A349, Aop!$A$2:$N$415, 4, 0)</f>
        <v>640</v>
      </c>
      <c r="I349" s="79">
        <f t="shared" si="48"/>
        <v>2018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01866885</v>
      </c>
      <c r="E350" s="79" t="str">
        <f t="shared" si="47"/>
        <v>4400836260000</v>
      </c>
      <c r="F350" s="79" t="b">
        <f t="shared" si="50"/>
        <v>0</v>
      </c>
      <c r="G350" s="190">
        <f t="shared" si="51"/>
        <v>43281</v>
      </c>
      <c r="H350" s="146">
        <f>VLOOKUP( $A350, Aop!$A$2:$N$415, 4, 0)</f>
        <v>641</v>
      </c>
      <c r="I350" s="79">
        <f t="shared" si="48"/>
        <v>2018</v>
      </c>
      <c r="J350" s="79"/>
      <c r="K350" s="79"/>
      <c r="L350" s="79">
        <f t="shared" ca="1" si="52"/>
        <v>4608</v>
      </c>
      <c r="M350" s="79">
        <f t="shared" ca="1" si="53"/>
        <v>4354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01866885</v>
      </c>
      <c r="E351" s="79" t="str">
        <f t="shared" si="47"/>
        <v>4400836260000</v>
      </c>
      <c r="F351" s="79" t="b">
        <f t="shared" si="50"/>
        <v>0</v>
      </c>
      <c r="G351" s="190">
        <f t="shared" si="51"/>
        <v>43281</v>
      </c>
      <c r="H351" s="146">
        <f>VLOOKUP( $A351, Aop!$A$2:$N$415, 4, 0)</f>
        <v>642</v>
      </c>
      <c r="I351" s="79">
        <f t="shared" si="48"/>
        <v>2018</v>
      </c>
      <c r="J351" s="79"/>
      <c r="K351" s="79"/>
      <c r="L351" s="79">
        <f t="shared" ca="1" si="52"/>
        <v>21510</v>
      </c>
      <c r="M351" s="79">
        <f t="shared" ca="1" si="53"/>
        <v>6334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01866885</v>
      </c>
      <c r="E352" s="79" t="str">
        <f t="shared" si="47"/>
        <v>4400836260000</v>
      </c>
      <c r="F352" s="79" t="b">
        <f t="shared" si="50"/>
        <v>0</v>
      </c>
      <c r="G352" s="190">
        <f t="shared" si="51"/>
        <v>43281</v>
      </c>
      <c r="H352" s="146">
        <f>VLOOKUP( $A352, Aop!$A$2:$N$415, 4, 0)</f>
        <v>643</v>
      </c>
      <c r="I352" s="79">
        <f t="shared" si="48"/>
        <v>2018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01866885</v>
      </c>
      <c r="E353" s="79" t="str">
        <f t="shared" si="47"/>
        <v>4400836260000</v>
      </c>
      <c r="F353" s="79" t="b">
        <f t="shared" si="50"/>
        <v>0</v>
      </c>
      <c r="G353" s="190">
        <f t="shared" si="51"/>
        <v>43281</v>
      </c>
      <c r="H353" s="146">
        <f>VLOOKUP( $A353, Aop!$A$2:$N$415, 4, 0)</f>
        <v>644</v>
      </c>
      <c r="I353" s="79">
        <f t="shared" si="48"/>
        <v>2018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01866885</v>
      </c>
      <c r="E354" s="79" t="str">
        <f t="shared" si="47"/>
        <v>4400836260000</v>
      </c>
      <c r="F354" s="79" t="b">
        <f t="shared" si="50"/>
        <v>0</v>
      </c>
      <c r="G354" s="190">
        <f t="shared" si="51"/>
        <v>43281</v>
      </c>
      <c r="H354" s="146">
        <f>VLOOKUP( $A354, Aop!$A$2:$N$415, 4, 0)</f>
        <v>645</v>
      </c>
      <c r="I354" s="79">
        <f t="shared" si="48"/>
        <v>2018</v>
      </c>
      <c r="J354" s="79"/>
      <c r="K354" s="79"/>
      <c r="L354" s="79">
        <f t="shared" ca="1" si="52"/>
        <v>6448</v>
      </c>
      <c r="M354" s="79">
        <f t="shared" ca="1" si="53"/>
        <v>921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01866885</v>
      </c>
      <c r="E355" s="79" t="str">
        <f t="shared" ref="E355:E362" si="56">Podatak_JIB</f>
        <v>4400836260000</v>
      </c>
      <c r="F355" s="79" t="b">
        <f t="shared" ref="F355:F362" si="57">Konsolidovan_izvjestaj</f>
        <v>0</v>
      </c>
      <c r="G355" s="190">
        <f t="shared" ref="G355:G362" si="58">Datum_Broj</f>
        <v>43281</v>
      </c>
      <c r="H355" s="79">
        <f>VLOOKUP( $A355, Aop!$A$2:$N$415, 4, 0)</f>
        <v>646</v>
      </c>
      <c r="I355" s="79">
        <f t="shared" ref="I355:I362" si="59">Godina</f>
        <v>2018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01866885</v>
      </c>
      <c r="E356" s="79" t="str">
        <f t="shared" si="56"/>
        <v>4400836260000</v>
      </c>
      <c r="F356" s="79" t="b">
        <f t="shared" si="57"/>
        <v>0</v>
      </c>
      <c r="G356" s="190">
        <f t="shared" si="58"/>
        <v>43281</v>
      </c>
      <c r="H356" s="79">
        <f>VLOOKUP( $A356, Aop!$A$2:$N$415, 4, 0)</f>
        <v>647</v>
      </c>
      <c r="I356" s="79">
        <f t="shared" si="59"/>
        <v>2018</v>
      </c>
      <c r="J356" s="79"/>
      <c r="K356" s="79"/>
      <c r="L356" s="79">
        <f t="shared" ca="1" si="52"/>
        <v>11152</v>
      </c>
      <c r="M356" s="79">
        <f t="shared" ca="1" si="53"/>
        <v>12991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01866885</v>
      </c>
      <c r="E357" s="79" t="str">
        <f t="shared" si="56"/>
        <v>4400836260000</v>
      </c>
      <c r="F357" s="79" t="b">
        <f t="shared" si="57"/>
        <v>0</v>
      </c>
      <c r="G357" s="190">
        <f t="shared" si="58"/>
        <v>43281</v>
      </c>
      <c r="H357" s="79">
        <f>VLOOKUP( $A357, Aop!$A$2:$N$415, 4, 0)</f>
        <v>648</v>
      </c>
      <c r="I357" s="79">
        <f t="shared" si="59"/>
        <v>2018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01866885</v>
      </c>
      <c r="E358" s="79" t="str">
        <f t="shared" si="56"/>
        <v>4400836260000</v>
      </c>
      <c r="F358" s="79" t="b">
        <f t="shared" si="57"/>
        <v>0</v>
      </c>
      <c r="G358" s="190">
        <f t="shared" si="58"/>
        <v>43281</v>
      </c>
      <c r="H358" s="79">
        <f>VLOOKUP( $A358, Aop!$A$2:$N$415, 4, 0)</f>
        <v>649</v>
      </c>
      <c r="I358" s="79">
        <f t="shared" si="59"/>
        <v>2018</v>
      </c>
      <c r="J358" s="79"/>
      <c r="K358" s="79"/>
      <c r="L358" s="79">
        <f t="shared" ca="1" si="52"/>
        <v>80963</v>
      </c>
      <c r="M358" s="79">
        <f t="shared" ca="1" si="53"/>
        <v>44874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01866885</v>
      </c>
      <c r="E359" s="79" t="str">
        <f t="shared" si="56"/>
        <v>4400836260000</v>
      </c>
      <c r="F359" s="79" t="b">
        <f t="shared" si="57"/>
        <v>0</v>
      </c>
      <c r="G359" s="190">
        <f t="shared" si="58"/>
        <v>43281</v>
      </c>
      <c r="H359" s="79">
        <f>VLOOKUP( $A359, Aop!$A$2:$N$415, 4, 0)</f>
        <v>650</v>
      </c>
      <c r="I359" s="79">
        <f t="shared" si="59"/>
        <v>2018</v>
      </c>
      <c r="J359" s="79"/>
      <c r="K359" s="79"/>
      <c r="L359" s="79">
        <f t="shared" ca="1" si="52"/>
        <v>42361</v>
      </c>
      <c r="M359" s="79">
        <f t="shared" ca="1" si="53"/>
        <v>13296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01866885</v>
      </c>
      <c r="E360" s="79" t="str">
        <f t="shared" si="56"/>
        <v>4400836260000</v>
      </c>
      <c r="F360" s="79" t="b">
        <f t="shared" si="57"/>
        <v>0</v>
      </c>
      <c r="G360" s="190">
        <f t="shared" si="58"/>
        <v>43281</v>
      </c>
      <c r="H360" s="79">
        <f>VLOOKUP( $A360, Aop!$A$2:$N$415, 4, 0)</f>
        <v>651</v>
      </c>
      <c r="I360" s="79">
        <f t="shared" si="59"/>
        <v>2018</v>
      </c>
      <c r="J360" s="79"/>
      <c r="K360" s="79"/>
      <c r="L360" s="79">
        <f t="shared" ca="1" si="52"/>
        <v>343</v>
      </c>
      <c r="M360" s="79">
        <f t="shared" ca="1" si="53"/>
        <v>51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01866885</v>
      </c>
      <c r="E361" s="79" t="str">
        <f t="shared" si="56"/>
        <v>4400836260000</v>
      </c>
      <c r="F361" s="79" t="b">
        <f t="shared" si="57"/>
        <v>0</v>
      </c>
      <c r="G361" s="190">
        <f t="shared" si="58"/>
        <v>43281</v>
      </c>
      <c r="H361" s="79">
        <f>VLOOKUP( $A361, Aop!$A$2:$N$415, 4, 0)</f>
        <v>652</v>
      </c>
      <c r="I361" s="79">
        <f t="shared" si="59"/>
        <v>2018</v>
      </c>
      <c r="J361" s="79"/>
      <c r="K361" s="79"/>
      <c r="L361" s="79">
        <f t="shared" ca="1" si="52"/>
        <v>14560</v>
      </c>
      <c r="M361" s="79">
        <f t="shared" ca="1" si="53"/>
        <v>860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01866885</v>
      </c>
      <c r="E362" s="79" t="str">
        <f t="shared" si="56"/>
        <v>4400836260000</v>
      </c>
      <c r="F362" s="79" t="b">
        <f t="shared" si="57"/>
        <v>0</v>
      </c>
      <c r="G362" s="190">
        <f t="shared" si="58"/>
        <v>43281</v>
      </c>
      <c r="H362" s="79">
        <f>VLOOKUP( $A362, Aop!$A$2:$N$415, 4, 0)</f>
        <v>653</v>
      </c>
      <c r="I362" s="79">
        <f t="shared" si="59"/>
        <v>2018</v>
      </c>
      <c r="J362" s="79"/>
      <c r="K362" s="79"/>
      <c r="L362" s="79">
        <f t="shared" ca="1" si="52"/>
        <v>6937</v>
      </c>
      <c r="M362" s="79">
        <f t="shared" ca="1" si="53"/>
        <v>2679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01866885</v>
      </c>
      <c r="E363" s="74" t="str">
        <f t="shared" ref="E363:E379" si="62">Podatak_JIB</f>
        <v>4400836260000</v>
      </c>
      <c r="F363" s="74" t="b">
        <f t="shared" ref="F363:F379" si="63">Konsolidovan_izvjestaj</f>
        <v>0</v>
      </c>
      <c r="G363" s="373">
        <f t="shared" ref="G363:G379" si="64">Datum_Broj</f>
        <v>43281</v>
      </c>
      <c r="H363" s="74">
        <f>VLOOKUP( $A363, Aop!$A$2:$N$415, 4, 0)</f>
        <v>654</v>
      </c>
      <c r="I363" s="74">
        <f t="shared" ref="I363:I379" si="65">Godina</f>
        <v>2018</v>
      </c>
      <c r="J363" s="74"/>
      <c r="K363" s="74"/>
      <c r="L363" s="74">
        <f t="shared" ca="1" si="52"/>
        <v>748</v>
      </c>
      <c r="M363" s="74">
        <f t="shared" ca="1" si="53"/>
        <v>1757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01866885</v>
      </c>
      <c r="E364" s="74" t="str">
        <f t="shared" si="62"/>
        <v>4400836260000</v>
      </c>
      <c r="F364" s="74" t="b">
        <f t="shared" si="63"/>
        <v>0</v>
      </c>
      <c r="G364" s="373">
        <f t="shared" si="64"/>
        <v>43281</v>
      </c>
      <c r="H364" s="74">
        <f>VLOOKUP( $A364, Aop!$A$2:$N$415, 4, 0)</f>
        <v>655</v>
      </c>
      <c r="I364" s="74">
        <f t="shared" si="65"/>
        <v>2018</v>
      </c>
      <c r="J364" s="74"/>
      <c r="K364" s="74"/>
      <c r="L364" s="74">
        <f t="shared" ca="1" si="52"/>
        <v>3390</v>
      </c>
      <c r="M364" s="74">
        <f t="shared" ca="1" si="53"/>
        <v>5434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01866885</v>
      </c>
      <c r="E365" s="74" t="str">
        <f t="shared" si="62"/>
        <v>4400836260000</v>
      </c>
      <c r="F365" s="74" t="b">
        <f t="shared" si="63"/>
        <v>0</v>
      </c>
      <c r="G365" s="373">
        <f t="shared" si="64"/>
        <v>43281</v>
      </c>
      <c r="H365" s="74">
        <f>VLOOKUP( $A365, Aop!$A$2:$N$415, 4, 0)</f>
        <v>656</v>
      </c>
      <c r="I365" s="74">
        <f t="shared" si="65"/>
        <v>2018</v>
      </c>
      <c r="J365" s="74"/>
      <c r="K365" s="74"/>
      <c r="L365" s="74">
        <f t="shared" ca="1" si="52"/>
        <v>314</v>
      </c>
      <c r="M365" s="74">
        <f t="shared" ca="1" si="53"/>
        <v>222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01866885</v>
      </c>
      <c r="E366" s="74" t="str">
        <f t="shared" si="62"/>
        <v>4400836260000</v>
      </c>
      <c r="F366" s="74" t="b">
        <f t="shared" si="63"/>
        <v>0</v>
      </c>
      <c r="G366" s="373">
        <f t="shared" si="64"/>
        <v>43281</v>
      </c>
      <c r="H366" s="74">
        <f>VLOOKUP( $A366, Aop!$A$2:$N$415, 4, 0)</f>
        <v>657</v>
      </c>
      <c r="I366" s="74">
        <f t="shared" si="65"/>
        <v>2018</v>
      </c>
      <c r="J366" s="74"/>
      <c r="K366" s="74"/>
      <c r="L366" s="74" t="str">
        <f t="shared" ca="1" si="52"/>
        <v/>
      </c>
      <c r="M366" s="74">
        <f t="shared" ca="1" si="53"/>
        <v>0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01866885</v>
      </c>
      <c r="E367" s="74" t="str">
        <f t="shared" si="62"/>
        <v>4400836260000</v>
      </c>
      <c r="F367" s="74" t="b">
        <f t="shared" si="63"/>
        <v>0</v>
      </c>
      <c r="G367" s="373">
        <f t="shared" si="64"/>
        <v>43281</v>
      </c>
      <c r="H367" s="74">
        <f>VLOOKUP( $A367, Aop!$A$2:$N$415, 4, 0)</f>
        <v>658</v>
      </c>
      <c r="I367" s="74">
        <f t="shared" si="65"/>
        <v>2018</v>
      </c>
      <c r="J367" s="74"/>
      <c r="K367" s="74"/>
      <c r="L367" s="74">
        <f t="shared" ca="1" si="52"/>
        <v>18313</v>
      </c>
      <c r="M367" s="74">
        <f t="shared" ca="1" si="53"/>
        <v>11170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01866885</v>
      </c>
      <c r="E368" s="74" t="str">
        <f t="shared" si="62"/>
        <v>4400836260000</v>
      </c>
      <c r="F368" s="74" t="b">
        <f t="shared" si="63"/>
        <v>0</v>
      </c>
      <c r="G368" s="373">
        <f t="shared" si="64"/>
        <v>43281</v>
      </c>
      <c r="H368" s="74">
        <f>VLOOKUP( $A368, Aop!$A$2:$N$415, 4, 0)</f>
        <v>659</v>
      </c>
      <c r="I368" s="74">
        <f t="shared" si="65"/>
        <v>2018</v>
      </c>
      <c r="J368" s="74"/>
      <c r="K368" s="74"/>
      <c r="L368" s="74">
        <f t="shared" ca="1" si="52"/>
        <v>8900</v>
      </c>
      <c r="M368" s="74">
        <f t="shared" ca="1" si="53"/>
        <v>10316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01866885</v>
      </c>
      <c r="E369" s="74" t="str">
        <f t="shared" si="62"/>
        <v>4400836260000</v>
      </c>
      <c r="F369" s="74" t="b">
        <f t="shared" si="63"/>
        <v>0</v>
      </c>
      <c r="G369" s="373">
        <f t="shared" si="64"/>
        <v>43281</v>
      </c>
      <c r="H369" s="74">
        <f>VLOOKUP( $A369, Aop!$A$2:$N$415, 4, 0)</f>
        <v>660</v>
      </c>
      <c r="I369" s="74">
        <f t="shared" si="65"/>
        <v>2018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01866885</v>
      </c>
      <c r="E370" s="74" t="str">
        <f t="shared" si="62"/>
        <v>4400836260000</v>
      </c>
      <c r="F370" s="74" t="b">
        <f t="shared" si="63"/>
        <v>0</v>
      </c>
      <c r="G370" s="373">
        <f t="shared" si="64"/>
        <v>43281</v>
      </c>
      <c r="H370" s="74">
        <f>VLOOKUP( $A370, Aop!$A$2:$N$415, 4, 0)</f>
        <v>661</v>
      </c>
      <c r="I370" s="74">
        <f t="shared" si="65"/>
        <v>2018</v>
      </c>
      <c r="J370" s="74"/>
      <c r="K370" s="74"/>
      <c r="L370" s="74">
        <f t="shared" ca="1" si="52"/>
        <v>120426</v>
      </c>
      <c r="M370" s="74">
        <f t="shared" ca="1" si="53"/>
        <v>104550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01866885</v>
      </c>
      <c r="E371" s="74" t="str">
        <f t="shared" si="62"/>
        <v>4400836260000</v>
      </c>
      <c r="F371" s="74" t="b">
        <f t="shared" si="63"/>
        <v>0</v>
      </c>
      <c r="G371" s="373">
        <f t="shared" si="64"/>
        <v>43281</v>
      </c>
      <c r="H371" s="74">
        <f>VLOOKUP( $A371, Aop!$A$2:$N$415, 4, 0)</f>
        <v>662</v>
      </c>
      <c r="I371" s="74">
        <f t="shared" si="65"/>
        <v>2018</v>
      </c>
      <c r="J371" s="74"/>
      <c r="K371" s="74"/>
      <c r="L371" s="74">
        <f t="shared" ca="1" si="52"/>
        <v>149604</v>
      </c>
      <c r="M371" s="74">
        <f t="shared" ca="1" si="53"/>
        <v>27356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01866885</v>
      </c>
      <c r="E372" s="74" t="str">
        <f t="shared" si="62"/>
        <v>4400836260000</v>
      </c>
      <c r="F372" s="74" t="b">
        <f t="shared" si="63"/>
        <v>0</v>
      </c>
      <c r="G372" s="373">
        <f t="shared" si="64"/>
        <v>43281</v>
      </c>
      <c r="H372" s="74">
        <f>VLOOKUP( $A372, Aop!$A$2:$N$415, 4, 0)</f>
        <v>663</v>
      </c>
      <c r="I372" s="74">
        <f t="shared" si="65"/>
        <v>2018</v>
      </c>
      <c r="J372" s="74"/>
      <c r="K372" s="74"/>
      <c r="L372" s="74" t="str">
        <f t="shared" ca="1" si="52"/>
        <v/>
      </c>
      <c r="M372" s="74">
        <f t="shared" ca="1" si="53"/>
        <v>20566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01866885</v>
      </c>
      <c r="E373" s="74" t="str">
        <f t="shared" si="62"/>
        <v>4400836260000</v>
      </c>
      <c r="F373" s="74" t="b">
        <f t="shared" si="63"/>
        <v>0</v>
      </c>
      <c r="G373" s="373">
        <f t="shared" si="64"/>
        <v>43281</v>
      </c>
      <c r="H373" s="74">
        <f>VLOOKUP( $A373, Aop!$A$2:$N$415, 4, 0)</f>
        <v>664</v>
      </c>
      <c r="I373" s="74">
        <f t="shared" si="65"/>
        <v>2018</v>
      </c>
      <c r="J373" s="74"/>
      <c r="K373" s="74"/>
      <c r="L373" s="74">
        <f t="shared" ca="1" si="52"/>
        <v>35032</v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01866885</v>
      </c>
      <c r="E374" s="74" t="str">
        <f t="shared" si="62"/>
        <v>4400836260000</v>
      </c>
      <c r="F374" s="74" t="b">
        <f t="shared" si="63"/>
        <v>0</v>
      </c>
      <c r="G374" s="373">
        <f t="shared" si="64"/>
        <v>43281</v>
      </c>
      <c r="H374" s="74">
        <f>VLOOKUP( $A374, Aop!$A$2:$N$415, 4, 0)</f>
        <v>665</v>
      </c>
      <c r="I374" s="74">
        <f t="shared" si="65"/>
        <v>2018</v>
      </c>
      <c r="J374" s="74"/>
      <c r="K374" s="74"/>
      <c r="L374" s="74">
        <f t="shared" ca="1" si="52"/>
        <v>100630</v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01866885</v>
      </c>
      <c r="E375" s="74" t="str">
        <f t="shared" si="62"/>
        <v>4400836260000</v>
      </c>
      <c r="F375" s="74" t="b">
        <f t="shared" si="63"/>
        <v>0</v>
      </c>
      <c r="G375" s="373">
        <f t="shared" si="64"/>
        <v>43281</v>
      </c>
      <c r="H375" s="74">
        <f>VLOOKUP( $A375, Aop!$A$2:$N$415, 4, 0)</f>
        <v>666</v>
      </c>
      <c r="I375" s="74">
        <f t="shared" si="65"/>
        <v>2018</v>
      </c>
      <c r="J375" s="74"/>
      <c r="K375" s="74"/>
      <c r="L375" s="74">
        <f t="shared" ca="1" si="52"/>
        <v>100630</v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01866885</v>
      </c>
      <c r="E376" s="74" t="str">
        <f t="shared" si="62"/>
        <v>4400836260000</v>
      </c>
      <c r="F376" s="74" t="b">
        <f t="shared" si="63"/>
        <v>0</v>
      </c>
      <c r="G376" s="373">
        <f t="shared" si="64"/>
        <v>43281</v>
      </c>
      <c r="H376" s="74">
        <f>VLOOKUP( $A376, Aop!$A$2:$N$415, 4, 0)</f>
        <v>667</v>
      </c>
      <c r="I376" s="74">
        <f t="shared" si="65"/>
        <v>2018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01866885</v>
      </c>
      <c r="E377" s="74" t="str">
        <f t="shared" si="62"/>
        <v>4400836260000</v>
      </c>
      <c r="F377" s="74" t="b">
        <f t="shared" si="63"/>
        <v>0</v>
      </c>
      <c r="G377" s="373">
        <f t="shared" si="64"/>
        <v>43281</v>
      </c>
      <c r="H377" s="74">
        <f>VLOOKUP( $A377, Aop!$A$2:$N$415, 4, 0)</f>
        <v>668</v>
      </c>
      <c r="I377" s="74">
        <f t="shared" si="65"/>
        <v>2018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01866885</v>
      </c>
      <c r="E378" s="74" t="str">
        <f t="shared" si="62"/>
        <v>4400836260000</v>
      </c>
      <c r="F378" s="74" t="b">
        <f t="shared" si="63"/>
        <v>0</v>
      </c>
      <c r="G378" s="373">
        <f t="shared" si="64"/>
        <v>43281</v>
      </c>
      <c r="H378" s="74">
        <f>VLOOKUP( $A378, Aop!$A$2:$N$415, 4, 0)</f>
        <v>669</v>
      </c>
      <c r="I378" s="74">
        <f t="shared" si="65"/>
        <v>2018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01866885</v>
      </c>
      <c r="E379" s="74" t="str">
        <f t="shared" si="62"/>
        <v>4400836260000</v>
      </c>
      <c r="F379" s="74" t="b">
        <f t="shared" si="63"/>
        <v>0</v>
      </c>
      <c r="G379" s="373">
        <f t="shared" si="64"/>
        <v>43281</v>
      </c>
      <c r="H379" s="74">
        <f>VLOOKUP( $A379, Aop!$A$2:$N$415, 4, 0)</f>
        <v>670</v>
      </c>
      <c r="I379" s="74">
        <f t="shared" si="65"/>
        <v>2018</v>
      </c>
      <c r="J379" s="74"/>
      <c r="K379" s="74"/>
      <c r="L379" s="74">
        <f t="shared" ca="1" si="52"/>
        <v>18672</v>
      </c>
      <c r="M379" s="74">
        <f t="shared" ca="1" si="53"/>
        <v>17870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01866885</v>
      </c>
      <c r="D2" s="79" t="str">
        <f t="shared" ref="D2:D20" si="1">Podatak_JIB</f>
        <v>4400836260000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2018</v>
      </c>
      <c r="H2" s="190">
        <f t="shared" ref="H2:H20" si="4">Datum_Broj</f>
        <v>43281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12058902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351525</v>
      </c>
      <c r="N2" s="74">
        <f t="shared" ref="N2:N20" ca="1" si="10">IF(VLOOKUP($F2,INDIRECT("Lookup_"&amp;$B2),N$1-1,0)="","",VLOOKUP($F2,INDIRECT("Lookup_"&amp;$B2),N$1-1,0))</f>
        <v>1041145</v>
      </c>
      <c r="O2" s="74">
        <f t="shared" ref="O2:O20" ca="1" si="11">IF(VLOOKUP($F2,INDIRECT("Lookup_"&amp;$B2),O$1-1,0)="","",VLOOKUP($F2,INDIRECT("Lookup_"&amp;$B2),O$1-1,0))</f>
        <v>13451572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13451572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01866885</v>
      </c>
      <c r="D3" s="79" t="str">
        <f t="shared" si="1"/>
        <v>4400836260000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2018</v>
      </c>
      <c r="H3" s="190">
        <f t="shared" si="4"/>
        <v>43281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01866885</v>
      </c>
      <c r="D4" s="79" t="str">
        <f t="shared" si="1"/>
        <v>4400836260000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2018</v>
      </c>
      <c r="H4" s="190">
        <f t="shared" si="4"/>
        <v>43281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01866885</v>
      </c>
      <c r="D5" s="79" t="str">
        <f t="shared" si="1"/>
        <v>4400836260000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2018</v>
      </c>
      <c r="H5" s="190">
        <f t="shared" si="4"/>
        <v>43281</v>
      </c>
      <c r="I5" s="79">
        <f t="shared" si="5"/>
        <v>2</v>
      </c>
      <c r="J5" s="74">
        <f t="shared" ca="1" si="6"/>
        <v>12058902</v>
      </c>
      <c r="K5" s="74">
        <f t="shared" ca="1" si="7"/>
        <v>0</v>
      </c>
      <c r="L5" s="74">
        <f t="shared" ca="1" si="8"/>
        <v>0</v>
      </c>
      <c r="M5" s="74">
        <f t="shared" ca="1" si="9"/>
        <v>351525</v>
      </c>
      <c r="N5" s="74">
        <f t="shared" ca="1" si="10"/>
        <v>1041145</v>
      </c>
      <c r="O5" s="74">
        <f t="shared" ca="1" si="11"/>
        <v>13451572</v>
      </c>
      <c r="P5" s="74">
        <f t="shared" ca="1" si="12"/>
        <v>0</v>
      </c>
      <c r="Q5" s="74">
        <f t="shared" ca="1" si="13"/>
        <v>13451572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01866885</v>
      </c>
      <c r="D6" s="79" t="str">
        <f t="shared" si="1"/>
        <v>4400836260000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2018</v>
      </c>
      <c r="H6" s="190">
        <f t="shared" si="4"/>
        <v>43281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01866885</v>
      </c>
      <c r="D7" s="79" t="str">
        <f t="shared" si="1"/>
        <v>4400836260000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2018</v>
      </c>
      <c r="H7" s="190">
        <f t="shared" si="4"/>
        <v>43281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01866885</v>
      </c>
      <c r="D8" s="79" t="str">
        <f t="shared" si="1"/>
        <v>4400836260000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2018</v>
      </c>
      <c r="H8" s="190">
        <f t="shared" si="4"/>
        <v>43281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01866885</v>
      </c>
      <c r="D9" s="79" t="str">
        <f t="shared" si="1"/>
        <v>4400836260000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2018</v>
      </c>
      <c r="H9" s="190">
        <f t="shared" si="4"/>
        <v>43281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465685</v>
      </c>
      <c r="O9" s="74">
        <f t="shared" ca="1" si="11"/>
        <v>465685</v>
      </c>
      <c r="P9" s="74" t="str">
        <f t="shared" ca="1" si="12"/>
        <v/>
      </c>
      <c r="Q9" s="74">
        <f t="shared" ca="1" si="13"/>
        <v>465685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01866885</v>
      </c>
      <c r="D10" s="79" t="str">
        <f t="shared" si="1"/>
        <v>4400836260000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2018</v>
      </c>
      <c r="H10" s="190">
        <f t="shared" si="4"/>
        <v>43281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01866885</v>
      </c>
      <c r="D11" s="79" t="str">
        <f t="shared" si="1"/>
        <v>4400836260000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2018</v>
      </c>
      <c r="H11" s="190">
        <f t="shared" si="4"/>
        <v>43281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-29328</v>
      </c>
      <c r="N11" s="74">
        <f t="shared" ca="1" si="10"/>
        <v>1041145</v>
      </c>
      <c r="O11" s="74">
        <f t="shared" ca="1" si="11"/>
        <v>1011817</v>
      </c>
      <c r="P11" s="74" t="str">
        <f t="shared" ca="1" si="12"/>
        <v/>
      </c>
      <c r="Q11" s="74">
        <f t="shared" ca="1" si="13"/>
        <v>1011817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01866885</v>
      </c>
      <c r="D12" s="79" t="str">
        <f t="shared" si="1"/>
        <v>4400836260000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2018</v>
      </c>
      <c r="H12" s="190">
        <f t="shared" si="4"/>
        <v>43281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01866885</v>
      </c>
      <c r="D13" s="79" t="str">
        <f t="shared" si="1"/>
        <v>4400836260000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2018</v>
      </c>
      <c r="H13" s="190">
        <f t="shared" si="4"/>
        <v>43281</v>
      </c>
      <c r="I13" s="79">
        <f t="shared" si="5"/>
        <v>2</v>
      </c>
      <c r="J13" s="74">
        <f t="shared" ca="1" si="6"/>
        <v>12058902</v>
      </c>
      <c r="K13" s="74">
        <f t="shared" ca="1" si="7"/>
        <v>0</v>
      </c>
      <c r="L13" s="74">
        <f t="shared" ca="1" si="8"/>
        <v>0</v>
      </c>
      <c r="M13" s="74">
        <f t="shared" ca="1" si="9"/>
        <v>380853</v>
      </c>
      <c r="N13" s="74">
        <f t="shared" ca="1" si="10"/>
        <v>465685</v>
      </c>
      <c r="O13" s="74">
        <f t="shared" ca="1" si="11"/>
        <v>12905440</v>
      </c>
      <c r="P13" s="74">
        <f t="shared" ca="1" si="12"/>
        <v>0</v>
      </c>
      <c r="Q13" s="74">
        <f t="shared" ca="1" si="13"/>
        <v>12905440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01866885</v>
      </c>
      <c r="D14" s="79" t="str">
        <f t="shared" si="1"/>
        <v>4400836260000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2018</v>
      </c>
      <c r="H14" s="190">
        <f t="shared" si="4"/>
        <v>43281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01866885</v>
      </c>
      <c r="D15" s="79" t="str">
        <f t="shared" si="1"/>
        <v>4400836260000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2018</v>
      </c>
      <c r="H15" s="190">
        <f t="shared" si="4"/>
        <v>43281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01866885</v>
      </c>
      <c r="D16" s="79" t="str">
        <f t="shared" si="1"/>
        <v>4400836260000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2018</v>
      </c>
      <c r="H16" s="190">
        <f t="shared" si="4"/>
        <v>43281</v>
      </c>
      <c r="I16" s="79">
        <f t="shared" si="5"/>
        <v>2</v>
      </c>
      <c r="J16" s="74">
        <f t="shared" ca="1" si="6"/>
        <v>12058902</v>
      </c>
      <c r="K16" s="74">
        <f t="shared" ca="1" si="7"/>
        <v>0</v>
      </c>
      <c r="L16" s="74">
        <f t="shared" ca="1" si="8"/>
        <v>0</v>
      </c>
      <c r="M16" s="74">
        <f t="shared" ca="1" si="9"/>
        <v>380853</v>
      </c>
      <c r="N16" s="74">
        <f t="shared" ca="1" si="10"/>
        <v>465685</v>
      </c>
      <c r="O16" s="74">
        <f t="shared" ca="1" si="11"/>
        <v>12905440</v>
      </c>
      <c r="P16" s="74">
        <f t="shared" ca="1" si="12"/>
        <v>0</v>
      </c>
      <c r="Q16" s="74">
        <f t="shared" ca="1" si="13"/>
        <v>12905440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01866885</v>
      </c>
      <c r="D17" s="79" t="str">
        <f t="shared" si="1"/>
        <v>4400836260000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2018</v>
      </c>
      <c r="H17" s="190">
        <f t="shared" si="4"/>
        <v>43281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01866885</v>
      </c>
      <c r="D18" s="79" t="str">
        <f t="shared" si="1"/>
        <v>4400836260000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2018</v>
      </c>
      <c r="H18" s="190">
        <f t="shared" si="4"/>
        <v>43281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01866885</v>
      </c>
      <c r="D19" s="79" t="str">
        <f t="shared" si="1"/>
        <v>4400836260000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2018</v>
      </c>
      <c r="H19" s="190">
        <f t="shared" si="4"/>
        <v>43281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01866885</v>
      </c>
      <c r="D20" s="79" t="str">
        <f t="shared" si="1"/>
        <v>4400836260000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2018</v>
      </c>
      <c r="H20" s="190">
        <f t="shared" si="4"/>
        <v>43281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216832</v>
      </c>
      <c r="O20" s="74">
        <f t="shared" ca="1" si="11"/>
        <v>216832</v>
      </c>
      <c r="P20" s="74" t="str">
        <f t="shared" ca="1" si="12"/>
        <v/>
      </c>
      <c r="Q20" s="74">
        <f t="shared" ca="1" si="13"/>
        <v>216832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01866885</v>
      </c>
      <c r="D21" s="74" t="str">
        <f>Podatak_JIB</f>
        <v>4400836260000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2018</v>
      </c>
      <c r="H21" s="373">
        <f>Datum_Broj</f>
        <v>43281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01866885</v>
      </c>
      <c r="D22" s="74" t="str">
        <f>Podatak_JIB</f>
        <v>4400836260000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2018</v>
      </c>
      <c r="H22" s="373">
        <f>Datum_Broj</f>
        <v>43281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>
        <f t="shared" ca="1" si="17"/>
        <v>-23284</v>
      </c>
      <c r="N22" s="74">
        <f t="shared" ca="1" si="18"/>
        <v>23284</v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01866885</v>
      </c>
      <c r="D23" s="74" t="str">
        <f>Podatak_JIB</f>
        <v>4400836260000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2018</v>
      </c>
      <c r="H23" s="373">
        <f>Datum_Broj</f>
        <v>43281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01866885</v>
      </c>
      <c r="D24" s="74" t="str">
        <f>Podatak_JIB</f>
        <v>4400836260000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2018</v>
      </c>
      <c r="H24" s="373">
        <f>Datum_Broj</f>
        <v>43281</v>
      </c>
      <c r="I24" s="74">
        <f>ID_Izvjestaj</f>
        <v>2</v>
      </c>
      <c r="J24" s="74">
        <f t="shared" ca="1" si="14"/>
        <v>12058902</v>
      </c>
      <c r="K24" s="74">
        <f t="shared" ca="1" si="15"/>
        <v>0</v>
      </c>
      <c r="L24" s="74">
        <f t="shared" ca="1" si="16"/>
        <v>0</v>
      </c>
      <c r="M24" s="74">
        <f t="shared" ca="1" si="17"/>
        <v>404137</v>
      </c>
      <c r="N24" s="74">
        <f t="shared" ca="1" si="18"/>
        <v>659233</v>
      </c>
      <c r="O24" s="74">
        <f t="shared" ca="1" si="19"/>
        <v>13122272</v>
      </c>
      <c r="P24" s="74">
        <f t="shared" ca="1" si="20"/>
        <v>0</v>
      </c>
      <c r="Q24" s="74">
        <f t="shared" ca="1" si="21"/>
        <v>13122272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382" activePane="bottomLeft" state="frozen"/>
      <selection pane="bottomLeft" activeCell="B2" sqref="B2:K40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14981249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2630670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12350579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12083000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5613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3944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1669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1393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5613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3944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1669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1393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11873285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2626726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9246559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8979256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1289780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1289780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1289780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5398993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1327248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4071745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3254263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795933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648536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147397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103907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1818467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648961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1169506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2029306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2570112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1981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2568131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2302000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3102351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3102351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3102351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3100000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3100000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3100000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2351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2351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2351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1632215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9635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1622580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1641306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216898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216898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322564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3522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3522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200381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200381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8246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12995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12995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314318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1415317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9635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1405682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1318742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510883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9635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501248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362913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213666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9635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204031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212157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108412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108412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188805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188805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150647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866918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866918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952868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866918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866918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952868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35034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35034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2482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2482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2889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16613464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2640305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13973159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13724306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16613464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2640305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13973159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13724306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16613464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2640305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13973159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13724306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13122272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12905440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12058902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12058902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6990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6990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397147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373863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397147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373863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659233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465685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442401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216832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465685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5366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8511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5366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8511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845521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810355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845521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810355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111538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81326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22861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24298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88675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56761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267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28154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676635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675155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16240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4740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6593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17038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7062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8890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10799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10799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13973159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13724306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13973159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13724306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794179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560215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208221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2621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100009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2621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108212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366432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314711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366432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314711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219526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242883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617264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372274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207506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798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73463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79595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154008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154041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141488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130330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12520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23711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43719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24601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57473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68235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57473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68235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62650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33704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18313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11170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176915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187941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62266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62898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62256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62637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261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239181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250837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5530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19063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682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1672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609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4848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16782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3786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7903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372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3414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7903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1744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11160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1841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240925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259997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24093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27088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216832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232909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861975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642176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621050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382179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216832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232909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216832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232909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871236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726547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524336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370092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346900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356455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733555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877805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372152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587975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136867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136812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34535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43627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190001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109391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137681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151258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23506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1125752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23506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15752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1110000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245139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11651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245139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11651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1114101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221633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1998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604826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1998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604826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1998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604826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894742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1852299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980692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1494282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358017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85950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952868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366312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866918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724329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35986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2621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64023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351106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251769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15326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28324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219526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242883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219526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242883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682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1672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79595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39136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24696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154041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14925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14925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757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43718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24600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4608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4354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21510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6334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6448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921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11152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12991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80963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44874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42361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13296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14560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6937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2679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748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1757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3390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5434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314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222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18313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11170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8900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10316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120426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104550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149604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27356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20566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35032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100630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100630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18672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17870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351525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1041145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13451572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13451572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351525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1041145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13451572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13451572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465685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465685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465685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-29328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1041145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1011817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1011817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380853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465685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12905440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12905440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380853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465685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12905440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12905440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216832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216832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216832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-23284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23284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12058902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404137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659233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13122272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13122272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31" activePane="bottomLeft" state="frozen"/>
      <selection activeCell="A5" sqref="A5"/>
      <selection pane="bottomLeft" activeCell="J15" sqref="J15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2018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01.01.2018.</v>
      </c>
      <c r="AB8" s="133" t="str">
        <f>IF(Y8, IF( Z8, AA8, Kontrola_Neispravno), Kontrola_Obavezno)</f>
        <v>01.01.2018.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30</v>
      </c>
      <c r="E10" s="386"/>
      <c r="F10" s="60"/>
      <c r="G10" s="385">
        <v>6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30.06.2018.</v>
      </c>
      <c r="AB10" s="133" t="str">
        <f>IF(Y10, IF( Z10, AA10, Kontrola_Neispravno), Kontrola_Obavezno)</f>
        <v>30.06.2018.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8</v>
      </c>
      <c r="G15" s="124">
        <v>6</v>
      </c>
      <c r="H15" s="124">
        <v>6</v>
      </c>
      <c r="I15" s="124">
        <v>8</v>
      </c>
      <c r="J15" s="124">
        <v>8</v>
      </c>
      <c r="K15" s="124">
        <v>5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01866885</v>
      </c>
      <c r="AB15" s="133" t="str">
        <f>IF(Y15, IF( Z15, AA15, Kontrola_Neispravno), Kontrola_Obavezno)</f>
        <v>01866885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5</v>
      </c>
      <c r="E17" s="124">
        <v>5</v>
      </c>
      <c r="F17" s="128" t="s">
        <v>734</v>
      </c>
      <c r="G17" s="124">
        <v>1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55.10</v>
      </c>
      <c r="AB17" s="133" t="str">
        <f>IF(Y17, IF( Z17, AA17, Kontrola_Neispravno), Kontrola_Obavezno)</f>
        <v>55.10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HOTEL PALAS A.D.</v>
      </c>
      <c r="AB20" s="135" t="str">
        <f>IF(Y20, IF( Z20, AA20, Kontrola_Neispravno), Kontrola_Obavezno)</f>
        <v>HOTEL PALAS 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2"/>
      <c r="F22" s="402"/>
      <c r="G22" s="402"/>
      <c r="H22" s="402"/>
      <c r="I22" s="402"/>
      <c r="J22" s="402"/>
      <c r="K22" s="402"/>
      <c r="L22" s="402"/>
      <c r="M22" s="402"/>
      <c r="N22" s="402"/>
      <c r="O22" s="402"/>
      <c r="P22" s="402"/>
      <c r="Q22" s="402"/>
      <c r="R22" s="402"/>
      <c r="S22" s="402"/>
      <c r="T22" s="402"/>
      <c r="U22" s="402"/>
      <c r="V22" s="402"/>
      <c r="Y22" s="16" t="b">
        <f>LEN(AA22) &gt; 0</f>
        <v>1</v>
      </c>
      <c r="Z22" s="16" t="b">
        <v>1</v>
      </c>
      <c r="AA22" s="137" t="str">
        <f>CONCATENATE( D22)</f>
        <v>BANJA LUKA</v>
      </c>
      <c r="AB22" s="133" t="str">
        <f>IF(Y22, IF( Z22, AA22, Kontrola_Neispravno), Kontrola_Obavezno)</f>
        <v>BANJA LUKA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8</v>
      </c>
      <c r="I24" s="193">
        <v>3</v>
      </c>
      <c r="J24" s="124">
        <v>6</v>
      </c>
      <c r="K24" s="192">
        <v>2</v>
      </c>
      <c r="L24" s="193">
        <v>6</v>
      </c>
      <c r="M24" s="192">
        <v>0</v>
      </c>
      <c r="N24" s="193">
        <v>0</v>
      </c>
      <c r="O24" s="192">
        <v>0</v>
      </c>
      <c r="P24" s="193">
        <v>0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4400836260000</v>
      </c>
      <c r="AB24" s="133" t="str">
        <f>IF(Y24, IF( Z24, AA24, Kontrola_Neispravno), Kontrola_Obavezno)</f>
        <v>4400836260000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7</v>
      </c>
      <c r="G27" s="125" t="s">
        <v>733</v>
      </c>
      <c r="H27" s="124">
        <v>1</v>
      </c>
      <c r="I27" s="124">
        <v>6</v>
      </c>
      <c r="J27" s="124">
        <v>2</v>
      </c>
      <c r="K27" s="125" t="s">
        <v>733</v>
      </c>
      <c r="L27" s="124">
        <v>1</v>
      </c>
      <c r="M27" s="124">
        <v>1</v>
      </c>
      <c r="N27" s="124">
        <v>0</v>
      </c>
      <c r="O27" s="124">
        <v>0</v>
      </c>
      <c r="P27" s="124">
        <v>0</v>
      </c>
      <c r="Q27" s="124">
        <v>6</v>
      </c>
      <c r="R27" s="124">
        <v>6</v>
      </c>
      <c r="S27" s="124">
        <v>2</v>
      </c>
      <c r="T27" s="60" t="s">
        <v>733</v>
      </c>
      <c r="U27" s="124">
        <v>8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5671621100066281</v>
      </c>
      <c r="AB27" s="133" t="str">
        <f>IF(Y27, IF( Z27, CONCATENATE( D27, E27, F27, G27, H27, I27, J27, K27, L27, M27, N27, O27, P27, Q27, R27, S27, T27, U27, V27), Kontrola_Neispravno), Kontrola_Obavezno)</f>
        <v>567-162-11000662-81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9</v>
      </c>
      <c r="J29" s="124">
        <v>9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4</v>
      </c>
      <c r="Q29" s="124">
        <v>2</v>
      </c>
      <c r="R29" s="124">
        <v>5</v>
      </c>
      <c r="S29" s="124">
        <v>4</v>
      </c>
      <c r="T29" s="60" t="s">
        <v>733</v>
      </c>
      <c r="U29" s="124">
        <v>5</v>
      </c>
      <c r="V29" s="124">
        <v>1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5620990000425451</v>
      </c>
      <c r="AB29" s="133" t="str">
        <f>IF( LEN(AA29) = 0, "", IF( AND( LEN(AA29) = 16, Z29), CONCATENATE( D29, E29, F29, G29, H29, I29, J29, K29, L29, M29, N29, O29, P29, Q29, R29, S29, T29, U29, V29), Kontrola_Neispravno))</f>
        <v>562-099-00004254-51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1</v>
      </c>
      <c r="G31" s="125" t="s">
        <v>733</v>
      </c>
      <c r="H31" s="124">
        <v>0</v>
      </c>
      <c r="I31" s="124">
        <v>0</v>
      </c>
      <c r="J31" s="124">
        <v>1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3</v>
      </c>
      <c r="Q31" s="124">
        <v>5</v>
      </c>
      <c r="R31" s="124">
        <v>0</v>
      </c>
      <c r="S31" s="124">
        <v>7</v>
      </c>
      <c r="T31" s="60" t="s">
        <v>733</v>
      </c>
      <c r="U31" s="124">
        <v>8</v>
      </c>
      <c r="V31" s="124">
        <v>1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5510010000350781</v>
      </c>
      <c r="AB31" s="133" t="str">
        <f>IF( LEN(AA31) = 0, "", IF( AND( LEN(AA31) = 16, Z31), CONCATENATE( D31, E31, F31, G31, H31, I31, J31, K31, L31, M31, N31, O31, P31, Q31, R31, S31, T31, U31, V31), Kontrola_Neispravno))</f>
        <v>551-001-00003507-81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1</v>
      </c>
      <c r="E33" s="124">
        <v>6</v>
      </c>
      <c r="F33" s="124">
        <v>1</v>
      </c>
      <c r="G33" s="125" t="s">
        <v>733</v>
      </c>
      <c r="H33" s="124">
        <v>0</v>
      </c>
      <c r="I33" s="124">
        <v>4</v>
      </c>
      <c r="J33" s="124">
        <v>5</v>
      </c>
      <c r="K33" s="125" t="s">
        <v>733</v>
      </c>
      <c r="L33" s="124">
        <v>0</v>
      </c>
      <c r="M33" s="124">
        <v>0</v>
      </c>
      <c r="N33" s="124">
        <v>0</v>
      </c>
      <c r="O33" s="124">
        <v>1</v>
      </c>
      <c r="P33" s="124">
        <v>5</v>
      </c>
      <c r="Q33" s="124">
        <v>6</v>
      </c>
      <c r="R33" s="124">
        <v>0</v>
      </c>
      <c r="S33" s="124">
        <v>0</v>
      </c>
      <c r="T33" s="60" t="s">
        <v>733</v>
      </c>
      <c r="U33" s="124">
        <v>8</v>
      </c>
      <c r="V33" s="124">
        <v>8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1610450001560088</v>
      </c>
      <c r="AB33" s="133" t="str">
        <f>IF( LEN(AA33) = 0, "", IF( AND( LEN(AA33) = 16, Z33), CONCATENATE( D33, E33, F33, G33, H33, I33, J33, K33, L33, M33, N33, O33, P33, Q33, R33, S33, T33, U33, V33), Kontrola_Neispravno))</f>
        <v>161-045-00015600-88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Y40" s="16" t="b">
        <f>LEN(AA40) &gt; 0</f>
        <v>1</v>
      </c>
      <c r="Z40" s="16" t="b">
        <v>1</v>
      </c>
      <c r="AA40" s="137" t="str">
        <f>CONCATENATE( D40)</f>
        <v>BANJA LUCI</v>
      </c>
      <c r="AB40" s="135" t="str">
        <f>IF(Y40, IF( Z40, AA40, Kontrola_Neispravno), Kontrola_Obavezno)</f>
        <v>BANJA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31</v>
      </c>
      <c r="E43" s="400"/>
      <c r="F43" s="60"/>
      <c r="G43" s="398">
        <v>7</v>
      </c>
      <c r="H43" s="400"/>
      <c r="I43" s="60"/>
      <c r="J43" s="398">
        <v>2018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31.07.2018.</v>
      </c>
      <c r="AB43" s="135" t="str">
        <f>IF(Y43, IF( Z43, AA43, Kontrola_Neispravno), Kontrola_Obavezno)</f>
        <v>31.07.2018.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2"/>
      <c r="U45" s="402"/>
      <c r="V45" s="402"/>
      <c r="Y45" s="16" t="b">
        <f>LEN(AA45) &gt; 0</f>
        <v>1</v>
      </c>
      <c r="Z45" s="16" t="b">
        <v>1</v>
      </c>
      <c r="AA45" s="137" t="str">
        <f>CONCATENATE( D45)</f>
        <v>BILJANA RADULJ</v>
      </c>
      <c r="AB45" s="135" t="str">
        <f>IF(Y45, IF( Z45, AA45, Kontrola_Neispravno), Kontrola_Obavezno)</f>
        <v>BILJANA RADULJ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2053</v>
      </c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Y47" s="16" t="b">
        <f>LEN(AA47) &gt; 0</f>
        <v>1</v>
      </c>
      <c r="Z47" s="16" t="b">
        <v>1</v>
      </c>
      <c r="AA47" s="137" t="str">
        <f>CONCATENATE( D47)</f>
        <v>SR-1360/18</v>
      </c>
      <c r="AB47" s="135" t="str">
        <f>IF(Y47, IF( Z47, AA47, Kontrola_Neispravno), Kontrola_Obavezno)</f>
        <v>SR-1360/18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2054</v>
      </c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Y49" s="16" t="b">
        <f>LEN(AA49) &gt; 0</f>
        <v>1</v>
      </c>
      <c r="Z49" s="16" t="b">
        <v>1</v>
      </c>
      <c r="AA49" s="137" t="str">
        <f>CONCATENATE( D49)</f>
        <v>MILINKO KLINCOV</v>
      </c>
      <c r="AB49" s="135" t="str">
        <f>IF(Y49, IF( Z49, AA49, Kontrola_Neispravno), Kontrola_Obavezno)</f>
        <v>MILINKO KLINCOV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2055</v>
      </c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Y52" s="16" t="b">
        <f>LEN(AA52) &gt; 0</f>
        <v>1</v>
      </c>
      <c r="Z52" s="16" t="b">
        <v>1</v>
      </c>
      <c r="AA52" s="137" t="str">
        <f>CONCATENATE( D52)</f>
        <v>KRALJA PETRA I KARAĐORĐEVIĆA 60</v>
      </c>
      <c r="AB52" s="135" t="str">
        <f>IF(Y52, IF( Z52, AA52, Kontrola_Neispravno), Kontrola_Obavezno)</f>
        <v>KRALJA PETRA I KARAĐORĐEVIĆA 60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 t="s">
        <v>2056</v>
      </c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Y54" s="16" t="b">
        <f>LEN(AA54) &gt;= 0</f>
        <v>1</v>
      </c>
      <c r="Z54" s="16" t="b">
        <v>1</v>
      </c>
      <c r="AA54" s="137" t="str">
        <f>CONCATENATE( D54)</f>
        <v>www.hotelpalasbl.com</v>
      </c>
      <c r="AB54" s="135" t="str">
        <f>IF(Y54, IF( Z54, AA54, Kontrola_Neispravno), Kontrola_Obavezno)</f>
        <v>www.hotelpalasbl.com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2057</v>
      </c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Y56" s="16" t="b">
        <f>LEN(AA56) &gt; 0</f>
        <v>1</v>
      </c>
      <c r="Z56" s="16" t="b">
        <v>1</v>
      </c>
      <c r="AA56" s="137" t="str">
        <f>CONCATENATE(D56)</f>
        <v>racunovodstvo@hotelpalasbl.com</v>
      </c>
      <c r="AB56" s="135" t="str">
        <f>IF(Y56, IF( Z56, AA56, Kontrola_Neispravno), Kontrola_Obavezno)</f>
        <v>racunovodstvo@hotelpalasbl.com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2</v>
      </c>
      <c r="I58" s="124">
        <v>2</v>
      </c>
      <c r="J58" s="124">
        <v>3</v>
      </c>
      <c r="K58" s="60" t="s">
        <v>733</v>
      </c>
      <c r="L58" s="124">
        <v>0</v>
      </c>
      <c r="M58" s="124">
        <v>4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051-223-040</v>
      </c>
      <c r="AB58" s="135" t="str">
        <f>IF(Y58, IF( Z58, AA58, Kontrola_Neispravno), Kontrola_Obavezno)</f>
        <v>051-223-040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2</v>
      </c>
      <c r="I60" s="124">
        <v>2</v>
      </c>
      <c r="J60" s="124">
        <v>3</v>
      </c>
      <c r="K60" s="60" t="s">
        <v>733</v>
      </c>
      <c r="L60" s="124">
        <v>0</v>
      </c>
      <c r="M60" s="124">
        <v>4</v>
      </c>
      <c r="N60" s="124">
        <v>1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051-223-041</v>
      </c>
      <c r="AB60" s="135" t="str">
        <f>IF(Y60, IF( Z60, AA60, Kontrola_Neispravno), Kontrola_Obavezno)</f>
        <v>051-223-041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403"/>
      <c r="Q70" s="403"/>
      <c r="R70" s="403"/>
      <c r="S70" s="403"/>
      <c r="T70" s="403"/>
      <c r="U70" s="403"/>
      <c r="V70" s="403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2"/>
      <c r="E82" s="402"/>
      <c r="F82" s="402"/>
      <c r="G82" s="402"/>
      <c r="H82" s="402"/>
      <c r="I82" s="402"/>
      <c r="J82" s="402"/>
      <c r="K82" s="402"/>
      <c r="L82" s="402"/>
      <c r="M82" s="402"/>
      <c r="N82" s="402"/>
      <c r="O82" s="402"/>
      <c r="P82" s="402"/>
      <c r="Q82" s="402"/>
      <c r="R82" s="402"/>
      <c r="S82" s="402"/>
      <c r="T82" s="402"/>
      <c r="U82" s="402"/>
      <c r="V82" s="402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2"/>
      <c r="E84" s="402"/>
      <c r="F84" s="402"/>
      <c r="G84" s="402"/>
      <c r="H84" s="402"/>
      <c r="I84" s="402"/>
      <c r="J84" s="402"/>
      <c r="K84" s="402"/>
      <c r="L84" s="402"/>
      <c r="M84" s="402"/>
      <c r="N84" s="402"/>
      <c r="O84" s="402"/>
      <c r="P84" s="402"/>
      <c r="Q84" s="402"/>
      <c r="R84" s="402"/>
      <c r="S84" s="402"/>
      <c r="T84" s="402"/>
      <c r="U84" s="402"/>
      <c r="V84" s="402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2"/>
      <c r="E92" s="402"/>
      <c r="F92" s="402"/>
      <c r="G92" s="402"/>
      <c r="H92" s="402"/>
      <c r="I92" s="402"/>
      <c r="J92" s="402"/>
      <c r="K92" s="402"/>
      <c r="L92" s="402"/>
      <c r="M92" s="402"/>
      <c r="N92" s="402"/>
      <c r="O92" s="402"/>
      <c r="P92" s="402"/>
      <c r="Q92" s="402"/>
      <c r="R92" s="402"/>
      <c r="S92" s="402"/>
      <c r="T92" s="402"/>
      <c r="U92" s="402"/>
      <c r="V92" s="402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2"/>
      <c r="E94" s="402"/>
      <c r="F94" s="402"/>
      <c r="G94" s="402"/>
      <c r="H94" s="402"/>
      <c r="I94" s="402"/>
      <c r="J94" s="402"/>
      <c r="K94" s="402"/>
      <c r="L94" s="402"/>
      <c r="M94" s="402"/>
      <c r="N94" s="402"/>
      <c r="O94" s="402"/>
      <c r="P94" s="402"/>
      <c r="Q94" s="402"/>
      <c r="R94" s="402"/>
      <c r="S94" s="402"/>
      <c r="T94" s="402"/>
      <c r="U94" s="402"/>
      <c r="V94" s="402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2"/>
      <c r="E102" s="402"/>
      <c r="F102" s="402"/>
      <c r="G102" s="402"/>
      <c r="H102" s="402"/>
      <c r="I102" s="402"/>
      <c r="J102" s="402"/>
      <c r="K102" s="402"/>
      <c r="L102" s="402"/>
      <c r="M102" s="402"/>
      <c r="N102" s="402"/>
      <c r="O102" s="402"/>
      <c r="P102" s="402"/>
      <c r="Q102" s="402"/>
      <c r="R102" s="402"/>
      <c r="S102" s="402"/>
      <c r="T102" s="402"/>
      <c r="U102" s="402"/>
      <c r="V102" s="402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402"/>
      <c r="P104" s="402"/>
      <c r="Q104" s="402"/>
      <c r="R104" s="402"/>
      <c r="S104" s="402"/>
      <c r="T104" s="402"/>
      <c r="U104" s="402"/>
      <c r="V104" s="402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2"/>
      <c r="E112" s="402"/>
      <c r="F112" s="402"/>
      <c r="G112" s="402"/>
      <c r="H112" s="402"/>
      <c r="I112" s="402"/>
      <c r="J112" s="402"/>
      <c r="K112" s="402"/>
      <c r="L112" s="402"/>
      <c r="M112" s="402"/>
      <c r="N112" s="402"/>
      <c r="O112" s="402"/>
      <c r="P112" s="402"/>
      <c r="Q112" s="402"/>
      <c r="R112" s="402"/>
      <c r="S112" s="402"/>
      <c r="T112" s="402"/>
      <c r="U112" s="402"/>
      <c r="V112" s="402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2"/>
      <c r="E114" s="402"/>
      <c r="F114" s="402"/>
      <c r="G114" s="402"/>
      <c r="H114" s="402"/>
      <c r="I114" s="402"/>
      <c r="J114" s="402"/>
      <c r="K114" s="402"/>
      <c r="L114" s="402"/>
      <c r="M114" s="402"/>
      <c r="N114" s="402"/>
      <c r="O114" s="402"/>
      <c r="P114" s="402"/>
      <c r="Q114" s="402"/>
      <c r="R114" s="402"/>
      <c r="S114" s="402"/>
      <c r="T114" s="402"/>
      <c r="U114" s="402"/>
      <c r="V114" s="402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2"/>
      <c r="E122" s="402"/>
      <c r="F122" s="402"/>
      <c r="G122" s="402"/>
      <c r="H122" s="402"/>
      <c r="I122" s="402"/>
      <c r="J122" s="402"/>
      <c r="K122" s="402"/>
      <c r="L122" s="402"/>
      <c r="M122" s="402"/>
      <c r="N122" s="402"/>
      <c r="O122" s="402"/>
      <c r="P122" s="402"/>
      <c r="Q122" s="402"/>
      <c r="R122" s="402"/>
      <c r="S122" s="402"/>
      <c r="T122" s="402"/>
      <c r="U122" s="402"/>
      <c r="V122" s="402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2"/>
      <c r="E124" s="402"/>
      <c r="F124" s="402"/>
      <c r="G124" s="402"/>
      <c r="H124" s="402"/>
      <c r="I124" s="402"/>
      <c r="J124" s="402"/>
      <c r="K124" s="402"/>
      <c r="L124" s="402"/>
      <c r="M124" s="402"/>
      <c r="N124" s="402"/>
      <c r="O124" s="402"/>
      <c r="P124" s="402"/>
      <c r="Q124" s="402"/>
      <c r="R124" s="402"/>
      <c r="S124" s="402"/>
      <c r="T124" s="402"/>
      <c r="U124" s="402"/>
      <c r="V124" s="402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12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3" t="str">
        <f>Podatak_MB</f>
        <v>01866885</v>
      </c>
      <c r="E5" s="453"/>
      <c r="F5" s="173"/>
      <c r="G5" s="173"/>
      <c r="H5" s="173"/>
      <c r="I5" s="173"/>
      <c r="J5" s="173"/>
      <c r="K5" s="174" t="str">
        <f>Zaglavlje_Ziro_racun</f>
        <v>Poslovni računi:</v>
      </c>
      <c r="L5" s="451" t="str">
        <f>Podatak_Ziro_racun_1</f>
        <v>567-162-11000662-81</v>
      </c>
      <c r="M5" s="451"/>
    </row>
    <row r="6" spans="1:13" x14ac:dyDescent="0.2">
      <c r="A6" s="15"/>
      <c r="B6" s="15"/>
      <c r="C6" s="172" t="str">
        <f>Zaglavlje_Sifra_djelatnosti</f>
        <v>Šifra djelatnosti:</v>
      </c>
      <c r="D6" s="453" t="str">
        <f>Podatak_Sifra_djelatnosti</f>
        <v>55.10</v>
      </c>
      <c r="E6" s="453"/>
      <c r="F6" s="175"/>
      <c r="G6" s="173"/>
      <c r="H6" s="173"/>
      <c r="I6" s="173"/>
      <c r="J6" s="173"/>
      <c r="K6" s="173"/>
      <c r="L6" s="451" t="str">
        <f>Podatak_Ziro_racun_2</f>
        <v>562-099-00004254-51</v>
      </c>
      <c r="M6" s="451"/>
    </row>
    <row r="7" spans="1:13" x14ac:dyDescent="0.2">
      <c r="A7" s="18"/>
      <c r="B7" s="18"/>
      <c r="C7" s="444" t="str">
        <f>Zaglavlje_Naziv_preduzeca</f>
        <v>Naziv privrednog društva, zadruge, drugog pravnog lica ili preduzetnika:</v>
      </c>
      <c r="D7" s="444"/>
      <c r="E7" s="444"/>
      <c r="F7" s="176"/>
      <c r="G7" s="173"/>
      <c r="H7" s="173"/>
      <c r="I7" s="173"/>
      <c r="J7" s="173"/>
      <c r="K7" s="173"/>
      <c r="L7" s="451" t="str">
        <f>Podatak_Ziro_racun_3</f>
        <v>551-001-00003507-81</v>
      </c>
      <c r="M7" s="451"/>
    </row>
    <row r="8" spans="1:13" x14ac:dyDescent="0.2">
      <c r="A8" s="18"/>
      <c r="B8" s="18"/>
      <c r="C8" s="444"/>
      <c r="D8" s="444"/>
      <c r="E8" s="444"/>
      <c r="F8" s="176"/>
      <c r="G8" s="173"/>
      <c r="H8" s="173"/>
      <c r="I8" s="173"/>
      <c r="J8" s="173"/>
      <c r="K8" s="173"/>
      <c r="L8" s="451" t="str">
        <f>Podatak_Ziro_racun_4</f>
        <v>161-045-00015600-88</v>
      </c>
      <c r="M8" s="451"/>
    </row>
    <row r="9" spans="1:13" x14ac:dyDescent="0.2">
      <c r="A9" s="15"/>
      <c r="B9" s="15"/>
      <c r="C9" s="457" t="str">
        <f>Podatak_Naziv_preduzeca</f>
        <v>HOTEL PALAS A.D.</v>
      </c>
      <c r="D9" s="457"/>
      <c r="E9" s="457"/>
      <c r="F9" s="457"/>
      <c r="G9" s="173"/>
      <c r="H9" s="173"/>
      <c r="I9" s="173"/>
      <c r="J9" s="173"/>
      <c r="K9" s="173"/>
      <c r="L9" s="451" t="str">
        <f>Podatak_Ziro_racun_5</f>
        <v/>
      </c>
      <c r="M9" s="451"/>
    </row>
    <row r="10" spans="1:13" x14ac:dyDescent="0.2">
      <c r="A10" s="15"/>
      <c r="B10" s="15"/>
      <c r="C10" s="172" t="str">
        <f>Zaglavlje_Sjediste</f>
        <v>Sjedište:</v>
      </c>
      <c r="D10" s="453" t="str">
        <f>Podatak_Sjediste</f>
        <v>BANJA LUKA</v>
      </c>
      <c r="E10" s="453"/>
      <c r="F10" s="172"/>
      <c r="G10" s="173"/>
      <c r="H10" s="173"/>
      <c r="I10" s="173"/>
      <c r="J10" s="173"/>
      <c r="K10" s="173"/>
      <c r="L10" s="451" t="str">
        <f>Podatak_Ziro_racun_6</f>
        <v/>
      </c>
      <c r="M10" s="451"/>
    </row>
    <row r="11" spans="1:13" x14ac:dyDescent="0.2">
      <c r="C11" s="172" t="str">
        <f>Zaglavlje_JIB</f>
        <v>JIB:</v>
      </c>
      <c r="D11" s="453" t="str">
        <f>Podatak_JIB</f>
        <v>4400836260000</v>
      </c>
      <c r="E11" s="45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8" t="str">
        <f>IF( Id_Konsolidovani, Nazivi_bilansa_Konsolidovani_naziv &amp; LOWER( Nazivi_bilansa_BS), Nazivi_bilansa_BS)</f>
        <v>Bilans stanja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</row>
    <row r="13" spans="1:13" x14ac:dyDescent="0.2">
      <c r="C13" s="455" t="str">
        <f>Nazivi_bilansa_BS1</f>
        <v>(Izvještaj o finansijskom položaju)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</row>
    <row r="14" spans="1:13" x14ac:dyDescent="0.2">
      <c r="C14" s="455" t="str">
        <f>Datumi_Datum_BS</f>
        <v>na dan 30.06.2018. godine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6" t="str">
        <f>Tabele_zaglavlje_Grupa_racuna</f>
        <v>Grupa računa, račun</v>
      </c>
      <c r="D16" s="445" t="str">
        <f>Tabele_zaglavlje_Pozicija</f>
        <v>POZICIJA</v>
      </c>
      <c r="E16" s="446"/>
      <c r="F16" s="446"/>
      <c r="G16" s="446"/>
      <c r="H16" s="447"/>
      <c r="I16" s="408" t="str">
        <f>Tabele_zaglavlje_Oznaka_aop</f>
        <v>Oznaka za AOP</v>
      </c>
      <c r="J16" s="454" t="str">
        <f>Tabele_zaglavlje_BS_iznos_tekuca</f>
        <v>Iznos na dan bilansa tekuće godine</v>
      </c>
      <c r="K16" s="454"/>
      <c r="L16" s="454"/>
      <c r="M16" s="452" t="str">
        <f>Tabele_zaglavlje_BS_iznos_prethodna</f>
        <v>Iznos na dan bilansa prethodne godine (PS)</v>
      </c>
    </row>
    <row r="17" spans="2:15" ht="38.25" customHeight="1" x14ac:dyDescent="0.2">
      <c r="C17" s="407"/>
      <c r="D17" s="448"/>
      <c r="E17" s="449"/>
      <c r="F17" s="449"/>
      <c r="G17" s="449"/>
      <c r="H17" s="450"/>
      <c r="I17" s="40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3"/>
      <c r="O17" s="185" t="s">
        <v>824</v>
      </c>
    </row>
    <row r="18" spans="2:15" x14ac:dyDescent="0.2">
      <c r="B18" s="17" t="s">
        <v>408</v>
      </c>
      <c r="C18" s="26">
        <v>1</v>
      </c>
      <c r="D18" s="404">
        <v>2</v>
      </c>
      <c r="E18" s="420"/>
      <c r="F18" s="420"/>
      <c r="G18" s="420"/>
      <c r="H18" s="40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6" t="str">
        <f>VLOOKUP( $B19, T_Aop[], 6, 1)</f>
        <v>AKTIVA</v>
      </c>
      <c r="E19" s="456"/>
      <c r="F19" s="456"/>
      <c r="G19" s="456"/>
      <c r="H19" s="456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9" t="str">
        <f>VLOOKUP( $B20, T_Aop[], 6, 1)</f>
        <v xml:space="preserve">  A. STALNA SREDSTVA (002 + 008 + 015 + 021 + 030)</v>
      </c>
      <c r="E20" s="430"/>
      <c r="F20" s="430"/>
      <c r="G20" s="430"/>
      <c r="H20" s="431"/>
      <c r="I20" s="235">
        <f>VLOOKUP( $B20, T_Aop[], 4, 1)</f>
        <v>1</v>
      </c>
      <c r="J20" s="32">
        <f>SUBTOTAL( 9, J21:J49)</f>
        <v>14981249</v>
      </c>
      <c r="K20" s="32">
        <f>SUBTOTAL( 9, K21:K49)</f>
        <v>2630670</v>
      </c>
      <c r="L20" s="33">
        <f>SUM(J20,-K20)</f>
        <v>12350579</v>
      </c>
      <c r="M20" s="34">
        <f>SUBTOTAL( 9, M21:M49)</f>
        <v>12083000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1" t="str">
        <f>VLOOKUP( $B21, T_Aop[], 6, 1)</f>
        <v xml:space="preserve">    I - NEMATERIJALNA SREDSTVA (003 do 007)</v>
      </c>
      <c r="E21" s="422"/>
      <c r="F21" s="422"/>
      <c r="G21" s="422"/>
      <c r="H21" s="423"/>
      <c r="I21" s="237">
        <f>VLOOKUP( $B21, T_Aop[], 4, 1)</f>
        <v>2</v>
      </c>
      <c r="J21" s="35">
        <f>SUBTOTAL(9,J22:J26)</f>
        <v>5613</v>
      </c>
      <c r="K21" s="35">
        <f>SUBTOTAL(9,K22:K26)</f>
        <v>3944</v>
      </c>
      <c r="L21" s="36">
        <f t="shared" ref="L21:L84" si="0">SUM(J21,-K21)</f>
        <v>1669</v>
      </c>
      <c r="M21" s="37">
        <f>SUBTOTAL(9,M22:M26)</f>
        <v>1393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1" t="str">
        <f>VLOOKUP( $B22, T_Aop[], 6, 1)</f>
        <v xml:space="preserve">      1. Ulaganja u razvoj</v>
      </c>
      <c r="E22" s="412"/>
      <c r="F22" s="412"/>
      <c r="G22" s="412"/>
      <c r="H22" s="413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4" t="str">
        <f>VLOOKUP( $B23, T_Aop[], 6, 1)</f>
        <v xml:space="preserve">      2. Koncesije, patenti, licence i ostala prava</v>
      </c>
      <c r="E23" s="415"/>
      <c r="F23" s="415"/>
      <c r="G23" s="415"/>
      <c r="H23" s="416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1" t="str">
        <f>VLOOKUP( $B24, T_Aop[], 6, 1)</f>
        <v xml:space="preserve">      3. Goodwill</v>
      </c>
      <c r="E24" s="412"/>
      <c r="F24" s="412"/>
      <c r="G24" s="412"/>
      <c r="H24" s="413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4" t="str">
        <f>VLOOKUP( $B25, T_Aop[], 6, 1)</f>
        <v xml:space="preserve">      4. Ostala nematerijalna sredstva</v>
      </c>
      <c r="E25" s="415"/>
      <c r="F25" s="415"/>
      <c r="G25" s="415"/>
      <c r="H25" s="416"/>
      <c r="I25" s="167">
        <f>VLOOKUP( $B25, T_Aop[], 4, 1)</f>
        <v>6</v>
      </c>
      <c r="J25" s="217">
        <v>5613</v>
      </c>
      <c r="K25" s="217">
        <v>3944</v>
      </c>
      <c r="L25" s="202">
        <f t="shared" si="0"/>
        <v>1669</v>
      </c>
      <c r="M25" s="324">
        <v>1393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1" t="str">
        <f>VLOOKUP( $B26, T_Aop[], 6, 1)</f>
        <v xml:space="preserve">      5. Avansi i nematerijalna sredstva u pripremi</v>
      </c>
      <c r="E26" s="412"/>
      <c r="F26" s="412"/>
      <c r="G26" s="412"/>
      <c r="H26" s="413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1" t="str">
        <f>VLOOKUP( $B27, T_Aop[], 6, 1)</f>
        <v xml:space="preserve">    II - NEKRETNINE, POSTROJENJA, OPREMA I INVESTICIONE NEKRETNINE (009 do 014)</v>
      </c>
      <c r="E27" s="422"/>
      <c r="F27" s="422"/>
      <c r="G27" s="422"/>
      <c r="H27" s="423"/>
      <c r="I27" s="237">
        <f>VLOOKUP( $B27, T_Aop[], 4, 1)</f>
        <v>8</v>
      </c>
      <c r="J27" s="35">
        <f>SUBTOTAL(9,J28:J33)</f>
        <v>11873285</v>
      </c>
      <c r="K27" s="35">
        <f>SUBTOTAL(9,K28:K33)</f>
        <v>2626726</v>
      </c>
      <c r="L27" s="35">
        <f t="shared" si="0"/>
        <v>9246559</v>
      </c>
      <c r="M27" s="37">
        <f>SUBTOTAL(9,M28:M33)</f>
        <v>8979256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1" t="str">
        <f>VLOOKUP( $B28, T_Aop[], 6, 1)</f>
        <v xml:space="preserve">      1. Zemljište</v>
      </c>
      <c r="E28" s="412"/>
      <c r="F28" s="412"/>
      <c r="G28" s="412"/>
      <c r="H28" s="413"/>
      <c r="I28" s="169">
        <f>VLOOKUP( $B28, T_Aop[], 4, 1)</f>
        <v>9</v>
      </c>
      <c r="J28" s="215">
        <v>1289780</v>
      </c>
      <c r="K28" s="215"/>
      <c r="L28" s="203">
        <f t="shared" si="0"/>
        <v>1289780</v>
      </c>
      <c r="M28" s="323">
        <v>1289780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4" t="str">
        <f>VLOOKUP( $B29, T_Aop[], 6, 1)</f>
        <v xml:space="preserve">      2. Građevinski objekti</v>
      </c>
      <c r="E29" s="415"/>
      <c r="F29" s="415"/>
      <c r="G29" s="415"/>
      <c r="H29" s="416"/>
      <c r="I29" s="167">
        <f>VLOOKUP( $B29, T_Aop[], 4, 1)</f>
        <v>10</v>
      </c>
      <c r="J29" s="217">
        <v>5398993</v>
      </c>
      <c r="K29" s="217">
        <v>1327248</v>
      </c>
      <c r="L29" s="202">
        <f t="shared" si="0"/>
        <v>4071745</v>
      </c>
      <c r="M29" s="324">
        <v>3254263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1" t="str">
        <f>VLOOKUP( $B30, T_Aop[], 6, 1)</f>
        <v xml:space="preserve">      3. Postrojenja i oprema</v>
      </c>
      <c r="E30" s="412"/>
      <c r="F30" s="412"/>
      <c r="G30" s="412"/>
      <c r="H30" s="413"/>
      <c r="I30" s="169">
        <f>VLOOKUP( $B30, T_Aop[], 4, 1)</f>
        <v>11</v>
      </c>
      <c r="J30" s="215">
        <v>795933</v>
      </c>
      <c r="K30" s="215">
        <v>648536</v>
      </c>
      <c r="L30" s="203">
        <f t="shared" si="0"/>
        <v>147397</v>
      </c>
      <c r="M30" s="323">
        <v>103907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4" t="str">
        <f>VLOOKUP( $B31, T_Aop[], 6, 1)</f>
        <v xml:space="preserve">      4. Investicione nekretnine</v>
      </c>
      <c r="E31" s="415"/>
      <c r="F31" s="415"/>
      <c r="G31" s="415"/>
      <c r="H31" s="416"/>
      <c r="I31" s="167">
        <f>VLOOKUP( $B31, T_Aop[], 4, 1)</f>
        <v>12</v>
      </c>
      <c r="J31" s="217">
        <v>1818467</v>
      </c>
      <c r="K31" s="217">
        <v>648961</v>
      </c>
      <c r="L31" s="202">
        <f t="shared" si="0"/>
        <v>1169506</v>
      </c>
      <c r="M31" s="324">
        <v>2029306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1" t="str">
        <f>VLOOKUP( $B32, T_Aop[], 6, 1)</f>
        <v xml:space="preserve">      5. Ulaganje na tuđim nekretninama, postrojenjima i opremi</v>
      </c>
      <c r="E32" s="412"/>
      <c r="F32" s="412"/>
      <c r="G32" s="412"/>
      <c r="H32" s="413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4" t="str">
        <f>VLOOKUP( $B33, T_Aop[], 6, 1)</f>
        <v xml:space="preserve">      6. Avansi i nekretnine, postrojenja, oprema i investicione nekretnine u pripremi</v>
      </c>
      <c r="E33" s="415"/>
      <c r="F33" s="415"/>
      <c r="G33" s="415"/>
      <c r="H33" s="416"/>
      <c r="I33" s="167">
        <f>VLOOKUP( $B33, T_Aop[], 4, 1)</f>
        <v>14</v>
      </c>
      <c r="J33" s="217">
        <v>2570112</v>
      </c>
      <c r="K33" s="217">
        <v>1981</v>
      </c>
      <c r="L33" s="202">
        <f t="shared" si="0"/>
        <v>2568131</v>
      </c>
      <c r="M33" s="324">
        <v>2302000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7" t="str">
        <f>VLOOKUP( $B34, T_Aop[], 6, 1)</f>
        <v xml:space="preserve">    III - BIOLOŠKA SREDSTVA I SREDSTVA KULTURE (016 do 020)</v>
      </c>
      <c r="E34" s="418"/>
      <c r="F34" s="418"/>
      <c r="G34" s="418"/>
      <c r="H34" s="419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4" t="str">
        <f>VLOOKUP( $B35, T_Aop[], 6, 1)</f>
        <v xml:space="preserve">      1. Šume</v>
      </c>
      <c r="E35" s="415"/>
      <c r="F35" s="415"/>
      <c r="G35" s="415"/>
      <c r="H35" s="416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1" t="str">
        <f>VLOOKUP( $B36, T_Aop[], 6, 1)</f>
        <v xml:space="preserve">      2. Višegodišnji zasadi</v>
      </c>
      <c r="E36" s="412"/>
      <c r="F36" s="412"/>
      <c r="G36" s="412"/>
      <c r="H36" s="413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4" t="str">
        <f>VLOOKUP( $B37, T_Aop[], 6, 1)</f>
        <v xml:space="preserve">      3. Osnovno stado</v>
      </c>
      <c r="E37" s="415"/>
      <c r="F37" s="415"/>
      <c r="G37" s="415"/>
      <c r="H37" s="416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1" t="str">
        <f>VLOOKUP( $B38, T_Aop[], 6, 1)</f>
        <v xml:space="preserve">      4. Sredstva kulture</v>
      </c>
      <c r="E38" s="412"/>
      <c r="F38" s="412"/>
      <c r="G38" s="412"/>
      <c r="H38" s="413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4" t="str">
        <f>VLOOKUP( $B39, T_Aop[], 6, 1)</f>
        <v xml:space="preserve">      5. Avansi i biološka sredstva i sredstva kulture u pripremi</v>
      </c>
      <c r="E39" s="415"/>
      <c r="F39" s="415"/>
      <c r="G39" s="415"/>
      <c r="H39" s="416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7" t="str">
        <f>VLOOKUP( $B40, T_Aop[], 6, 1)</f>
        <v xml:space="preserve">    IV - DUGOROČNI FINANSIJSKI PLASMANI (022 do 029)</v>
      </c>
      <c r="E40" s="418"/>
      <c r="F40" s="418"/>
      <c r="G40" s="418"/>
      <c r="H40" s="419"/>
      <c r="I40" s="239">
        <f>VLOOKUP( $B40, T_Aop[], 4, 1)</f>
        <v>21</v>
      </c>
      <c r="J40" s="33">
        <f>SUBTOTAL(9,J41:J48)</f>
        <v>3102351</v>
      </c>
      <c r="K40" s="33">
        <f>SUBTOTAL(9,K41:K48)</f>
        <v>0</v>
      </c>
      <c r="L40" s="33">
        <f t="shared" si="0"/>
        <v>3102351</v>
      </c>
      <c r="M40" s="38">
        <f>SUBTOTAL(9,M41:M48)</f>
        <v>3102351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4" t="str">
        <f>VLOOKUP( $B41, T_Aop[], 6, 1)</f>
        <v xml:space="preserve">      1. Učešće u kapitalu zavisnih pravnih lica</v>
      </c>
      <c r="E41" s="415"/>
      <c r="F41" s="415"/>
      <c r="G41" s="415"/>
      <c r="H41" s="416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1" t="str">
        <f>VLOOKUP( $B42, T_Aop[], 6, 1)</f>
        <v xml:space="preserve">      2. Učešće u kapitalu drugih pravnih lica</v>
      </c>
      <c r="E42" s="412"/>
      <c r="F42" s="412"/>
      <c r="G42" s="412"/>
      <c r="H42" s="413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4" t="str">
        <f>VLOOKUP( $B43, T_Aop[], 6, 1)</f>
        <v xml:space="preserve">      3. Dugoročni krediti povezanim pravnim licima</v>
      </c>
      <c r="E43" s="415"/>
      <c r="F43" s="415"/>
      <c r="G43" s="415"/>
      <c r="H43" s="416"/>
      <c r="I43" s="167">
        <f>VLOOKUP( $B43, T_Aop[], 4, 1)</f>
        <v>24</v>
      </c>
      <c r="J43" s="217">
        <v>3100000</v>
      </c>
      <c r="K43" s="217"/>
      <c r="L43" s="202">
        <f t="shared" si="0"/>
        <v>3100000</v>
      </c>
      <c r="M43" s="324">
        <v>3100000</v>
      </c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1" t="str">
        <f>VLOOKUP( $B44, T_Aop[], 6, 1)</f>
        <v xml:space="preserve">      4. Dugoročni krediti u zemlji</v>
      </c>
      <c r="E44" s="412"/>
      <c r="F44" s="412"/>
      <c r="G44" s="412"/>
      <c r="H44" s="413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4" t="str">
        <f>VLOOKUP( $B45, T_Aop[], 6, 1)</f>
        <v xml:space="preserve">      5. Dugoročni krediti u inostranstvu</v>
      </c>
      <c r="E45" s="415"/>
      <c r="F45" s="415"/>
      <c r="G45" s="415"/>
      <c r="H45" s="416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1" t="str">
        <f>VLOOKUP( $B46, T_Aop[], 6, 1)</f>
        <v xml:space="preserve">      6. Finansijska sredstva raspoloživa za prodaju</v>
      </c>
      <c r="E46" s="412"/>
      <c r="F46" s="412"/>
      <c r="G46" s="412"/>
      <c r="H46" s="413"/>
      <c r="I46" s="169">
        <f>VLOOKUP( $B46, T_Aop[], 4, 1)</f>
        <v>27</v>
      </c>
      <c r="J46" s="215">
        <v>2351</v>
      </c>
      <c r="K46" s="215"/>
      <c r="L46" s="203">
        <f t="shared" si="0"/>
        <v>2351</v>
      </c>
      <c r="M46" s="323">
        <v>2351</v>
      </c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4" t="str">
        <f>VLOOKUP( $B47, T_Aop[], 6, 1)</f>
        <v xml:space="preserve">      7. Finansijska sredstva koja se drže do roka dospijeća</v>
      </c>
      <c r="E47" s="415"/>
      <c r="F47" s="415"/>
      <c r="G47" s="415"/>
      <c r="H47" s="416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1" t="str">
        <f>VLOOKUP( $B48, T_Aop[], 6, 1)</f>
        <v xml:space="preserve">      8. Ostali dugoročni finansijski plasmani</v>
      </c>
      <c r="E48" s="412"/>
      <c r="F48" s="412"/>
      <c r="G48" s="412"/>
      <c r="H48" s="413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1" t="str">
        <f>VLOOKUP( $B49, T_Aop[], 6, 1)</f>
        <v xml:space="preserve">    V - ODLOŽENA PORESKA SREDSTVA</v>
      </c>
      <c r="E49" s="422"/>
      <c r="F49" s="422"/>
      <c r="G49" s="422"/>
      <c r="H49" s="423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7" t="str">
        <f>VLOOKUP( $B50, T_Aop[], 6, 1)</f>
        <v xml:space="preserve">  B. TEKUĆA SREDSTVA (032 + 039 + 061)</v>
      </c>
      <c r="E50" s="418"/>
      <c r="F50" s="418"/>
      <c r="G50" s="418"/>
      <c r="H50" s="419"/>
      <c r="I50" s="239">
        <f>VLOOKUP( $B50, T_Aop[], 4, 1)</f>
        <v>31</v>
      </c>
      <c r="J50" s="33">
        <f>SUBTOTAL( 9, J51:J80)</f>
        <v>1632215</v>
      </c>
      <c r="K50" s="33">
        <f>SUBTOTAL( 9, K51:K80)</f>
        <v>9635</v>
      </c>
      <c r="L50" s="33">
        <f t="shared" si="0"/>
        <v>1622580</v>
      </c>
      <c r="M50" s="38">
        <f>SUBTOTAL( 9, M51:M80)</f>
        <v>1641306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1" t="str">
        <f>VLOOKUP( $B51, T_Aop[], 6, 1)</f>
        <v xml:space="preserve">    I - ZALIHE, STALNA SREDSTVA I SREDSTVA OBUSTAVLJENOG POSLOVANJA NAMIJENJENA PRODAJI (033 do 038)</v>
      </c>
      <c r="E51" s="422"/>
      <c r="F51" s="422"/>
      <c r="G51" s="422"/>
      <c r="H51" s="423"/>
      <c r="I51" s="237">
        <f>VLOOKUP( $B51, T_Aop[], 4, 1)</f>
        <v>32</v>
      </c>
      <c r="J51" s="35">
        <f>SUBTOTAL(9,J52:J57)</f>
        <v>216898</v>
      </c>
      <c r="K51" s="35">
        <f>SUBTOTAL(9,K52:K57)</f>
        <v>0</v>
      </c>
      <c r="L51" s="35">
        <f t="shared" si="0"/>
        <v>216898</v>
      </c>
      <c r="M51" s="37">
        <f>SUBTOTAL(9,M52:M57)</f>
        <v>322564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1" t="str">
        <f>VLOOKUP( $B52, T_Aop[], 6, 1)</f>
        <v xml:space="preserve">      1. Zalihe materijala</v>
      </c>
      <c r="E52" s="412"/>
      <c r="F52" s="412"/>
      <c r="G52" s="412"/>
      <c r="H52" s="413"/>
      <c r="I52" s="169">
        <f>VLOOKUP( $B52, T_Aop[], 4, 1)</f>
        <v>33</v>
      </c>
      <c r="J52" s="215">
        <v>3522</v>
      </c>
      <c r="K52" s="215"/>
      <c r="L52" s="203">
        <f t="shared" si="0"/>
        <v>3522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4" t="str">
        <f>VLOOKUP( $B53, T_Aop[], 6, 1)</f>
        <v xml:space="preserve">      2. Zalihe nedovršene proizvodnje, poluproizvoda i nedovršenih usluga</v>
      </c>
      <c r="E53" s="415"/>
      <c r="F53" s="415"/>
      <c r="G53" s="415"/>
      <c r="H53" s="416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1" t="str">
        <f>VLOOKUP( $B54, T_Aop[], 6, 1)</f>
        <v xml:space="preserve">      3. Zalihe gotovih proizvoda</v>
      </c>
      <c r="E54" s="412"/>
      <c r="F54" s="412"/>
      <c r="G54" s="412"/>
      <c r="H54" s="413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4" t="str">
        <f>VLOOKUP( $B55, T_Aop[], 6, 1)</f>
        <v xml:space="preserve">      4. Zalihe robe</v>
      </c>
      <c r="E55" s="415"/>
      <c r="F55" s="415"/>
      <c r="G55" s="415"/>
      <c r="H55" s="416"/>
      <c r="I55" s="167">
        <f>VLOOKUP( $B55, T_Aop[], 4, 1)</f>
        <v>36</v>
      </c>
      <c r="J55" s="217">
        <v>200381</v>
      </c>
      <c r="K55" s="217"/>
      <c r="L55" s="202">
        <f t="shared" si="0"/>
        <v>200381</v>
      </c>
      <c r="M55" s="324">
        <v>8246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1" t="str">
        <f>VLOOKUP( $B56, T_Aop[], 6, 1)</f>
        <v xml:space="preserve">      5. Stalna sredstva i sredstva obustavljenog poslovanja namijenjena prodaji</v>
      </c>
      <c r="E56" s="412"/>
      <c r="F56" s="412"/>
      <c r="G56" s="412"/>
      <c r="H56" s="413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4" t="str">
        <f>VLOOKUP( $B57, T_Aop[], 6, 1)</f>
        <v xml:space="preserve">      6. Dati avansi</v>
      </c>
      <c r="E57" s="415"/>
      <c r="F57" s="415"/>
      <c r="G57" s="415"/>
      <c r="H57" s="416"/>
      <c r="I57" s="167">
        <f>VLOOKUP( $B57, T_Aop[], 4, 1)</f>
        <v>38</v>
      </c>
      <c r="J57" s="217">
        <v>12995</v>
      </c>
      <c r="K57" s="217"/>
      <c r="L57" s="202">
        <f t="shared" si="0"/>
        <v>12995</v>
      </c>
      <c r="M57" s="324">
        <v>314318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7" t="str">
        <f>VLOOKUP( $B58, T_Aop[], 6, 1)</f>
        <v xml:space="preserve">    II - KRATKOROČNA POTRAŽIVANJA, KRATKOROČNI PLASMANI I GOTOVINA (040 + 047 + 056 + 059 + 060)</v>
      </c>
      <c r="E58" s="418"/>
      <c r="F58" s="418"/>
      <c r="G58" s="418"/>
      <c r="H58" s="419"/>
      <c r="I58" s="239">
        <f>VLOOKUP( $B58, T_Aop[], 4, 1)</f>
        <v>39</v>
      </c>
      <c r="J58" s="33">
        <f>SUBTOTAL(9,J59:J79)</f>
        <v>1415317</v>
      </c>
      <c r="K58" s="33">
        <f>SUBTOTAL(9,K59:K79)</f>
        <v>9635</v>
      </c>
      <c r="L58" s="33">
        <f t="shared" si="0"/>
        <v>1405682</v>
      </c>
      <c r="M58" s="38">
        <f>SUBTOTAL(9,M59:M79)</f>
        <v>1318742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4" t="str">
        <f>VLOOKUP( $B59, T_Aop[], 6, 1)</f>
        <v xml:space="preserve">      1. Kratkoročna potraživanja (041 do 046)</v>
      </c>
      <c r="E59" s="415"/>
      <c r="F59" s="415"/>
      <c r="G59" s="415"/>
      <c r="H59" s="416"/>
      <c r="I59" s="167">
        <f>VLOOKUP( $B59, T_Aop[], 4, 1)</f>
        <v>40</v>
      </c>
      <c r="J59" s="202">
        <f>SUBTOTAL(9,J60:J65)</f>
        <v>510883</v>
      </c>
      <c r="K59" s="202">
        <f>SUBTOTAL(9,K60:K65)</f>
        <v>9635</v>
      </c>
      <c r="L59" s="202">
        <f t="shared" si="0"/>
        <v>501248</v>
      </c>
      <c r="M59" s="208">
        <f>SUBTOTAL(9,M60:M65)</f>
        <v>362913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1" t="str">
        <f>VLOOKUP( $B60, T_Aop[], 6, 1)</f>
        <v xml:space="preserve">        a) Kupci - povezana pravna lica</v>
      </c>
      <c r="E60" s="412"/>
      <c r="F60" s="412"/>
      <c r="G60" s="412"/>
      <c r="H60" s="413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4" t="str">
        <f>VLOOKUP( $B61, T_Aop[], 6, 1)</f>
        <v xml:space="preserve">        b) Kupci u zemlji</v>
      </c>
      <c r="E61" s="415"/>
      <c r="F61" s="415"/>
      <c r="G61" s="415"/>
      <c r="H61" s="416"/>
      <c r="I61" s="167">
        <f>VLOOKUP( $B61, T_Aop[], 4, 1)</f>
        <v>42</v>
      </c>
      <c r="J61" s="217">
        <v>213666</v>
      </c>
      <c r="K61" s="217">
        <v>9635</v>
      </c>
      <c r="L61" s="202">
        <f t="shared" si="0"/>
        <v>204031</v>
      </c>
      <c r="M61" s="324">
        <v>212157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1" t="str">
        <f>VLOOKUP( $B62, T_Aop[], 6, 1)</f>
        <v xml:space="preserve">        v) Kupci iz inostranstva</v>
      </c>
      <c r="E62" s="412"/>
      <c r="F62" s="412"/>
      <c r="G62" s="412"/>
      <c r="H62" s="413"/>
      <c r="I62" s="169">
        <f>VLOOKUP( $B62, T_Aop[], 4, 1)</f>
        <v>43</v>
      </c>
      <c r="J62" s="215">
        <v>108412</v>
      </c>
      <c r="K62" s="215"/>
      <c r="L62" s="203">
        <f t="shared" si="0"/>
        <v>108412</v>
      </c>
      <c r="M62" s="323">
        <v>109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4" t="str">
        <f>VLOOKUP( $B63, T_Aop[], 6, 1)</f>
        <v xml:space="preserve">        g) Sumnjiva i sporna potraživanja</v>
      </c>
      <c r="E63" s="415"/>
      <c r="F63" s="415"/>
      <c r="G63" s="415"/>
      <c r="H63" s="416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1" t="str">
        <f>VLOOKUP( $B64, T_Aop[], 6, 1)</f>
        <v xml:space="preserve">        d) Potraživanja iz specifičnih poslova</v>
      </c>
      <c r="E64" s="412"/>
      <c r="F64" s="412"/>
      <c r="G64" s="412"/>
      <c r="H64" s="413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4" t="str">
        <f>VLOOKUP( $B65, T_Aop[], 6, 1)</f>
        <v xml:space="preserve">        đ) Druga kratkoročna potraživanja</v>
      </c>
      <c r="E65" s="415"/>
      <c r="F65" s="415"/>
      <c r="G65" s="415"/>
      <c r="H65" s="416"/>
      <c r="I65" s="167">
        <f>VLOOKUP( $B65, T_Aop[], 4, 1)</f>
        <v>46</v>
      </c>
      <c r="J65" s="217">
        <v>188805</v>
      </c>
      <c r="K65" s="217"/>
      <c r="L65" s="202">
        <f t="shared" si="0"/>
        <v>188805</v>
      </c>
      <c r="M65" s="324">
        <v>150647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1" t="str">
        <f>VLOOKUP( $B66, T_Aop[], 6, 1)</f>
        <v xml:space="preserve">      2. Kratkoročni finansijski plasmani (048 do 055)</v>
      </c>
      <c r="E66" s="412"/>
      <c r="F66" s="412"/>
      <c r="G66" s="412"/>
      <c r="H66" s="413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4" t="str">
        <f>VLOOKUP( $B67, T_Aop[], 6, 1)</f>
        <v xml:space="preserve">        a) Kratkoročni krediti povezanim pravnim licima</v>
      </c>
      <c r="E67" s="415"/>
      <c r="F67" s="415"/>
      <c r="G67" s="415"/>
      <c r="H67" s="416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1" t="str">
        <f>VLOOKUP( $B68, T_Aop[], 6, 1)</f>
        <v xml:space="preserve">        b) Kratkoročni krediti u zemlji</v>
      </c>
      <c r="E68" s="412"/>
      <c r="F68" s="412"/>
      <c r="G68" s="412"/>
      <c r="H68" s="413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4" t="str">
        <f>VLOOKUP( $B69, T_Aop[], 6, 1)</f>
        <v xml:space="preserve">        v) Kratkoročni krediti u inostranstvu</v>
      </c>
      <c r="E69" s="415"/>
      <c r="F69" s="415"/>
      <c r="G69" s="415"/>
      <c r="H69" s="416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1" t="str">
        <f>VLOOKUP( $B70, T_Aop[], 6, 1)</f>
        <v xml:space="preserve">        g) Dio dugoročnih finansijskih plasmana koji dospijeva za naplatu u periodu do godinu dana</v>
      </c>
      <c r="E70" s="412"/>
      <c r="F70" s="412"/>
      <c r="G70" s="412"/>
      <c r="H70" s="413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4" t="str">
        <f>VLOOKUP( $B71, T_Aop[], 6, 1)</f>
        <v xml:space="preserve">        d) Finansijska sredstva po fer vrijednosti kroz bilans uspjeha namijenjena trgovanju</v>
      </c>
      <c r="E71" s="415"/>
      <c r="F71" s="415"/>
      <c r="G71" s="415"/>
      <c r="H71" s="416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1" t="str">
        <f>VLOOKUP( $B72, T_Aop[], 6, 1)</f>
        <v xml:space="preserve">        đ) Finansijska sredstva označena po fer vrijednosti kroz bilans uspjeha</v>
      </c>
      <c r="E72" s="412"/>
      <c r="F72" s="412"/>
      <c r="G72" s="412"/>
      <c r="H72" s="413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4" t="str">
        <f>VLOOKUP( $B73, T_Aop[], 6, 1)</f>
        <v xml:space="preserve">        e) Otkupljene sopstvene akcije i otkupljeni sopstveni udjeli namijenjeni prodaji ili poništavanju</v>
      </c>
      <c r="E73" s="415"/>
      <c r="F73" s="415"/>
      <c r="G73" s="415"/>
      <c r="H73" s="416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1" t="str">
        <f>VLOOKUP( $B74, T_Aop[], 6, 1)</f>
        <v xml:space="preserve">        ž) Ostali kratkoročni plasmani</v>
      </c>
      <c r="E74" s="412"/>
      <c r="F74" s="412"/>
      <c r="G74" s="412"/>
      <c r="H74" s="413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4" t="str">
        <f>VLOOKUP( $B75, T_Aop[], 6, 1)</f>
        <v xml:space="preserve">      3. Gotovinski ekvivalenti i gotovina (057 + 058)</v>
      </c>
      <c r="E75" s="415"/>
      <c r="F75" s="415"/>
      <c r="G75" s="415"/>
      <c r="H75" s="416"/>
      <c r="I75" s="167">
        <f>VLOOKUP( $B75, T_Aop[], 4, 1)</f>
        <v>56</v>
      </c>
      <c r="J75" s="202">
        <f>SUBTOTAL(9,J76:J77)</f>
        <v>866918</v>
      </c>
      <c r="K75" s="202">
        <f>SUBTOTAL(9,K76:K77)</f>
        <v>0</v>
      </c>
      <c r="L75" s="202">
        <f t="shared" si="0"/>
        <v>866918</v>
      </c>
      <c r="M75" s="208">
        <f>SUBTOTAL(9,M76:M77)</f>
        <v>952868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1" t="str">
        <f>VLOOKUP( $B76, T_Aop[], 6, 1)</f>
        <v xml:space="preserve">        a) Gotovinski ekvivalenti - hartije od vrijednosti</v>
      </c>
      <c r="E76" s="412"/>
      <c r="F76" s="412"/>
      <c r="G76" s="412"/>
      <c r="H76" s="413"/>
      <c r="I76" s="169">
        <f>VLOOKUP( $B76, T_Aop[], 4, 1)</f>
        <v>57</v>
      </c>
      <c r="J76" s="215">
        <v>0</v>
      </c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4" t="str">
        <f>VLOOKUP( $B77, T_Aop[], 6, 1)</f>
        <v xml:space="preserve">        b) Gotovina</v>
      </c>
      <c r="E77" s="415"/>
      <c r="F77" s="415"/>
      <c r="G77" s="415"/>
      <c r="H77" s="416"/>
      <c r="I77" s="167">
        <f>VLOOKUP( $B77, T_Aop[], 4, 1)</f>
        <v>58</v>
      </c>
      <c r="J77" s="217">
        <v>866918</v>
      </c>
      <c r="K77" s="217"/>
      <c r="L77" s="202">
        <f t="shared" si="0"/>
        <v>866918</v>
      </c>
      <c r="M77" s="324">
        <v>952868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1" t="str">
        <f>VLOOKUP( $B78, T_Aop[], 6, 1)</f>
        <v xml:space="preserve">      4. Porez na dodatu vrijednost</v>
      </c>
      <c r="E78" s="412"/>
      <c r="F78" s="412"/>
      <c r="G78" s="412"/>
      <c r="H78" s="413"/>
      <c r="I78" s="169">
        <f>VLOOKUP( $B78, T_Aop[], 4, 1)</f>
        <v>59</v>
      </c>
      <c r="J78" s="215">
        <v>35034</v>
      </c>
      <c r="K78" s="215"/>
      <c r="L78" s="203">
        <f t="shared" si="0"/>
        <v>35034</v>
      </c>
      <c r="M78" s="323">
        <v>72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4" t="str">
        <f>VLOOKUP( $B79, T_Aop[], 6, 1)</f>
        <v xml:space="preserve">      5. Aktivna vremenska razgraničenja</v>
      </c>
      <c r="E79" s="415"/>
      <c r="F79" s="415"/>
      <c r="G79" s="415"/>
      <c r="H79" s="416"/>
      <c r="I79" s="167">
        <f>VLOOKUP( $B79, T_Aop[], 4, 1)</f>
        <v>60</v>
      </c>
      <c r="J79" s="217">
        <v>2482</v>
      </c>
      <c r="K79" s="217"/>
      <c r="L79" s="202">
        <f t="shared" si="0"/>
        <v>2482</v>
      </c>
      <c r="M79" s="324">
        <v>2889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7" t="str">
        <f>VLOOKUP( $B80, T_Aop[], 6, 1)</f>
        <v xml:space="preserve">    III - ODLOŽENA PORESKA SREDSTVA</v>
      </c>
      <c r="E80" s="418"/>
      <c r="F80" s="418"/>
      <c r="G80" s="418"/>
      <c r="H80" s="419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1" t="str">
        <f>VLOOKUP( $B81, T_Aop[], 6, 1)</f>
        <v xml:space="preserve">  V. POSLOVNA SREDSTVA (001 + 031)</v>
      </c>
      <c r="E81" s="422"/>
      <c r="F81" s="422"/>
      <c r="G81" s="422"/>
      <c r="H81" s="423"/>
      <c r="I81" s="237">
        <f>VLOOKUP( $B81, T_Aop[], 4, 1)</f>
        <v>62</v>
      </c>
      <c r="J81" s="35">
        <f>SUBTOTAL( 9, J20:J80)</f>
        <v>16613464</v>
      </c>
      <c r="K81" s="35">
        <f>SUBTOTAL( 9, K20:K80)</f>
        <v>2640305</v>
      </c>
      <c r="L81" s="35">
        <f t="shared" si="0"/>
        <v>13973159</v>
      </c>
      <c r="M81" s="37">
        <f>SUBTOTAL( 9, M20:M80)</f>
        <v>13724306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7" t="str">
        <f>VLOOKUP( $B82, T_Aop[], 6, 1)</f>
        <v xml:space="preserve">  G. GUBITAK IZNAD VISINE KAPITALA</v>
      </c>
      <c r="E82" s="418"/>
      <c r="F82" s="418"/>
      <c r="G82" s="418"/>
      <c r="H82" s="419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1" t="str">
        <f>VLOOKUP( $B83, T_Aop[], 6, 1)</f>
        <v xml:space="preserve">  D. POSLOVNA AKTIVA (062 + 063)</v>
      </c>
      <c r="E83" s="422"/>
      <c r="F83" s="422"/>
      <c r="G83" s="422"/>
      <c r="H83" s="423"/>
      <c r="I83" s="237">
        <f>VLOOKUP( $B83, T_Aop[], 4, 1)</f>
        <v>64</v>
      </c>
      <c r="J83" s="35">
        <f>SUBTOTAL( 9, J20:J82)</f>
        <v>16613464</v>
      </c>
      <c r="K83" s="35">
        <f>SUBTOTAL( 9, K20:K82)</f>
        <v>2640305</v>
      </c>
      <c r="L83" s="35">
        <f t="shared" si="0"/>
        <v>13973159</v>
      </c>
      <c r="M83" s="37">
        <f>SUBTOTAL( 9, M20:M82)</f>
        <v>13724306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7" t="str">
        <f>VLOOKUP( $B84, T_Aop[], 6, 1)</f>
        <v xml:space="preserve">  Đ. VANBILANSNA AKTIVA</v>
      </c>
      <c r="E84" s="418"/>
      <c r="F84" s="418"/>
      <c r="G84" s="418"/>
      <c r="H84" s="419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4" t="str">
        <f>VLOOKUP( $B85, T_Aop[], 6, 1)</f>
        <v xml:space="preserve">  E. UKUPNA AKTIVA (064 + 065)</v>
      </c>
      <c r="E85" s="425"/>
      <c r="F85" s="425"/>
      <c r="G85" s="425"/>
      <c r="H85" s="426"/>
      <c r="I85" s="243">
        <f>VLOOKUP( $B85, T_Aop[], 4, 1)</f>
        <v>66</v>
      </c>
      <c r="J85" s="39">
        <f>SUBTOTAL( 9, J20:J84)</f>
        <v>16613464</v>
      </c>
      <c r="K85" s="39">
        <f>SUBTOTAL( 9, K20:K84)</f>
        <v>2640305</v>
      </c>
      <c r="L85" s="39">
        <f>SUM(J85,-K85)</f>
        <v>13973159</v>
      </c>
      <c r="M85" s="40">
        <f>SUBTOTAL( 9, M20:M84)</f>
        <v>13724306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6" t="str">
        <f>Tabele_zaglavlje_Grupa_racuna</f>
        <v>Grupa računa, račun</v>
      </c>
      <c r="D87" s="434" t="str">
        <f>Tabele_zaglavlje_Pozicija</f>
        <v>POZICIJA</v>
      </c>
      <c r="E87" s="435"/>
      <c r="F87" s="435"/>
      <c r="G87" s="435"/>
      <c r="H87" s="436"/>
      <c r="I87" s="408" t="str">
        <f>Tabele_zaglavlje_Oznaka_aop</f>
        <v>Oznaka za AOP</v>
      </c>
      <c r="J87" s="440"/>
      <c r="K87" s="441"/>
      <c r="L87" s="410" t="str">
        <f>Tabele_zaglavlje_BS_iznos_tekuca</f>
        <v>Iznos na dan bilansa tekuće godine</v>
      </c>
      <c r="M87" s="43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7"/>
      <c r="D88" s="437"/>
      <c r="E88" s="438"/>
      <c r="F88" s="438"/>
      <c r="G88" s="438"/>
      <c r="H88" s="439"/>
      <c r="I88" s="409"/>
      <c r="J88" s="442"/>
      <c r="K88" s="443"/>
      <c r="L88" s="409"/>
      <c r="M88" s="433"/>
      <c r="O88" s="60"/>
    </row>
    <row r="89" spans="2:15" x14ac:dyDescent="0.2">
      <c r="B89" s="17"/>
      <c r="C89" s="48">
        <v>1</v>
      </c>
      <c r="D89" s="404">
        <v>2</v>
      </c>
      <c r="E89" s="420"/>
      <c r="F89" s="420"/>
      <c r="G89" s="420"/>
      <c r="H89" s="405"/>
      <c r="I89" s="307">
        <v>3</v>
      </c>
      <c r="J89" s="404"/>
      <c r="K89" s="405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7" t="str">
        <f>VLOOKUP( $B90, T_Aop[], 6, 1)</f>
        <v>PASIVA</v>
      </c>
      <c r="E90" s="427"/>
      <c r="F90" s="427"/>
      <c r="G90" s="427"/>
      <c r="H90" s="428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9" t="str">
        <f>VLOOKUP( $B91, T_Aop[], 6, 1)</f>
        <v xml:space="preserve">  A. KAPITAL (102 - 109 + 110 - 111 + 112 + 116 + 117 - 118 + 119 - 123)</v>
      </c>
      <c r="E91" s="430"/>
      <c r="F91" s="430"/>
      <c r="G91" s="430"/>
      <c r="H91" s="431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13122272</v>
      </c>
      <c r="M91" s="320">
        <f>SUBTOTAL( 9, M92:M98, M100, M102:M107, M109:M112) - SUBTOTAL( 9, M99, M101, M108, M113:M115)</f>
        <v>12905440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1" t="str">
        <f>VLOOKUP( $B92, T_Aop[], 6, 1)</f>
        <v xml:space="preserve">    I - OSNOVNI KAPITAL (103 do 108)</v>
      </c>
      <c r="E92" s="422"/>
      <c r="F92" s="422"/>
      <c r="G92" s="422"/>
      <c r="H92" s="423"/>
      <c r="I92" s="237">
        <f>VLOOKUP( $B92, T_Aop[], 4, 1)</f>
        <v>102</v>
      </c>
      <c r="J92" s="43"/>
      <c r="K92" s="44"/>
      <c r="L92" s="70">
        <f>SUBTOTAL( 9, L93:L98)</f>
        <v>12058902</v>
      </c>
      <c r="M92" s="71">
        <f>SUBTOTAL( 9, M93:M98)</f>
        <v>12058902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1" t="str">
        <f>VLOOKUP( $B93, T_Aop[], 6, 1)</f>
        <v xml:space="preserve">      1. Akcijski kapital</v>
      </c>
      <c r="E93" s="412"/>
      <c r="F93" s="412"/>
      <c r="G93" s="412"/>
      <c r="H93" s="413"/>
      <c r="I93" s="169">
        <f>VLOOKUP( $B93, T_Aop[], 4, 1)</f>
        <v>103</v>
      </c>
      <c r="J93" s="255"/>
      <c r="K93" s="256"/>
      <c r="L93" s="332">
        <v>12058902</v>
      </c>
      <c r="M93" s="333">
        <v>12058902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4" t="str">
        <f>VLOOKUP( $B94, T_Aop[], 6, 1)</f>
        <v xml:space="preserve">      2. Udjeli društva sa ograničenom odgovornošću</v>
      </c>
      <c r="E94" s="415"/>
      <c r="F94" s="415"/>
      <c r="G94" s="415"/>
      <c r="H94" s="416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1" t="str">
        <f>VLOOKUP( $B95, T_Aop[], 6, 1)</f>
        <v xml:space="preserve">      3. Zadružni udjeli</v>
      </c>
      <c r="E95" s="412"/>
      <c r="F95" s="412"/>
      <c r="G95" s="412"/>
      <c r="H95" s="413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4" t="str">
        <f>VLOOKUP( $B96, T_Aop[], 6, 1)</f>
        <v xml:space="preserve">      4. Ulozi</v>
      </c>
      <c r="E96" s="415"/>
      <c r="F96" s="415"/>
      <c r="G96" s="415"/>
      <c r="H96" s="416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1" t="str">
        <f>VLOOKUP( $B97, T_Aop[], 6, 1)</f>
        <v xml:space="preserve">      5. Državni kapital</v>
      </c>
      <c r="E97" s="412"/>
      <c r="F97" s="412"/>
      <c r="G97" s="412"/>
      <c r="H97" s="413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4" t="str">
        <f>VLOOKUP( $B98, T_Aop[], 6, 1)</f>
        <v xml:space="preserve">      6. Ostali osnovni kapital</v>
      </c>
      <c r="E98" s="415"/>
      <c r="F98" s="415"/>
      <c r="G98" s="415"/>
      <c r="H98" s="416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7" t="str">
        <f>VLOOKUP( $B99, T_Aop[], 6, 1)</f>
        <v xml:space="preserve">    II - UPISANI NEUPLAĆENI KAPITAL</v>
      </c>
      <c r="E99" s="418"/>
      <c r="F99" s="418"/>
      <c r="G99" s="418"/>
      <c r="H99" s="419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1" t="str">
        <f>VLOOKUP( $B100, T_Aop[], 6, 1)</f>
        <v xml:space="preserve">    III - EMISIONA PREMIJA </v>
      </c>
      <c r="E100" s="422"/>
      <c r="F100" s="422"/>
      <c r="G100" s="422"/>
      <c r="H100" s="423"/>
      <c r="I100" s="237">
        <f>VLOOKUP( $B100, T_Aop[], 4, 1)</f>
        <v>110</v>
      </c>
      <c r="J100" s="43"/>
      <c r="K100" s="44"/>
      <c r="L100" s="338">
        <v>6990</v>
      </c>
      <c r="M100" s="339">
        <v>6990</v>
      </c>
      <c r="O100" s="60"/>
    </row>
    <row r="101" spans="2:15" x14ac:dyDescent="0.2">
      <c r="B101" s="17">
        <v>79</v>
      </c>
      <c r="C101" s="238">
        <f>VLOOKUP( $B101, T_Aop[], 5, 1)</f>
        <v>321</v>
      </c>
      <c r="D101" s="417" t="str">
        <f>VLOOKUP( $B101, T_Aop[], 6, 1)</f>
        <v xml:space="preserve">    IV - EMISIONI GUBITAK</v>
      </c>
      <c r="E101" s="418"/>
      <c r="F101" s="418"/>
      <c r="G101" s="418"/>
      <c r="H101" s="419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1" t="str">
        <f>VLOOKUP( $B102, T_Aop[], 6, 1)</f>
        <v xml:space="preserve">    V - REZERVE (113 do 115)</v>
      </c>
      <c r="E102" s="422"/>
      <c r="F102" s="422"/>
      <c r="G102" s="422"/>
      <c r="H102" s="423"/>
      <c r="I102" s="237">
        <f>VLOOKUP( $B102, T_Aop[], 4, 1)</f>
        <v>112</v>
      </c>
      <c r="J102" s="43"/>
      <c r="K102" s="44"/>
      <c r="L102" s="70">
        <f>SUBTOTAL( 9, L103:L105)</f>
        <v>397147</v>
      </c>
      <c r="M102" s="71">
        <f>SUBTOTAL( 9, M103:M105)</f>
        <v>373863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1" t="str">
        <f>VLOOKUP( $B103, T_Aop[], 6, 1)</f>
        <v xml:space="preserve">      1. Zakonske rezerve</v>
      </c>
      <c r="E103" s="412"/>
      <c r="F103" s="412"/>
      <c r="G103" s="412"/>
      <c r="H103" s="413"/>
      <c r="I103" s="169">
        <f>VLOOKUP( $B103, T_Aop[], 4, 1)</f>
        <v>113</v>
      </c>
      <c r="J103" s="255"/>
      <c r="K103" s="256"/>
      <c r="L103" s="332">
        <v>397147</v>
      </c>
      <c r="M103" s="333">
        <v>373863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4" t="str">
        <f>VLOOKUP( $B104, T_Aop[], 6, 1)</f>
        <v xml:space="preserve">      2. Statutarne rezerve</v>
      </c>
      <c r="E104" s="415"/>
      <c r="F104" s="415"/>
      <c r="G104" s="415"/>
      <c r="H104" s="416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1" t="str">
        <f>VLOOKUP( $B105, T_Aop[], 6, 1)</f>
        <v xml:space="preserve">      3. Ostale rezerve</v>
      </c>
      <c r="E105" s="412"/>
      <c r="F105" s="412"/>
      <c r="G105" s="412"/>
      <c r="H105" s="413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1" t="str">
        <f>VLOOKUP( $B106, T_Aop[], 6, 1)</f>
        <v xml:space="preserve">    VI - REVALORIZACIONE REZERVE</v>
      </c>
      <c r="E106" s="422"/>
      <c r="F106" s="422"/>
      <c r="G106" s="422"/>
      <c r="H106" s="423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7" t="str">
        <f>VLOOKUP( $B107, T_Aop[], 6, 1)</f>
        <v xml:space="preserve">    VII - NEREALIZOVANI DOBICI PO OSNOVU FINANSIJSKIH SREDSTAVA RASPOLOŽIVIH ZA PRODAJU</v>
      </c>
      <c r="E107" s="418"/>
      <c r="F107" s="418"/>
      <c r="G107" s="418"/>
      <c r="H107" s="419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1" t="str">
        <f>VLOOKUP( $B108, T_Aop[], 6, 1)</f>
        <v xml:space="preserve">    VIII - NEREALIZOVANI GUBICI PO OSNOVU FINANSIJSKIH SREDSTAVA RASPOLOŽIVIH ZA PRODAJU </v>
      </c>
      <c r="E108" s="422"/>
      <c r="F108" s="422"/>
      <c r="G108" s="422"/>
      <c r="H108" s="423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7" t="str">
        <f>VLOOKUP( $B109, T_Aop[], 6, 1)</f>
        <v xml:space="preserve">    IX - NERASPOREĐENI DOBITAK (120 do 122)</v>
      </c>
      <c r="E109" s="418"/>
      <c r="F109" s="418"/>
      <c r="G109" s="418"/>
      <c r="H109" s="419"/>
      <c r="I109" s="239">
        <f>VLOOKUP( $B109, T_Aop[], 4, 1)</f>
        <v>119</v>
      </c>
      <c r="J109" s="45"/>
      <c r="K109" s="46"/>
      <c r="L109" s="72">
        <f>SUBTOTAL( 9, L110:L112)</f>
        <v>659233</v>
      </c>
      <c r="M109" s="73">
        <f>SUBTOTAL( 9, M110:M112)</f>
        <v>465685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4" t="str">
        <f>VLOOKUP( $B110, T_Aop[], 6, 1)</f>
        <v xml:space="preserve">      1. Neraspoređeni dobitak ranijih godina / Neraspoređeni višak prihoda nad rashodima ranijih godina</v>
      </c>
      <c r="E110" s="415"/>
      <c r="F110" s="415"/>
      <c r="G110" s="415"/>
      <c r="H110" s="416"/>
      <c r="I110" s="167">
        <f>VLOOKUP( $B110, T_Aop[], 4, 1)</f>
        <v>120</v>
      </c>
      <c r="J110" s="253"/>
      <c r="K110" s="254"/>
      <c r="L110" s="334">
        <v>442401</v>
      </c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1" t="str">
        <f>VLOOKUP( $B111, T_Aop[], 6, 1)</f>
        <v xml:space="preserve">      2. Neraspoređeni dobitak tekuće godine / Neraspoređeni višak prihoda nad rashodima tekuće godine</v>
      </c>
      <c r="E111" s="412"/>
      <c r="F111" s="412"/>
      <c r="G111" s="412"/>
      <c r="H111" s="413"/>
      <c r="I111" s="169">
        <f>VLOOKUP( $B111, T_Aop[], 4, 1)</f>
        <v>121</v>
      </c>
      <c r="J111" s="255"/>
      <c r="K111" s="256"/>
      <c r="L111" s="332">
        <v>216832</v>
      </c>
      <c r="M111" s="333">
        <v>465685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4" t="str">
        <f>VLOOKUP( $B112, T_Aop[], 6, 1)</f>
        <v xml:space="preserve">      3. Neto prihod od samostalne djelatnosti</v>
      </c>
      <c r="E112" s="415"/>
      <c r="F112" s="415"/>
      <c r="G112" s="415"/>
      <c r="H112" s="416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7" t="str">
        <f>VLOOKUP( $B113, T_Aop[], 6, 1)</f>
        <v xml:space="preserve">    X - GUBITAK DO VISINE KAPITALA (124 + 125)</v>
      </c>
      <c r="E113" s="418"/>
      <c r="F113" s="418"/>
      <c r="G113" s="418"/>
      <c r="H113" s="419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4" t="str">
        <f>VLOOKUP( $B114, T_Aop[], 6, 1)</f>
        <v xml:space="preserve">      1. Gubitak ranijih godina</v>
      </c>
      <c r="E114" s="415"/>
      <c r="F114" s="415"/>
      <c r="G114" s="415"/>
      <c r="H114" s="416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1" t="str">
        <f>VLOOKUP( $B115, T_Aop[], 6, 1)</f>
        <v xml:space="preserve">      2. Gubitak tekuće godine</v>
      </c>
      <c r="E115" s="412"/>
      <c r="F115" s="412"/>
      <c r="G115" s="412"/>
      <c r="H115" s="413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1" t="str">
        <f>VLOOKUP( $B116, T_Aop[], 6, 1)</f>
        <v xml:space="preserve">  B. REZERVISANJA, ODLOŽENE PORESKE OBAVEZE I RAZGRANIČENI PRIHODI (127 do 134)</v>
      </c>
      <c r="E116" s="422"/>
      <c r="F116" s="422"/>
      <c r="G116" s="422"/>
      <c r="H116" s="423"/>
      <c r="I116" s="237">
        <f>VLOOKUP( $B116, T_Aop[], 4, 1)</f>
        <v>126</v>
      </c>
      <c r="J116" s="43"/>
      <c r="K116" s="44"/>
      <c r="L116" s="70">
        <f>SUBTOTAL( 9, L117:L124)</f>
        <v>5366</v>
      </c>
      <c r="M116" s="71">
        <f>SUBTOTAL( 9, M117:M124)</f>
        <v>8511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1" t="str">
        <f>VLOOKUP( $B117, T_Aop[], 6, 1)</f>
        <v xml:space="preserve">    1. Rezervisanja za troškove u garantnom roku</v>
      </c>
      <c r="E117" s="412"/>
      <c r="F117" s="412"/>
      <c r="G117" s="412"/>
      <c r="H117" s="413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4" t="str">
        <f>VLOOKUP( $B118, T_Aop[], 6, 1)</f>
        <v xml:space="preserve">    2. Rezervisanja za troškove obnavljanja prirodnih bogatstava</v>
      </c>
      <c r="E118" s="415"/>
      <c r="F118" s="415"/>
      <c r="G118" s="415"/>
      <c r="H118" s="416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1" t="str">
        <f>VLOOKUP( $B119, T_Aop[], 6, 1)</f>
        <v xml:space="preserve">    3. Rezervisanja za zadržane kaucije i depozite</v>
      </c>
      <c r="E119" s="412"/>
      <c r="F119" s="412"/>
      <c r="G119" s="412"/>
      <c r="H119" s="413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4" t="str">
        <f>VLOOKUP( $B120, T_Aop[], 6, 1)</f>
        <v xml:space="preserve">    4. Rezervisanja za troškove restrukturisanja</v>
      </c>
      <c r="E120" s="415"/>
      <c r="F120" s="415"/>
      <c r="G120" s="415"/>
      <c r="H120" s="416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1" t="str">
        <f>VLOOKUP( $B121, T_Aop[], 6, 1)</f>
        <v xml:space="preserve">    5. Rezervisanja za naknade i beneficije zaposlenih</v>
      </c>
      <c r="E121" s="412"/>
      <c r="F121" s="412"/>
      <c r="G121" s="412"/>
      <c r="H121" s="413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4" t="str">
        <f>VLOOKUP( $B122, T_Aop[], 6, 1)</f>
        <v xml:space="preserve">    6. Odložene poreske obaveze</v>
      </c>
      <c r="E122" s="415"/>
      <c r="F122" s="415"/>
      <c r="G122" s="415"/>
      <c r="H122" s="416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1" t="str">
        <f>VLOOKUP( $B123, T_Aop[], 6, 1)</f>
        <v xml:space="preserve">    7. Razgraničeni prihodi i primljene donacije</v>
      </c>
      <c r="E123" s="412"/>
      <c r="F123" s="412"/>
      <c r="G123" s="412"/>
      <c r="H123" s="413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4" t="str">
        <f>VLOOKUP( $B124, T_Aop[], 6, 1)</f>
        <v xml:space="preserve">    8. Ostala dugoročna rezervisanja</v>
      </c>
      <c r="E124" s="415"/>
      <c r="F124" s="415"/>
      <c r="G124" s="415"/>
      <c r="H124" s="416"/>
      <c r="I124" s="167">
        <f>VLOOKUP( $B124, T_Aop[], 4, 1)</f>
        <v>134</v>
      </c>
      <c r="J124" s="253"/>
      <c r="K124" s="254"/>
      <c r="L124" s="334">
        <v>5366</v>
      </c>
      <c r="M124" s="335">
        <v>8511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7" t="str">
        <f>VLOOKUP( $B125, T_Aop[], 6, 1)</f>
        <v xml:space="preserve">  V. OBAVEZE (136 + 144)</v>
      </c>
      <c r="E125" s="418"/>
      <c r="F125" s="418"/>
      <c r="G125" s="418"/>
      <c r="H125" s="419"/>
      <c r="I125" s="239">
        <f>VLOOKUP( $B125, T_Aop[], 4, 1)</f>
        <v>135</v>
      </c>
      <c r="J125" s="45"/>
      <c r="K125" s="46"/>
      <c r="L125" s="72">
        <f>SUBTOTAL( 9, L126:L153)</f>
        <v>845521</v>
      </c>
      <c r="M125" s="73">
        <f>SUBTOTAL( 9, M126:M153)</f>
        <v>810355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1" t="str">
        <f>VLOOKUP( $B126, T_Aop[], 6, 1)</f>
        <v xml:space="preserve">    I - DUGOROČNE OBAVEZE (137 do 143)</v>
      </c>
      <c r="E126" s="422"/>
      <c r="F126" s="422"/>
      <c r="G126" s="422"/>
      <c r="H126" s="423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1" t="str">
        <f>VLOOKUP( $B127, T_Aop[], 6, 1)</f>
        <v xml:space="preserve">      1. Obaveze koje se mogu konvertovati u kapital</v>
      </c>
      <c r="E127" s="412"/>
      <c r="F127" s="412"/>
      <c r="G127" s="412"/>
      <c r="H127" s="413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4" t="str">
        <f>VLOOKUP( $B128, T_Aop[], 6, 1)</f>
        <v xml:space="preserve">      2. Obaveze prema povezanim pravnim licima</v>
      </c>
      <c r="E128" s="415"/>
      <c r="F128" s="415"/>
      <c r="G128" s="415"/>
      <c r="H128" s="416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1" t="str">
        <f>VLOOKUP( $B129, T_Aop[], 6, 1)</f>
        <v xml:space="preserve">      3. Obaveze po emitovanim dugoročnim hartijama od vrijednosti</v>
      </c>
      <c r="E129" s="412"/>
      <c r="F129" s="412"/>
      <c r="G129" s="412"/>
      <c r="H129" s="413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4" t="str">
        <f>VLOOKUP( $B130, T_Aop[], 6, 1)</f>
        <v xml:space="preserve">      4. Dugoročni krediti</v>
      </c>
      <c r="E130" s="415"/>
      <c r="F130" s="415"/>
      <c r="G130" s="415"/>
      <c r="H130" s="416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1" t="str">
        <f>VLOOKUP( $B131, T_Aop[], 6, 1)</f>
        <v xml:space="preserve">      5. Dugoročne obaveze po finansijskom lizingu</v>
      </c>
      <c r="E131" s="412"/>
      <c r="F131" s="412"/>
      <c r="G131" s="412"/>
      <c r="H131" s="413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4" t="str">
        <f>VLOOKUP( $B132, T_Aop[], 6, 1)</f>
        <v xml:space="preserve">      6. Dugoročne obaveze po fer vrijednosti kroz bilans uspjeha</v>
      </c>
      <c r="E132" s="415"/>
      <c r="F132" s="415"/>
      <c r="G132" s="415"/>
      <c r="H132" s="416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1" t="str">
        <f>VLOOKUP( $B133, T_Aop[], 6, 1)</f>
        <v xml:space="preserve">      7. Ostale dugoročne obaveze</v>
      </c>
      <c r="E133" s="412"/>
      <c r="F133" s="412"/>
      <c r="G133" s="412"/>
      <c r="H133" s="413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1" t="str">
        <f>VLOOKUP( $B134, T_Aop[], 6, 1)</f>
        <v xml:space="preserve">    II - KRATKOROČNE OBAVEZE (145 + 150 + 156 + 157 + 158 + 159 + 160 + 161 + 162 + 163)</v>
      </c>
      <c r="E134" s="422"/>
      <c r="F134" s="422"/>
      <c r="G134" s="422"/>
      <c r="H134" s="423"/>
      <c r="I134" s="237">
        <f>VLOOKUP( $B134, T_Aop[], 4, 1)</f>
        <v>144</v>
      </c>
      <c r="J134" s="43"/>
      <c r="K134" s="44"/>
      <c r="L134" s="70">
        <f>SUBTOTAL( 9, L135:L153)</f>
        <v>845521</v>
      </c>
      <c r="M134" s="71">
        <f>SUBTOTAL( 9, M135:M153)</f>
        <v>810355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1" t="str">
        <f>VLOOKUP( $B135, T_Aop[], 6, 1)</f>
        <v xml:space="preserve">      1. Kratkoročne finansijske obaveze (146 do 149)</v>
      </c>
      <c r="E135" s="412"/>
      <c r="F135" s="412"/>
      <c r="G135" s="412"/>
      <c r="H135" s="413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4" t="str">
        <f>VLOOKUP( $B136, T_Aop[], 6, 1)</f>
        <v xml:space="preserve">        a) Kratkoročni krediti i obaveze po emitovanim kratkoročnim hartijama od vrijednosti</v>
      </c>
      <c r="E136" s="415"/>
      <c r="F136" s="415"/>
      <c r="G136" s="415"/>
      <c r="H136" s="416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1" t="str">
        <f>VLOOKUP( $B137, T_Aop[], 6, 1)</f>
        <v xml:space="preserve">        b) Dio dugoročnih finansijskih obaveza koji za plaćanje dospijeva u periodu do godinu dana</v>
      </c>
      <c r="E137" s="412"/>
      <c r="F137" s="412"/>
      <c r="G137" s="412"/>
      <c r="H137" s="413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14" t="str">
        <f>VLOOKUP( $B138, T_Aop[], 6, 1)</f>
        <v xml:space="preserve">        v) Kratkoročne obaveze po fer vrijednosti kroz bilans uspjeha</v>
      </c>
      <c r="E138" s="415"/>
      <c r="F138" s="415"/>
      <c r="G138" s="415"/>
      <c r="H138" s="416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1" t="str">
        <f>VLOOKUP( $B139, T_Aop[], 6, 1)</f>
        <v xml:space="preserve">        g) Ostale kratkoročne finansijske obaveze</v>
      </c>
      <c r="E139" s="412"/>
      <c r="F139" s="412"/>
      <c r="G139" s="412"/>
      <c r="H139" s="413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4" t="str">
        <f>VLOOKUP( $B140, T_Aop[], 6, 1)</f>
        <v xml:space="preserve">      2. Obaveze iz poslovanja (151 do 155)</v>
      </c>
      <c r="E140" s="415"/>
      <c r="F140" s="415"/>
      <c r="G140" s="415"/>
      <c r="H140" s="416"/>
      <c r="I140" s="167">
        <f>VLOOKUP( $B140, T_Aop[], 4, 1)</f>
        <v>150</v>
      </c>
      <c r="J140" s="253"/>
      <c r="K140" s="254"/>
      <c r="L140" s="210">
        <f>SUBTOTAL( 9, L141:L145)</f>
        <v>111538</v>
      </c>
      <c r="M140" s="211">
        <f>SUBTOTAL( 9, M141:M145)</f>
        <v>81326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1" t="str">
        <f>VLOOKUP( $B141, T_Aop[], 6, 1)</f>
        <v xml:space="preserve">        a) Primljeni avansi, depoziti i kaucije</v>
      </c>
      <c r="E141" s="412"/>
      <c r="F141" s="412"/>
      <c r="G141" s="412"/>
      <c r="H141" s="413"/>
      <c r="I141" s="169">
        <f>VLOOKUP( $B141, T_Aop[], 4, 1)</f>
        <v>151</v>
      </c>
      <c r="J141" s="255"/>
      <c r="K141" s="256"/>
      <c r="L141" s="332">
        <v>22861</v>
      </c>
      <c r="M141" s="333">
        <v>24298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4" t="str">
        <f>VLOOKUP( $B142, T_Aop[], 6, 1)</f>
        <v xml:space="preserve">        b) Dobavljači - povezana pravna lica</v>
      </c>
      <c r="E142" s="415"/>
      <c r="F142" s="415"/>
      <c r="G142" s="415"/>
      <c r="H142" s="416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1" t="str">
        <f>VLOOKUP( $B143, T_Aop[], 6, 1)</f>
        <v xml:space="preserve">        v) Dobavljači u zemlji</v>
      </c>
      <c r="E143" s="412"/>
      <c r="F143" s="412"/>
      <c r="G143" s="412"/>
      <c r="H143" s="413"/>
      <c r="I143" s="169">
        <f>VLOOKUP( $B143, T_Aop[], 4, 1)</f>
        <v>153</v>
      </c>
      <c r="J143" s="255"/>
      <c r="K143" s="256"/>
      <c r="L143" s="332">
        <v>88675</v>
      </c>
      <c r="M143" s="333">
        <v>56761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4" t="str">
        <f>VLOOKUP( $B144, T_Aop[], 6, 1)</f>
        <v xml:space="preserve">        g) Dobavljači iz inostranstva</v>
      </c>
      <c r="E144" s="415"/>
      <c r="F144" s="415"/>
      <c r="G144" s="415"/>
      <c r="H144" s="416"/>
      <c r="I144" s="167">
        <f>VLOOKUP( $B144, T_Aop[], 4, 1)</f>
        <v>154</v>
      </c>
      <c r="J144" s="253"/>
      <c r="K144" s="254"/>
      <c r="L144" s="334">
        <v>2</v>
      </c>
      <c r="M144" s="335">
        <v>267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11" t="str">
        <f>VLOOKUP( $B145, T_Aop[], 6, 1)</f>
        <v xml:space="preserve">        d) Ostale obaveze iz poslovanja</v>
      </c>
      <c r="E145" s="412"/>
      <c r="F145" s="412"/>
      <c r="G145" s="412"/>
      <c r="H145" s="413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4" t="str">
        <f>VLOOKUP( $B146, T_Aop[], 6, 1)</f>
        <v xml:space="preserve">      3. Obaveze iz specifičnih poslova</v>
      </c>
      <c r="E146" s="415"/>
      <c r="F146" s="415"/>
      <c r="G146" s="415"/>
      <c r="H146" s="416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1" t="str">
        <f>VLOOKUP( $B147, T_Aop[], 6, 1)</f>
        <v xml:space="preserve">      4. Obaveze za zarade i naknade zarada</v>
      </c>
      <c r="E147" s="412"/>
      <c r="F147" s="412"/>
      <c r="G147" s="412"/>
      <c r="H147" s="413"/>
      <c r="I147" s="169">
        <f>VLOOKUP( $B147, T_Aop[], 4, 1)</f>
        <v>157</v>
      </c>
      <c r="J147" s="255"/>
      <c r="K147" s="256"/>
      <c r="L147" s="332">
        <v>28154</v>
      </c>
      <c r="M147" s="333"/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4" t="str">
        <f>VLOOKUP( $B148, T_Aop[], 6, 1)</f>
        <v xml:space="preserve">      5. Druge obaveze</v>
      </c>
      <c r="E148" s="415"/>
      <c r="F148" s="415"/>
      <c r="G148" s="415"/>
      <c r="H148" s="416"/>
      <c r="I148" s="167">
        <f>VLOOKUP( $B148, T_Aop[], 4, 1)</f>
        <v>158</v>
      </c>
      <c r="J148" s="253"/>
      <c r="K148" s="254"/>
      <c r="L148" s="334">
        <v>676635</v>
      </c>
      <c r="M148" s="335">
        <v>675155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1" t="str">
        <f>VLOOKUP( $B149, T_Aop[], 6, 1)</f>
        <v xml:space="preserve">      6. Porez na dodatu vrijednost</v>
      </c>
      <c r="E149" s="412"/>
      <c r="F149" s="412"/>
      <c r="G149" s="412"/>
      <c r="H149" s="413"/>
      <c r="I149" s="169">
        <f>VLOOKUP( $B149, T_Aop[], 4, 1)</f>
        <v>159</v>
      </c>
      <c r="J149" s="255"/>
      <c r="K149" s="256"/>
      <c r="L149" s="332"/>
      <c r="M149" s="333">
        <v>16240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4" t="str">
        <f>VLOOKUP( $B150, T_Aop[], 6, 1)</f>
        <v xml:space="preserve">      7. Obaveze za ostale poreze, doprinose i druge dažbine</v>
      </c>
      <c r="E150" s="415"/>
      <c r="F150" s="415"/>
      <c r="G150" s="415"/>
      <c r="H150" s="416"/>
      <c r="I150" s="167">
        <f>VLOOKUP( $B150, T_Aop[], 4, 1)</f>
        <v>160</v>
      </c>
      <c r="J150" s="253"/>
      <c r="K150" s="254"/>
      <c r="L150" s="334">
        <v>4740</v>
      </c>
      <c r="M150" s="335">
        <v>907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1" t="str">
        <f>VLOOKUP( $B151, T_Aop[], 6, 1)</f>
        <v xml:space="preserve">      8. Obaveze za porez na dobitak</v>
      </c>
      <c r="E151" s="412"/>
      <c r="F151" s="412"/>
      <c r="G151" s="412"/>
      <c r="H151" s="413"/>
      <c r="I151" s="169">
        <f>VLOOKUP( $B151, T_Aop[], 4, 1)</f>
        <v>161</v>
      </c>
      <c r="J151" s="255"/>
      <c r="K151" s="256"/>
      <c r="L151" s="332">
        <v>6593</v>
      </c>
      <c r="M151" s="333">
        <v>17038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4" t="str">
        <f>VLOOKUP( $B152, T_Aop[], 6, 1)</f>
        <v xml:space="preserve">      9. Pasivna vremenska razgraničenja i kratkoročna rezervisanja</v>
      </c>
      <c r="E152" s="415"/>
      <c r="F152" s="415"/>
      <c r="G152" s="415"/>
      <c r="H152" s="416"/>
      <c r="I152" s="167">
        <f>VLOOKUP( $B152, T_Aop[], 4, 1)</f>
        <v>162</v>
      </c>
      <c r="J152" s="253"/>
      <c r="K152" s="254"/>
      <c r="L152" s="334">
        <v>7062</v>
      </c>
      <c r="M152" s="335">
        <v>8890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1" t="str">
        <f>VLOOKUP( $B153, T_Aop[], 6, 1)</f>
        <v xml:space="preserve">      10. Odložene poreske obaveze</v>
      </c>
      <c r="E153" s="412"/>
      <c r="F153" s="412"/>
      <c r="G153" s="412"/>
      <c r="H153" s="413"/>
      <c r="I153" s="169">
        <f>VLOOKUP( $B153, T_Aop[], 4, 1)</f>
        <v>163</v>
      </c>
      <c r="J153" s="255"/>
      <c r="K153" s="256"/>
      <c r="L153" s="332">
        <v>10799</v>
      </c>
      <c r="M153" s="333">
        <v>10799</v>
      </c>
      <c r="O153" s="60"/>
    </row>
    <row r="154" spans="2:15" x14ac:dyDescent="0.2">
      <c r="B154" s="17">
        <v>132</v>
      </c>
      <c r="C154" s="236">
        <f>VLOOKUP( $B154, T_Aop[], 5, 1)</f>
        <v>0</v>
      </c>
      <c r="D154" s="421" t="str">
        <f>VLOOKUP( $B154, T_Aop[], 6, 1)</f>
        <v xml:space="preserve">  G. POSLOVNA PASIVA (101 + 126 + 135)</v>
      </c>
      <c r="E154" s="422"/>
      <c r="F154" s="422"/>
      <c r="G154" s="422"/>
      <c r="H154" s="423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13973159</v>
      </c>
      <c r="M154" s="71">
        <f>SUBTOTAL( 9, M91:M98, M100, M102:M107, M109:M112, M116:M153) - SUBTOTAL( 9, M99, M101, M108, M113:M115)</f>
        <v>13724306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7" t="str">
        <f>VLOOKUP( $B155, T_Aop[], 6, 1)</f>
        <v xml:space="preserve">  D. VANBILANSNA PASIVA</v>
      </c>
      <c r="E155" s="418"/>
      <c r="F155" s="418"/>
      <c r="G155" s="418"/>
      <c r="H155" s="419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4" t="str">
        <f>VLOOKUP( $B156, T_Aop[], 6, 1)</f>
        <v xml:space="preserve">  Đ. UKUPNA PASIVA (164 + 165)</v>
      </c>
      <c r="E156" s="425"/>
      <c r="F156" s="425"/>
      <c r="G156" s="425"/>
      <c r="H156" s="426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13973159</v>
      </c>
      <c r="M156" s="268">
        <f>SUBTOTAL( 9, M91:M98, M100, M102:M107, M109:M112, M116:M155) - SUBTOTAL( 9, M99, M101, M108, M113:M115)</f>
        <v>13724306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BILJANA RADULJ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31.07.2018.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MILINKO KLINCOV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opLeftCell="C1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5" t="str">
        <f>Podatak_MB</f>
        <v>01866885</v>
      </c>
      <c r="E5" s="475"/>
      <c r="I5" s="17" t="str">
        <f>Zaglavlje_Ziro_racun</f>
        <v>Poslovni računi:</v>
      </c>
      <c r="J5" s="471" t="str">
        <f>Podatak_Ziro_racun_1</f>
        <v>567-162-11000662-81</v>
      </c>
      <c r="K5" s="471"/>
    </row>
    <row r="6" spans="3:13" ht="12.75" customHeight="1" x14ac:dyDescent="0.2">
      <c r="C6" s="16" t="str">
        <f>Zaglavlje_Sifra_djelatnosti</f>
        <v>Šifra djelatnosti:</v>
      </c>
      <c r="D6" s="475" t="str">
        <f>Podatak_Sifra_djelatnosti</f>
        <v>55.10</v>
      </c>
      <c r="E6" s="475"/>
      <c r="F6" s="9"/>
      <c r="J6" s="471" t="str">
        <f>Podatak_Ziro_racun_2</f>
        <v>562-099-00004254-51</v>
      </c>
      <c r="K6" s="471"/>
    </row>
    <row r="7" spans="3:13" ht="12.75" customHeight="1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551-001-00003507-81</v>
      </c>
      <c r="K7" s="471"/>
    </row>
    <row r="8" spans="3:13" ht="12.75" customHeight="1" x14ac:dyDescent="0.2">
      <c r="C8" s="476"/>
      <c r="D8" s="476"/>
      <c r="E8" s="476"/>
      <c r="F8" s="19"/>
      <c r="J8" s="471" t="str">
        <f>Podatak_Ziro_racun_4</f>
        <v>161-045-00015600-88</v>
      </c>
      <c r="K8" s="471"/>
    </row>
    <row r="9" spans="3:13" ht="12.75" customHeight="1" x14ac:dyDescent="0.2">
      <c r="C9" s="478" t="str">
        <f>Podatak_Naziv_preduzeca</f>
        <v>HOTEL PALAS A.D.</v>
      </c>
      <c r="D9" s="478"/>
      <c r="E9" s="478"/>
      <c r="F9" s="478"/>
      <c r="J9" s="471" t="str">
        <f>Podatak_Ziro_racun_5</f>
        <v/>
      </c>
      <c r="K9" s="471"/>
    </row>
    <row r="10" spans="3:13" ht="12.75" customHeight="1" x14ac:dyDescent="0.2">
      <c r="C10" s="16" t="str">
        <f>Zaglavlje_Sjediste</f>
        <v>Sjedište:</v>
      </c>
      <c r="D10" s="475" t="str">
        <f>Podatak_Sjediste</f>
        <v>BANJA LUKA</v>
      </c>
      <c r="E10" s="475"/>
      <c r="F10" s="16"/>
      <c r="J10" s="471" t="str">
        <f>Podatak_Ziro_racun_6</f>
        <v/>
      </c>
      <c r="K10" s="471"/>
    </row>
    <row r="11" spans="3:13" ht="12.75" customHeight="1" x14ac:dyDescent="0.2">
      <c r="C11" s="16" t="str">
        <f>Zaglavlje_JIB</f>
        <v>JIB:</v>
      </c>
      <c r="D11" s="475" t="str">
        <f>Podatak_JIB</f>
        <v>4400836260000</v>
      </c>
      <c r="E11" s="475"/>
      <c r="F11" s="20"/>
      <c r="G11" s="20"/>
      <c r="H11" s="20"/>
      <c r="I11" s="20"/>
      <c r="J11"/>
      <c r="K11"/>
    </row>
    <row r="12" spans="3:13" ht="15.75" customHeight="1" x14ac:dyDescent="0.2">
      <c r="C12" s="458" t="str">
        <f>IF( Id_Konsolidovani, Nazivi_bilansa_Konsolidovani_naziv &amp; LOWER( Nazivi_bilansa_BUa), Nazivi_bilansa_BUa)</f>
        <v>Bilans uspjeha</v>
      </c>
      <c r="D12" s="458"/>
      <c r="E12" s="458"/>
      <c r="F12" s="458"/>
      <c r="G12" s="458"/>
      <c r="H12" s="458"/>
      <c r="I12" s="458"/>
      <c r="J12" s="458"/>
      <c r="K12" s="458"/>
      <c r="L12" s="54"/>
    </row>
    <row r="13" spans="3:13" ht="12.75" customHeight="1" x14ac:dyDescent="0.2">
      <c r="C13" s="474" t="str">
        <f>Nazivi_bilansa_BUa1</f>
        <v>(Izvještaj o ukupnom rezultatu u periodu)</v>
      </c>
      <c r="D13" s="474"/>
      <c r="E13" s="474"/>
      <c r="F13" s="474"/>
      <c r="G13" s="474"/>
      <c r="H13" s="474"/>
      <c r="I13" s="474"/>
      <c r="J13" s="474"/>
      <c r="K13" s="474"/>
      <c r="L13" s="54"/>
    </row>
    <row r="14" spans="3:13" ht="12.75" customHeight="1" x14ac:dyDescent="0.2">
      <c r="C14" s="474" t="str">
        <f>Datumi_Datum_BU</f>
        <v>za period od 01.01. do 30.06.2018. godine</v>
      </c>
      <c r="D14" s="474"/>
      <c r="E14" s="474"/>
      <c r="F14" s="474"/>
      <c r="G14" s="474"/>
      <c r="H14" s="474"/>
      <c r="I14" s="474"/>
      <c r="J14" s="474"/>
      <c r="K14" s="47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customHeight="1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80" t="str">
        <f>VLOOKUP( $B19, T_Aop[], 6, 1)</f>
        <v>A. POSLOVNI PRIHODI I RASHODI</v>
      </c>
      <c r="E19" s="480"/>
      <c r="F19" s="480"/>
      <c r="G19" s="480"/>
      <c r="H19" s="48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5" t="str">
        <f>VLOOKUP( $B20, T_Aop[], 6, 1)</f>
        <v xml:space="preserve">    I - POSLOVNI PRIHODI (202 + 206 + 210 + 211 - 212 + 213 - 214 + 215)</v>
      </c>
      <c r="E20" s="465"/>
      <c r="F20" s="465"/>
      <c r="G20" s="465"/>
      <c r="H20" s="465"/>
      <c r="I20" s="265">
        <f>VLOOKUP( $B20, T_Aop[], 4, 1)</f>
        <v>201</v>
      </c>
      <c r="J20" s="84">
        <f>SUBTOTAL( 9, J21:J30, J32, J34) - SUBTOTAL( 9, J31, J33)</f>
        <v>794179</v>
      </c>
      <c r="K20" s="85">
        <f>SUBTOTAL( 9, K21:K30, K32, K34) - SUBTOTAL( 9, K31, K33)</f>
        <v>560215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208221</v>
      </c>
      <c r="K21" s="207">
        <f>SUBTOTAL( 9, K22:K24)</f>
        <v>2621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6" t="str">
        <f>VLOOKUP( $B22, T_Aop[], 6, 1)</f>
        <v xml:space="preserve">        a) Prihodi od prodaje robe povezanim pravnim licima</v>
      </c>
      <c r="E22" s="466"/>
      <c r="F22" s="466"/>
      <c r="G22" s="466"/>
      <c r="H22" s="466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>
        <v>100009</v>
      </c>
      <c r="K23" s="218">
        <v>2621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6" t="str">
        <f>VLOOKUP( $B24, T_Aop[], 6, 1)</f>
        <v xml:space="preserve">        v) Prihodi od prodaje robe na inostranom tržištu</v>
      </c>
      <c r="E24" s="466"/>
      <c r="F24" s="466"/>
      <c r="G24" s="466"/>
      <c r="H24" s="466"/>
      <c r="I24" s="263">
        <f>VLOOKUP( $B24, T_Aop[], 4, 1)</f>
        <v>205</v>
      </c>
      <c r="J24" s="215">
        <v>108212</v>
      </c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366432</v>
      </c>
      <c r="K25" s="207">
        <f>SUBTOTAL( 9, K26:K28)</f>
        <v>314711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6" t="str">
        <f>VLOOKUP( $B26, T_Aop[], 6, 1)</f>
        <v xml:space="preserve">        a) Prihodi od prodaje učinaka povezanim pravnim licima</v>
      </c>
      <c r="E26" s="466"/>
      <c r="F26" s="466"/>
      <c r="G26" s="466"/>
      <c r="H26" s="466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366432</v>
      </c>
      <c r="K27" s="218">
        <v>314711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6" t="str">
        <f>VLOOKUP( $B28, T_Aop[], 6, 1)</f>
        <v xml:space="preserve">        v) Prihodi od prodaje učinaka na inostranom tržištu</v>
      </c>
      <c r="E28" s="466"/>
      <c r="F28" s="466"/>
      <c r="G28" s="466"/>
      <c r="H28" s="466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6" t="str">
        <f>VLOOKUP( $B30, T_Aop[], 6, 1)</f>
        <v xml:space="preserve">      4. Povećanje vrijednosti zaliha učinaka</v>
      </c>
      <c r="E30" s="466"/>
      <c r="F30" s="466"/>
      <c r="G30" s="466"/>
      <c r="H30" s="466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6" t="str">
        <f>VLOOKUP( $B32, T_Aop[], 6, 1)</f>
        <v xml:space="preserve">      6. Povećanje vrijednosti investicionih nekretnina i bioloških sredstava koja se ne amortizuju</v>
      </c>
      <c r="E32" s="466"/>
      <c r="F32" s="466"/>
      <c r="G32" s="466"/>
      <c r="H32" s="466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6" t="str">
        <f>VLOOKUP( $B34, T_Aop[], 6, 1)</f>
        <v xml:space="preserve">      8. Ostali poslovni prihodi</v>
      </c>
      <c r="E34" s="466"/>
      <c r="F34" s="466"/>
      <c r="G34" s="466"/>
      <c r="H34" s="466"/>
      <c r="I34" s="263">
        <f>VLOOKUP( $B34, T_Aop[], 4, 1)</f>
        <v>215</v>
      </c>
      <c r="J34" s="215">
        <v>219526</v>
      </c>
      <c r="K34" s="216">
        <v>242883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0" t="str">
        <f>VLOOKUP( $B35, T_Aop[], 6, 1)</f>
        <v xml:space="preserve">    II - POSLOVNI RASHODI (217 + 218 + 219 + 222 + 223 + 226 + 227 + 228)</v>
      </c>
      <c r="E35" s="470"/>
      <c r="F35" s="470"/>
      <c r="G35" s="470"/>
      <c r="H35" s="470"/>
      <c r="I35" s="266">
        <f>VLOOKUP( $B35, T_Aop[], 4, 1)</f>
        <v>216</v>
      </c>
      <c r="J35" s="88">
        <f>SUBTOTAL( 9, J36:J47)</f>
        <v>617264</v>
      </c>
      <c r="K35" s="89">
        <f>SUBTOTAL( 9, K36:K47)</f>
        <v>372274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6" t="str">
        <f>VLOOKUP( $B36, T_Aop[], 6, 1)</f>
        <v xml:space="preserve">      1. Nabavna vrijednost prodate robe</v>
      </c>
      <c r="E36" s="466"/>
      <c r="F36" s="466"/>
      <c r="G36" s="466"/>
      <c r="H36" s="466"/>
      <c r="I36" s="263">
        <f>VLOOKUP( $B36, T_Aop[], 4, 1)</f>
        <v>217</v>
      </c>
      <c r="J36" s="215">
        <v>207506</v>
      </c>
      <c r="K36" s="216">
        <v>798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73463</v>
      </c>
      <c r="K37" s="218">
        <v>79595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6" t="str">
        <f>VLOOKUP( $B38, T_Aop[], 6, 1)</f>
        <v xml:space="preserve">      3. Troškovi zarada, naknada zarada i ostalih ličnih rashoda (220 + 221)</v>
      </c>
      <c r="E38" s="466"/>
      <c r="F38" s="466"/>
      <c r="G38" s="466"/>
      <c r="H38" s="466"/>
      <c r="I38" s="263">
        <f>VLOOKUP( $B38, T_Aop[], 4, 1)</f>
        <v>219</v>
      </c>
      <c r="J38" s="204">
        <f>SUBTOTAL( 9, J39:J40)</f>
        <v>154008</v>
      </c>
      <c r="K38" s="206">
        <f>SUBTOTAL( 9, K39:K40)</f>
        <v>154041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141488</v>
      </c>
      <c r="K39" s="218">
        <v>130330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6" t="str">
        <f>VLOOKUP( $B40, T_Aop[], 6, 1)</f>
        <v xml:space="preserve">        b) Ostali lični rashodi</v>
      </c>
      <c r="E40" s="466"/>
      <c r="F40" s="466"/>
      <c r="G40" s="466"/>
      <c r="H40" s="466"/>
      <c r="I40" s="263">
        <f>VLOOKUP( $B40, T_Aop[], 4, 1)</f>
        <v>221</v>
      </c>
      <c r="J40" s="215">
        <v>12520</v>
      </c>
      <c r="K40" s="216">
        <v>23711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43719</v>
      </c>
      <c r="K41" s="218">
        <v>24601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6" t="str">
        <f>VLOOKUP( $B42, T_Aop[], 6, 1)</f>
        <v xml:space="preserve">      5. Troškovi amortizacije i rezervisanja (224 + 225)</v>
      </c>
      <c r="E42" s="466"/>
      <c r="F42" s="466"/>
      <c r="G42" s="466"/>
      <c r="H42" s="466"/>
      <c r="I42" s="263">
        <f>VLOOKUP( $B42, T_Aop[], 4, 1)</f>
        <v>223</v>
      </c>
      <c r="J42" s="204">
        <f>SUBTOTAL( 9, J43:J44)</f>
        <v>57473</v>
      </c>
      <c r="K42" s="206">
        <f>SUBTOTAL( 9, K43:K44)</f>
        <v>68235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57473</v>
      </c>
      <c r="K43" s="218">
        <v>68235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6" t="str">
        <f>VLOOKUP( $B44, T_Aop[], 6, 1)</f>
        <v xml:space="preserve">        b) Troškovi rezervisanja</v>
      </c>
      <c r="E44" s="466"/>
      <c r="F44" s="466"/>
      <c r="G44" s="466"/>
      <c r="H44" s="466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62650</v>
      </c>
      <c r="K45" s="218">
        <v>33704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6" t="str">
        <f>VLOOKUP( $B46, T_Aop[], 6, 1)</f>
        <v xml:space="preserve">      7. Troškovi poreza</v>
      </c>
      <c r="E46" s="466"/>
      <c r="F46" s="466"/>
      <c r="G46" s="466"/>
      <c r="H46" s="466"/>
      <c r="I46" s="263">
        <f>VLOOKUP( $B46, T_Aop[], 4, 1)</f>
        <v>227</v>
      </c>
      <c r="J46" s="215">
        <v>18313</v>
      </c>
      <c r="K46" s="216">
        <v>11170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132</v>
      </c>
      <c r="K47" s="218">
        <v>130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5" t="str">
        <f>VLOOKUP( $B48, T_Aop[], 6, 1)</f>
        <v xml:space="preserve">  B. POSLOVNI DOBITAK (201 - 216)</v>
      </c>
      <c r="E48" s="465"/>
      <c r="F48" s="465"/>
      <c r="G48" s="465"/>
      <c r="H48" s="465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176915</v>
      </c>
      <c r="K48" s="85">
        <f>IF( SUBTOTAL( 9, K20:K30, K32, K34) - SUBTOTAL( 9, K31, K33, K35:K47) &lt;= 0, 0, ABS( SUBTOTAL( 9, K20:K30, K32, K34) - SUBTOTAL( 9, K31, K33, K35:K47)) )</f>
        <v>187941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0" t="str">
        <f>VLOOKUP( $B49, T_Aop[], 6, 1)</f>
        <v xml:space="preserve">  V. POSLOVNI GUBITAK (216 - 201)</v>
      </c>
      <c r="E49" s="470"/>
      <c r="F49" s="470"/>
      <c r="G49" s="470"/>
      <c r="H49" s="470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5" t="str">
        <f>VLOOKUP( $B50, T_Aop[], 6, 1)</f>
        <v>G. FINANSIJSKI PRIHODI I RASHODI</v>
      </c>
      <c r="E50" s="465"/>
      <c r="F50" s="465"/>
      <c r="G50" s="465"/>
      <c r="H50" s="465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0" t="str">
        <f>VLOOKUP( $B51, T_Aop[], 6, 1)</f>
        <v xml:space="preserve">    I - FINANSIJSKI PRIHODI (232 do 237)</v>
      </c>
      <c r="E51" s="470"/>
      <c r="F51" s="470"/>
      <c r="G51" s="470"/>
      <c r="H51" s="470"/>
      <c r="I51" s="266">
        <f>VLOOKUP( $B51, T_Aop[], 4, 1)</f>
        <v>231</v>
      </c>
      <c r="J51" s="88">
        <f>SUBTOTAL( 9, J52:J57)</f>
        <v>62266</v>
      </c>
      <c r="K51" s="89">
        <f>SUBTOTAL( 9, K52:K57)</f>
        <v>62898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6" t="str">
        <f>VLOOKUP( $B52, T_Aop[], 6, 1)</f>
        <v xml:space="preserve">      1. Finansijski prihodi od povezanih pravnih lica</v>
      </c>
      <c r="E52" s="466"/>
      <c r="F52" s="466"/>
      <c r="G52" s="466"/>
      <c r="H52" s="466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62256</v>
      </c>
      <c r="K53" s="218">
        <v>62637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6" t="str">
        <f>VLOOKUP( $B54, T_Aop[], 6, 1)</f>
        <v xml:space="preserve">      3. Pozitivne kursne razlike</v>
      </c>
      <c r="E54" s="466"/>
      <c r="F54" s="466"/>
      <c r="G54" s="466"/>
      <c r="H54" s="466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6" t="str">
        <f>VLOOKUP( $B56, T_Aop[], 6, 1)</f>
        <v xml:space="preserve">      5. Prihodi od učešća u dobitku zajedničkih ulaganja</v>
      </c>
      <c r="E56" s="466"/>
      <c r="F56" s="466"/>
      <c r="G56" s="466"/>
      <c r="H56" s="466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>
        <v>10</v>
      </c>
      <c r="K57" s="218">
        <v>261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5" t="str">
        <f>VLOOKUP( $B58, T_Aop[], 6, 1)</f>
        <v xml:space="preserve">    II - FINANSIJSKI RASHODI (239 do 243)</v>
      </c>
      <c r="E58" s="465"/>
      <c r="F58" s="465"/>
      <c r="G58" s="465"/>
      <c r="H58" s="465"/>
      <c r="I58" s="265">
        <f>VLOOKUP( $B58, T_Aop[], 4, 1)</f>
        <v>238</v>
      </c>
      <c r="J58" s="84">
        <f>SUBTOTAL( 9, J59:J63)</f>
        <v>0</v>
      </c>
      <c r="K58" s="85">
        <f>SUBTOTAL( 9, K59:K63)</f>
        <v>2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6" t="str">
        <f>VLOOKUP( $B60, T_Aop[], 6, 1)</f>
        <v xml:space="preserve">      2. Rashodi kamata</v>
      </c>
      <c r="E60" s="466"/>
      <c r="F60" s="466"/>
      <c r="G60" s="466"/>
      <c r="H60" s="466"/>
      <c r="I60" s="263">
        <f>VLOOKUP( $B60, T_Aop[], 4, 1)</f>
        <v>240</v>
      </c>
      <c r="J60" s="215"/>
      <c r="K60" s="216">
        <v>1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>
        <v>1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6" t="str">
        <f>VLOOKUP( $B62, T_Aop[], 6, 1)</f>
        <v xml:space="preserve">      4. Rashodi po osnovu valutne klauzule</v>
      </c>
      <c r="E62" s="466"/>
      <c r="F62" s="466"/>
      <c r="G62" s="466"/>
      <c r="H62" s="466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5" t="str">
        <f>VLOOKUP( $B64, T_Aop[], 6, 1)</f>
        <v xml:space="preserve">  D. DOBITAK REDOVNE AKTIVNOSTI (229 + 231 - 238) ili (231 - 238 - 230)</v>
      </c>
      <c r="E64" s="465"/>
      <c r="F64" s="465"/>
      <c r="G64" s="465"/>
      <c r="H64" s="465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239181</v>
      </c>
      <c r="K64" s="85">
        <f>IF( SUBTOTAL( 9,K20:K30, K32, K34, K51:K57) - SUBTOTAL( 9, K31, K33, K35:K47, K58:K63) &lt;= 0, 0, ABS( SUBTOTAL( 9,K20:K30, K32, K34, K51:K57) - SUBTOTAL( 9, K31, K33, K35:K47, K58:K63)))</f>
        <v>250837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0" t="str">
        <f>VLOOKUP( $B65, T_Aop[], 6, 1)</f>
        <v xml:space="preserve">  Đ. GUBITAK REDOVNE AKTIVNOSTI (230 + 238 - 231) ili (238 - 229 - 231)</v>
      </c>
      <c r="E65" s="470"/>
      <c r="F65" s="470"/>
      <c r="G65" s="470"/>
      <c r="H65" s="470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5" t="str">
        <f>VLOOKUP( $B66, T_Aop[], 6, 1)</f>
        <v>E. OSTALI PRIHODI I RASHODI</v>
      </c>
      <c r="E66" s="465"/>
      <c r="F66" s="465"/>
      <c r="G66" s="465"/>
      <c r="H66" s="465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0" t="str">
        <f>VLOOKUP( $B67, T_Aop[], 6, 1)</f>
        <v xml:space="preserve">    I - OSTALI PRIHODI (247 do 256)</v>
      </c>
      <c r="E67" s="470"/>
      <c r="F67" s="470"/>
      <c r="G67" s="470"/>
      <c r="H67" s="470"/>
      <c r="I67" s="266">
        <f>VLOOKUP( $B67, T_Aop[], 4, 1)</f>
        <v>246</v>
      </c>
      <c r="J67" s="88">
        <f>SUBTOTAL( 9, J68:J77)</f>
        <v>5530</v>
      </c>
      <c r="K67" s="89">
        <f>SUBTOTAL( 9, K68:K77)</f>
        <v>19063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6" t="str">
        <f>VLOOKUP( $B68, T_Aop[], 6, 1)</f>
        <v xml:space="preserve">      1. Dobici po osnovu prodaje nematerijalnih sredstava, nekretnina, postrojenja i opreme</v>
      </c>
      <c r="E68" s="466"/>
      <c r="F68" s="466"/>
      <c r="G68" s="466"/>
      <c r="H68" s="466"/>
      <c r="I68" s="263">
        <f>VLOOKUP( $B68, T_Aop[], 4, 1)</f>
        <v>247</v>
      </c>
      <c r="J68" s="215">
        <v>682</v>
      </c>
      <c r="K68" s="216">
        <v>1672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6" t="str">
        <f>VLOOKUP( $B70, T_Aop[], 6, 1)</f>
        <v xml:space="preserve">      3. Dobici po osnovu prodaje bioloških sredstava</v>
      </c>
      <c r="E70" s="466"/>
      <c r="F70" s="466"/>
      <c r="G70" s="466"/>
      <c r="H70" s="466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6" t="str">
        <f>VLOOKUP( $B72, T_Aop[], 6, 1)</f>
        <v xml:space="preserve">      5. Dobici po osnovu prodaje učešća u kapitalu i HOV</v>
      </c>
      <c r="E72" s="466"/>
      <c r="F72" s="466"/>
      <c r="G72" s="466"/>
      <c r="H72" s="466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6" t="str">
        <f>VLOOKUP( $B74, T_Aop[], 6, 1)</f>
        <v xml:space="preserve">      7. Viškovi, izuzimajući viškove zaliha učinaka</v>
      </c>
      <c r="E74" s="466"/>
      <c r="F74" s="466"/>
      <c r="G74" s="466"/>
      <c r="H74" s="466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>
        <v>609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6" t="str">
        <f>VLOOKUP( $B76, T_Aop[], 6, 1)</f>
        <v xml:space="preserve">      9. Prihodi po osnovu ugovorene zaštite od rizika, koji ne ispunjavaju uslove da se iskažu u okviru revalorizacionih rezervi</v>
      </c>
      <c r="E76" s="466"/>
      <c r="F76" s="466"/>
      <c r="G76" s="466"/>
      <c r="H76" s="466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4848</v>
      </c>
      <c r="K77" s="218">
        <v>16782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5" t="str">
        <f>VLOOKUP( $B78, T_Aop[], 6, 1)</f>
        <v xml:space="preserve">    II - OSTALI RASHODI (258 do 267)</v>
      </c>
      <c r="E78" s="465"/>
      <c r="F78" s="465"/>
      <c r="G78" s="465"/>
      <c r="H78" s="465"/>
      <c r="I78" s="265">
        <f>VLOOKUP( $B78, T_Aop[], 4, 1)</f>
        <v>257</v>
      </c>
      <c r="J78" s="84">
        <f>SUBTOTAL( 9, J79:J88)</f>
        <v>3786</v>
      </c>
      <c r="K78" s="85">
        <f>SUBTOTAL( 9, K79:K88)</f>
        <v>7903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6" t="str">
        <f>VLOOKUP( $B80, T_Aop[], 6, 1)</f>
        <v xml:space="preserve">      2. Gubici po osnovu prodaje i rashodovanja investicionih nekretnina</v>
      </c>
      <c r="E80" s="466"/>
      <c r="F80" s="466"/>
      <c r="G80" s="466"/>
      <c r="H80" s="466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6" t="str">
        <f>VLOOKUP( $B82, T_Aop[], 6, 1)</f>
        <v xml:space="preserve">      4. Gubici po osnovu prodaje sredstava obustavljenog poslovanja</v>
      </c>
      <c r="E82" s="466"/>
      <c r="F82" s="466"/>
      <c r="G82" s="466"/>
      <c r="H82" s="466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6" t="str">
        <f>VLOOKUP( $B84, T_Aop[], 6, 1)</f>
        <v xml:space="preserve">      6. Gubici po osnovu prodaje materijala</v>
      </c>
      <c r="E84" s="466"/>
      <c r="F84" s="466"/>
      <c r="G84" s="466"/>
      <c r="H84" s="466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>
        <v>372</v>
      </c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6" t="str">
        <f>VLOOKUP( $B86, T_Aop[], 6, 1)</f>
        <v xml:space="preserve">      8. Rashodi po osnovu zaštite od rizika koji ne ispunjavaju uslove da se iskažu u okviru revalorizacionih rezervi</v>
      </c>
      <c r="E86" s="466"/>
      <c r="F86" s="466"/>
      <c r="G86" s="466"/>
      <c r="H86" s="466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6" t="str">
        <f>VLOOKUP( $B88, T_Aop[], 6, 1)</f>
        <v xml:space="preserve">      10. Rashodi po osnovu rashodovanja zaliha materijala i robe i ostali rashodi</v>
      </c>
      <c r="E88" s="466"/>
      <c r="F88" s="466"/>
      <c r="G88" s="466"/>
      <c r="H88" s="466"/>
      <c r="I88" s="263">
        <f>VLOOKUP( $B88, T_Aop[], 4, 1)</f>
        <v>267</v>
      </c>
      <c r="J88" s="215">
        <v>3414</v>
      </c>
      <c r="K88" s="216">
        <v>7903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0" t="str">
        <f>VLOOKUP( $B89, T_Aop[], 6, 1)</f>
        <v xml:space="preserve">  Ž. DOBITAK PO OSNOVU OSTALIH PRIHODA I RASHODA (246 - 257)</v>
      </c>
      <c r="E89" s="470"/>
      <c r="F89" s="470"/>
      <c r="G89" s="470"/>
      <c r="H89" s="470"/>
      <c r="I89" s="266">
        <f>VLOOKUP( $B89, T_Aop[], 4, 1)</f>
        <v>268</v>
      </c>
      <c r="J89" s="88">
        <f>IF( SUBTOTAL( 9, J67:J77) - SUBTOTAL( 9, J78:J88) &lt;= 0, 0, ABS( SUBTOTAL( 9, J67:J77) - SUBTOTAL( 9, J78:J88)) )</f>
        <v>1744</v>
      </c>
      <c r="K89" s="89">
        <f>IF( SUBTOTAL( 9, K67:K77) - SUBTOTAL( 9, K78:K88) &lt;= 0, 0, ABS( SUBTOTAL( 9, K67:K77) - SUBTOTAL( 9, K78:K88)) )</f>
        <v>11160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5" t="str">
        <f>VLOOKUP( $B90, T_Aop[], 6, 1)</f>
        <v xml:space="preserve">  Z. GUBITAK PO OSNOVU OSTALIH PRIHODA I RASHODA (257 - 246)</v>
      </c>
      <c r="E90" s="465"/>
      <c r="F90" s="465"/>
      <c r="G90" s="465"/>
      <c r="H90" s="465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0" t="str">
        <f>VLOOKUP( $B91, T_Aop[], 6, 1)</f>
        <v>I. PRIHODI I RASHODI OD USKLAĐIVANJA VRIJEDNOSTI IMOVINE</v>
      </c>
      <c r="E91" s="470"/>
      <c r="F91" s="470"/>
      <c r="G91" s="470"/>
      <c r="H91" s="470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5" t="str">
        <f>VLOOKUP( $B92, T_Aop[], 6, 1)</f>
        <v xml:space="preserve">    I - PRIHODI OD USKLAĐIVANJA VRIJEDNOSTI IMOVINE (271 do 279)</v>
      </c>
      <c r="E92" s="465"/>
      <c r="F92" s="465"/>
      <c r="G92" s="465"/>
      <c r="H92" s="465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6" t="str">
        <f>VLOOKUP( $B94, T_Aop[], 6, 1)</f>
        <v xml:space="preserve">      2. Prihodi od usklađivanja vrijednosti nekretnina, postrojenja i opreme</v>
      </c>
      <c r="E94" s="466"/>
      <c r="F94" s="466"/>
      <c r="G94" s="466"/>
      <c r="H94" s="466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6" t="str">
        <f>VLOOKUP( $B96, T_Aop[], 6, 1)</f>
        <v xml:space="preserve">      4. Prihodi od usklađivanja vrijednosti bioloških sredstava za koje se obračunava amortizacija</v>
      </c>
      <c r="E96" s="466"/>
      <c r="F96" s="466"/>
      <c r="G96" s="466"/>
      <c r="H96" s="466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6" t="str">
        <f>VLOOKUP( $B98, T_Aop[], 6, 1)</f>
        <v xml:space="preserve">      6. Prihodi od usklađivanja vrijednosti zaliha materijala i robe</v>
      </c>
      <c r="E98" s="466"/>
      <c r="F98" s="466"/>
      <c r="G98" s="466"/>
      <c r="H98" s="466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6" t="str">
        <f>VLOOKUP( $B100, T_Aop[], 6, 1)</f>
        <v xml:space="preserve">      8. Prihodi od usklađivanja vrijednosti kapitala (negativni Goodwill)</v>
      </c>
      <c r="E100" s="466"/>
      <c r="F100" s="466"/>
      <c r="G100" s="466"/>
      <c r="H100" s="466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5" t="str">
        <f>VLOOKUP( $B102, T_Aop[], 6, 1)</f>
        <v xml:space="preserve">    II - RASHODI OD USKLAĐIVANJA VRIJEDNOSTI IMOVINE (281 do 289)</v>
      </c>
      <c r="E102" s="465"/>
      <c r="F102" s="465"/>
      <c r="G102" s="465"/>
      <c r="H102" s="465"/>
      <c r="I102" s="265">
        <f>VLOOKUP( $B102, T_Aop[], 4, 1)</f>
        <v>280</v>
      </c>
      <c r="J102" s="84">
        <f>SUBTOTAL( 9, J103:J111)</f>
        <v>0</v>
      </c>
      <c r="K102" s="85">
        <f>SUBTOTAL( 9, K103:K111)</f>
        <v>159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6" t="str">
        <f>VLOOKUP( $B104, T_Aop[], 6, 1)</f>
        <v xml:space="preserve">      2. Obezvrjeđenje nekretnina, postrojenja i opreme</v>
      </c>
      <c r="E104" s="466"/>
      <c r="F104" s="466"/>
      <c r="G104" s="466"/>
      <c r="H104" s="466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6" t="str">
        <f>VLOOKUP( $B106, T_Aop[], 6, 1)</f>
        <v xml:space="preserve">      4. Obezvrjeđenje bioloških sredstava za koja se obračunava amortizacija</v>
      </c>
      <c r="E106" s="466"/>
      <c r="F106" s="466"/>
      <c r="G106" s="466"/>
      <c r="H106" s="466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6" t="str">
        <f>VLOOKUP( $B108, T_Aop[], 6, 1)</f>
        <v xml:space="preserve">      6. Obezvrjeđenje zaliha materijala i robe</v>
      </c>
      <c r="E108" s="466"/>
      <c r="F108" s="466"/>
      <c r="G108" s="466"/>
      <c r="H108" s="466"/>
      <c r="I108" s="263">
        <f>VLOOKUP( $B108, T_Aop[], 4, 1)</f>
        <v>286</v>
      </c>
      <c r="J108" s="215"/>
      <c r="K108" s="216">
        <v>159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6" t="str">
        <f>VLOOKUP( $B110, T_Aop[], 6, 1)</f>
        <v xml:space="preserve">      8. Obezvrjeđenje potraživanja primjenom indirektne metode utvrđivanja otpisa potraživanja</v>
      </c>
      <c r="E110" s="466"/>
      <c r="F110" s="466"/>
      <c r="G110" s="466"/>
      <c r="H110" s="466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5" t="str">
        <f>VLOOKUP( $B112, T_Aop[], 6, 1)</f>
        <v xml:space="preserve">  J. DOBITAK PO OSNOVU USKLAĐIVANJA VRIJEDNOSTI IMOVINE (270 - 280)</v>
      </c>
      <c r="E112" s="465"/>
      <c r="F112" s="465"/>
      <c r="G112" s="465"/>
      <c r="H112" s="465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0" t="str">
        <f>VLOOKUP( $B113, T_Aop[], 6, 1)</f>
        <v xml:space="preserve">  K. GUBITAK PO OSNOVU USKLAĐIVANJA VRIJEDNOSTI IMOVINE (280 - 270)</v>
      </c>
      <c r="E113" s="470"/>
      <c r="F113" s="470"/>
      <c r="G113" s="470"/>
      <c r="H113" s="470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159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5" t="str">
        <f>VLOOKUP( $B114, T_Aop[], 6, 1)</f>
        <v xml:space="preserve">  L. PRIHODI PO OSNOVU PROMJENE RAČUNOVODSTVENIH POLITIKA I ISPRAVKE GREŠAKA IZ RANIJIH GODINA</v>
      </c>
      <c r="E114" s="465"/>
      <c r="F114" s="465"/>
      <c r="G114" s="465"/>
      <c r="H114" s="465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0" t="str">
        <f>VLOOKUP( $B115, T_Aop[], 6, 1)</f>
        <v xml:space="preserve">  LJ. RASHODI PO OSNOVU PROMJENE RAČUNOVODSTVENIH POLITIKA I ISPRAVKE GREŠAKA IZ RANIJIH GODINA</v>
      </c>
      <c r="E115" s="470"/>
      <c r="F115" s="470"/>
      <c r="G115" s="470"/>
      <c r="H115" s="470"/>
      <c r="I115" s="266">
        <f>VLOOKUP( $B115, T_Aop[], 4, 1)</f>
        <v>293</v>
      </c>
      <c r="J115" s="340"/>
      <c r="K115" s="341">
        <v>1841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5" t="str">
        <f>VLOOKUP( $B116, T_Aop[], 6, 1)</f>
        <v>M. DOBITAK I GUBITAK PRIJE OPOREZIVANJA</v>
      </c>
      <c r="E116" s="465"/>
      <c r="F116" s="465"/>
      <c r="G116" s="465"/>
      <c r="H116" s="465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240925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259997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6" t="str">
        <f>VLOOKUP( $B118, T_Aop[], 6, 1)</f>
        <v xml:space="preserve">    2. Gubitak prije oporezivanja (245 + 269 + 291 + 293 - 292 - 244 - 268 - 290)</v>
      </c>
      <c r="E118" s="466"/>
      <c r="F118" s="466"/>
      <c r="G118" s="466"/>
      <c r="H118" s="466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0" t="str">
        <f>VLOOKUP( $B119, T_Aop[], 6, 1)</f>
        <v>N. TEKUĆI I ODLOŽENI POREZ NA DOBIT</v>
      </c>
      <c r="E119" s="470"/>
      <c r="F119" s="470"/>
      <c r="G119" s="470"/>
      <c r="H119" s="470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6" t="str">
        <f>VLOOKUP( $B120, T_Aop[], 6, 1)</f>
        <v xml:space="preserve">    1. Poreski rashodi perioda</v>
      </c>
      <c r="E120" s="466"/>
      <c r="F120" s="466"/>
      <c r="G120" s="466"/>
      <c r="H120" s="466"/>
      <c r="I120" s="263">
        <f>VLOOKUP( $B120, T_Aop[], 4, 1)</f>
        <v>296</v>
      </c>
      <c r="J120" s="215">
        <v>24093</v>
      </c>
      <c r="K120" s="216">
        <v>27088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6" t="str">
        <f>VLOOKUP( $B122, T_Aop[], 6, 1)</f>
        <v xml:space="preserve">    3. Odloženi poreski prihodi perioda</v>
      </c>
      <c r="E122" s="466"/>
      <c r="F122" s="466"/>
      <c r="G122" s="466"/>
      <c r="H122" s="466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0" t="str">
        <f>VLOOKUP( $B123, T_Aop[], 6, 1)</f>
        <v>NJ. NETO DOBITAK I NETO GUBITAK PERIODA</v>
      </c>
      <c r="E123" s="470"/>
      <c r="F123" s="470"/>
      <c r="G123" s="470"/>
      <c r="H123" s="470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6" t="str">
        <f>VLOOKUP( $B124, T_Aop[], 6, 1)</f>
        <v xml:space="preserve">    1. Neto dobitak tekuće godine (294 - 295 - 296 - 297 + 298)</v>
      </c>
      <c r="E124" s="466"/>
      <c r="F124" s="466"/>
      <c r="G124" s="466"/>
      <c r="H124" s="466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216832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232909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5" t="str">
        <f>VLOOKUP( $B126, T_Aop[], 6, 1)</f>
        <v>UKUPNI PRIHODI (201 + 231 + 246 + 270 + 292)</v>
      </c>
      <c r="E126" s="465"/>
      <c r="F126" s="465"/>
      <c r="G126" s="465"/>
      <c r="H126" s="465"/>
      <c r="I126" s="265">
        <f>VLOOKUP( $B126, T_Aop[], 4, 1)</f>
        <v>301</v>
      </c>
      <c r="J126" s="84">
        <f>SUBTOTAL( 9, J20:J30, J32, J34, J51:J57, J67:J77, J92:J101, J114) - SUBTOTAL( 9, J31, J33)</f>
        <v>861975</v>
      </c>
      <c r="K126" s="85">
        <f>SUBTOTAL( 9, K20:K30, K32, K34, K51:K57, K67:K77, K92:K101, K114) - SUBTOTAL( 9, K31, K33)</f>
        <v>642176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7" t="str">
        <f>VLOOKUP( $B127, T_Aop[], 6, 1)</f>
        <v>UKUPNI RASHODI (216 + 238 + 257 + 280 + 293)</v>
      </c>
      <c r="E127" s="468"/>
      <c r="F127" s="468"/>
      <c r="G127" s="468"/>
      <c r="H127" s="469"/>
      <c r="I127" s="266">
        <f>VLOOKUP( $B127, T_Aop[], 4, 1)</f>
        <v>302</v>
      </c>
      <c r="J127" s="91">
        <f>SUBTOTAL( 9, J35:J47, J58:J63, J78:J88, J102:J111, J115)</f>
        <v>621050</v>
      </c>
      <c r="K127" s="92">
        <f>SUBTOTAL( 9, K35:K47, K58:K63, K78:K88, K102:K111, K115)</f>
        <v>382179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5" t="str">
        <f>VLOOKUP( $B128, T_Aop[], 6, 1)</f>
        <v xml:space="preserve">  O. MEĐUDIVIDENDE I DRUGI VIDOVI RASPODJELE DOBITKA U TOKU PERIODA</v>
      </c>
      <c r="E128" s="465"/>
      <c r="F128" s="465"/>
      <c r="G128" s="465"/>
      <c r="H128" s="465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6" t="str">
        <f>VLOOKUP( $B130, T_Aop[], 6, 1)</f>
        <v>Dio neto dobitka/gubitka koji pripada manjinskim vlasnicima</v>
      </c>
      <c r="E130" s="466"/>
      <c r="F130" s="466"/>
      <c r="G130" s="466"/>
      <c r="H130" s="466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6" t="str">
        <f>VLOOKUP( $B132, T_Aop[], 6, 1)</f>
        <v>Razrijeđena zarada po akciji</v>
      </c>
      <c r="E132" s="466"/>
      <c r="F132" s="466"/>
      <c r="G132" s="466"/>
      <c r="H132" s="466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22</v>
      </c>
      <c r="K133" s="345">
        <v>19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0" t="str">
        <f>VLOOKUP( $B134, T_Aop[], 6, 1)</f>
        <v>Prosječan broj zaposlenih po osnovu stanja na kraju mjeseca</v>
      </c>
      <c r="E134" s="460"/>
      <c r="F134" s="460"/>
      <c r="G134" s="460"/>
      <c r="H134" s="460"/>
      <c r="I134" s="304">
        <f>VLOOKUP( $B134, T_Aop[], 4, 1)</f>
        <v>309</v>
      </c>
      <c r="J134" s="348">
        <v>22</v>
      </c>
      <c r="K134" s="349">
        <v>19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 LUCI</v>
      </c>
      <c r="E136"/>
      <c r="G136"/>
      <c r="H136" s="154" t="str">
        <f>Podnozje_Lice_sa_licencom</f>
        <v>Lice sa licencom:</v>
      </c>
      <c r="I136" s="270" t="str">
        <f>Podatak_Lice_sa_licencom</f>
        <v>BILJANA RADULJ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31.07.2018.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MILINKO KLINCOV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5" t="str">
        <f>Podatak_MB</f>
        <v>01866885</v>
      </c>
      <c r="E5" s="475"/>
      <c r="I5" s="17" t="str">
        <f>Zaglavlje_Ziro_racun</f>
        <v>Poslovni računi:</v>
      </c>
      <c r="J5" s="471" t="str">
        <f>Podatak_Ziro_racun_1</f>
        <v>567-162-11000662-81</v>
      </c>
      <c r="K5" s="471"/>
    </row>
    <row r="6" spans="2:11" ht="12.75" customHeight="1" x14ac:dyDescent="0.2">
      <c r="B6" s="17"/>
      <c r="C6" s="16" t="str">
        <f>Zaglavlje_Sifra_djelatnosti</f>
        <v>Šifra djelatnosti:</v>
      </c>
      <c r="D6" s="475" t="str">
        <f>Podatak_Sifra_djelatnosti</f>
        <v>55.10</v>
      </c>
      <c r="E6" s="475"/>
      <c r="F6" s="9"/>
      <c r="J6" s="471" t="str">
        <f>Podatak_Ziro_racun_2</f>
        <v>562-099-00004254-51</v>
      </c>
      <c r="K6" s="471"/>
    </row>
    <row r="7" spans="2:11" ht="12.75" customHeight="1" x14ac:dyDescent="0.2">
      <c r="B7" s="17"/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551-001-00003507-81</v>
      </c>
      <c r="K7" s="471"/>
    </row>
    <row r="8" spans="2:11" ht="12.75" customHeight="1" x14ac:dyDescent="0.2">
      <c r="B8" s="17"/>
      <c r="C8" s="476"/>
      <c r="D8" s="476"/>
      <c r="E8" s="476"/>
      <c r="F8" s="19"/>
      <c r="J8" s="471" t="str">
        <f>Podatak_Ziro_racun_4</f>
        <v>161-045-00015600-88</v>
      </c>
      <c r="K8" s="471"/>
    </row>
    <row r="9" spans="2:11" ht="12.75" customHeight="1" x14ac:dyDescent="0.2">
      <c r="B9" s="17"/>
      <c r="C9" s="478" t="str">
        <f>Podatak_Naziv_preduzeca</f>
        <v>HOTEL PALAS A.D.</v>
      </c>
      <c r="D9" s="478"/>
      <c r="E9" s="478"/>
      <c r="F9" s="478"/>
      <c r="J9" s="471" t="str">
        <f>Podatak_Ziro_racun_5</f>
        <v/>
      </c>
      <c r="K9" s="471"/>
    </row>
    <row r="10" spans="2:11" ht="12.75" customHeight="1" x14ac:dyDescent="0.2">
      <c r="B10" s="17"/>
      <c r="C10" s="16" t="str">
        <f>Zaglavlje_Sjediste</f>
        <v>Sjedište:</v>
      </c>
      <c r="D10" s="475" t="str">
        <f>Podatak_Sjediste</f>
        <v>BANJA LUKA</v>
      </c>
      <c r="E10" s="475"/>
      <c r="F10" s="16"/>
      <c r="J10" s="471" t="str">
        <f>Podatak_Ziro_racun_6</f>
        <v/>
      </c>
      <c r="K10" s="471"/>
    </row>
    <row r="11" spans="2:11" ht="12.75" customHeight="1" x14ac:dyDescent="0.2">
      <c r="B11" s="17"/>
      <c r="C11" s="16" t="str">
        <f>Zaglavlje_JIB</f>
        <v>JIB:</v>
      </c>
      <c r="D11" s="475" t="str">
        <f>Podatak_JIB</f>
        <v>4400836260000</v>
      </c>
      <c r="E11" s="47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8" t="str">
        <f>IF( Id_Konsolidovani, Nazivi_bilansa_Konsolidovani_naziv &amp; LOWER( Nazivi_bilansa_BUb), Nazivi_bilansa_BUb)</f>
        <v>Izvještaj</v>
      </c>
      <c r="D12" s="458"/>
      <c r="E12" s="458"/>
      <c r="F12" s="458"/>
      <c r="G12" s="458"/>
      <c r="H12" s="458"/>
      <c r="I12" s="458"/>
      <c r="J12" s="458"/>
      <c r="K12" s="458"/>
    </row>
    <row r="13" spans="2:11" ht="14.25" x14ac:dyDescent="0.2">
      <c r="B13" s="17"/>
      <c r="C13" s="481" t="str">
        <f>Nazivi_bilansa_BUb1</f>
        <v>o ostalim dobicima i gubicima perioda</v>
      </c>
      <c r="D13" s="481"/>
      <c r="E13" s="481"/>
      <c r="F13" s="481"/>
      <c r="G13" s="481"/>
      <c r="H13" s="481"/>
      <c r="I13" s="481"/>
      <c r="J13" s="481"/>
      <c r="K13" s="481"/>
    </row>
    <row r="14" spans="2:11" ht="12.75" customHeight="1" x14ac:dyDescent="0.2">
      <c r="B14" s="17"/>
      <c r="C14" s="474" t="str">
        <f>Datumi_Datum_BU</f>
        <v>za period od 01.01. do 30.06.2018. godine</v>
      </c>
      <c r="D14" s="474"/>
      <c r="E14" s="474"/>
      <c r="F14" s="474"/>
      <c r="G14" s="474"/>
      <c r="H14" s="474"/>
      <c r="I14" s="474"/>
      <c r="J14" s="474"/>
      <c r="K14" s="47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</row>
    <row r="17" spans="2:15" ht="25.5" customHeight="1" x14ac:dyDescent="0.2">
      <c r="B17" s="17"/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2" t="str">
        <f>VLOOKUP( $B19, T_Aop[], 6, 1)</f>
        <v>A. NETO DOBITAK ILI NETO GUBITAK PERIODA (299 ili 300)</v>
      </c>
      <c r="E19" s="482"/>
      <c r="F19" s="482"/>
      <c r="G19" s="482"/>
      <c r="H19" s="482"/>
      <c r="I19" s="102">
        <f>VLOOKUP( $B19, T_Aop[], 4, 1)</f>
        <v>400</v>
      </c>
      <c r="J19" s="103">
        <f>'02a'!J124 - '02a'!J125</f>
        <v>216832</v>
      </c>
      <c r="K19" s="104">
        <f>'02a'!K124 - '02a'!K125</f>
        <v>232909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3" t="str">
        <f>VLOOKUP( $B20, T_Aop[], 6, 1)</f>
        <v xml:space="preserve">  I - DOBICI UTVRĐENI DIREKTNO U KAPITALU (402 do 407)</v>
      </c>
      <c r="E20" s="483"/>
      <c r="F20" s="483"/>
      <c r="G20" s="483"/>
      <c r="H20" s="483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6" t="str">
        <f>VLOOKUP( $B21, T_Aop[], 6, 1)</f>
        <v xml:space="preserve">    1. Dobici po osnovu smanjenja revalorizacionih rezervi na stalnim sredstvima, osim HOV raspoloživih za prodaju</v>
      </c>
      <c r="E21" s="466"/>
      <c r="F21" s="466"/>
      <c r="G21" s="466"/>
      <c r="H21" s="466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4" t="str">
        <f>VLOOKUP( $B22, T_Aop[], 6, 1)</f>
        <v xml:space="preserve">    2. Dobici po osnovu promjene fer vrijednosti HOV raspoloživih za prodaju</v>
      </c>
      <c r="E22" s="484"/>
      <c r="F22" s="484"/>
      <c r="G22" s="484"/>
      <c r="H22" s="48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6" t="str">
        <f>VLOOKUP( $B23, T_Aop[], 6, 1)</f>
        <v xml:space="preserve">    3. Dobici po osnovu prevođenja finansijskih izvještaja inostranog poslovanja</v>
      </c>
      <c r="E23" s="466"/>
      <c r="F23" s="466"/>
      <c r="G23" s="466"/>
      <c r="H23" s="466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4" t="str">
        <f>VLOOKUP( $B24, T_Aop[], 6, 1)</f>
        <v xml:space="preserve">    4. Aktuarski dobici od planova definisanih primanja</v>
      </c>
      <c r="E24" s="484"/>
      <c r="F24" s="484"/>
      <c r="G24" s="484"/>
      <c r="H24" s="48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6" t="str">
        <f>VLOOKUP( $B25, T_Aop[], 6, 1)</f>
        <v xml:space="preserve">    5. Efektivni dio dobitaka po osnovu zaštite od rizika gotovinskih tokova</v>
      </c>
      <c r="E25" s="466"/>
      <c r="F25" s="466"/>
      <c r="G25" s="466"/>
      <c r="H25" s="466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4" t="str">
        <f>VLOOKUP( $B26, T_Aop[], 6, 1)</f>
        <v xml:space="preserve">    6. Ostali dobici utvrđeni direktno u kapitalu</v>
      </c>
      <c r="E26" s="484"/>
      <c r="F26" s="484"/>
      <c r="G26" s="484"/>
      <c r="H26" s="48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5" t="str">
        <f>VLOOKUP( $B27, T_Aop[], 6, 1)</f>
        <v xml:space="preserve">  II - GUBICI UTVRĐENI DIREKTNO U KAPITALU (409 do 413)</v>
      </c>
      <c r="E27" s="465"/>
      <c r="F27" s="465"/>
      <c r="G27" s="465"/>
      <c r="H27" s="465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4" t="str">
        <f>VLOOKUP( $B28, T_Aop[], 6, 1)</f>
        <v xml:space="preserve">    1. Gubici po osnovu promjene fer vrijednosti HOV raspoloživih za prodaju</v>
      </c>
      <c r="E28" s="484"/>
      <c r="F28" s="484"/>
      <c r="G28" s="484"/>
      <c r="H28" s="48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6" t="str">
        <f>VLOOKUP( $B29, T_Aop[], 6, 1)</f>
        <v xml:space="preserve">    2. Gubici po osnovu prevođenja finansijskih izvještaja inostranog poslovanja</v>
      </c>
      <c r="E29" s="466"/>
      <c r="F29" s="466"/>
      <c r="G29" s="466"/>
      <c r="H29" s="466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4" t="str">
        <f>VLOOKUP( $B30, T_Aop[], 6, 1)</f>
        <v xml:space="preserve">    3. Aktuarski gubici od planova definisanih primanja</v>
      </c>
      <c r="E30" s="484"/>
      <c r="F30" s="484"/>
      <c r="G30" s="484"/>
      <c r="H30" s="48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6" t="str">
        <f>VLOOKUP( $B31, T_Aop[], 6, 1)</f>
        <v xml:space="preserve">    4. Efektivni dio gubitaka po osnovu zaštite od rizika gotovinskih tokova</v>
      </c>
      <c r="E31" s="466"/>
      <c r="F31" s="466"/>
      <c r="G31" s="466"/>
      <c r="H31" s="466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4" t="str">
        <f>VLOOKUP( $B32, T_Aop[], 6, 1)</f>
        <v xml:space="preserve">    5. Ostali gubici utvrđeni direktno u kapitalu</v>
      </c>
      <c r="E32" s="484"/>
      <c r="F32" s="484"/>
      <c r="G32" s="484"/>
      <c r="H32" s="48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5" t="str">
        <f>VLOOKUP( $B33, T_Aop[], 6, 1)</f>
        <v>B. OSTALI DOBICI ILI GUBICI U PERIODU (401 - 408) ili (408 - 401)</v>
      </c>
      <c r="E33" s="465"/>
      <c r="F33" s="465"/>
      <c r="G33" s="465"/>
      <c r="H33" s="465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3" t="str">
        <f>VLOOKUP( $B34, T_Aop[], 6, 1)</f>
        <v>V. POREZ NA DOBITAK KOJI SE ODNOSI NA OSTALE DOBITKE I GUBITKE</v>
      </c>
      <c r="E34" s="483"/>
      <c r="F34" s="483"/>
      <c r="G34" s="483"/>
      <c r="H34" s="483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5" t="str">
        <f>VLOOKUP( $B35, T_Aop[], 6, 1)</f>
        <v>G. NETO REZULTAT PO OSNOVU OSTALIH DOBITAKA I GUBITAKA U PERIODU (414 ± 415)</v>
      </c>
      <c r="E35" s="465"/>
      <c r="F35" s="465"/>
      <c r="G35" s="465"/>
      <c r="H35" s="465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3" t="str">
        <f>VLOOKUP( $B36, T_Aop[], 6, 1)</f>
        <v>D. UKUPAN NETO REZULTAT U OBRAČUNSKOM PERIODU</v>
      </c>
      <c r="E36" s="483"/>
      <c r="F36" s="483"/>
      <c r="G36" s="483"/>
      <c r="H36" s="483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5" t="str">
        <f>VLOOKUP( $B37, T_Aop[], 6, 1)</f>
        <v xml:space="preserve">  I - UKUPAN NETO DOBITAK U OBRAČUNSKOM PERIODU (400 ± 416)</v>
      </c>
      <c r="E37" s="465"/>
      <c r="F37" s="465"/>
      <c r="G37" s="465"/>
      <c r="H37" s="465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216832</v>
      </c>
      <c r="K37" s="108">
        <f>IF( SUBTOTAL( 9, K19, K20:K26) - SUBTOTAL( 9, K27:K32, K34) &lt;= 0, 0, ABS( SUBTOTAL( 9, K19, K20:K26) - SUBTOTAL( 9, K27:K32, K34) ))</f>
        <v>232909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5" t="str">
        <f>VLOOKUP( $B38, T_Aop[], 6, 1)</f>
        <v xml:space="preserve">  II - UKUPAN NETO GUBITAK U OBRAČUNSKOM PERIODU (400 ± 416)</v>
      </c>
      <c r="E38" s="485"/>
      <c r="F38" s="485"/>
      <c r="G38" s="485"/>
      <c r="H38" s="485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 LUCI</v>
      </c>
      <c r="E40"/>
      <c r="G40"/>
      <c r="H40" s="154" t="str">
        <f>Podnozje_Lice_sa_licencom</f>
        <v>Lice sa licencom:</v>
      </c>
      <c r="I40" s="270" t="str">
        <f>Podatak_Lice_sa_licencom</f>
        <v>BILJANA RADULJ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31.07.2018.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MILINKO KLINCOV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01866885</v>
      </c>
      <c r="E5" s="475"/>
      <c r="I5" s="17" t="str">
        <f>Zaglavlje_Ziro_racun</f>
        <v>Poslovni računi:</v>
      </c>
      <c r="J5" s="471" t="str">
        <f>Podatak_Ziro_racun_1</f>
        <v>567-162-11000662-81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55.10</v>
      </c>
      <c r="E6" s="475"/>
      <c r="F6" s="9"/>
      <c r="J6" s="471" t="str">
        <f>Podatak_Ziro_racun_2</f>
        <v>562-099-00004254-51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551-001-00003507-81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161-045-00015600-88</v>
      </c>
      <c r="K8" s="471"/>
    </row>
    <row r="9" spans="3:13" x14ac:dyDescent="0.2">
      <c r="C9" s="478" t="str">
        <f>Podatak_Naziv_preduzeca</f>
        <v>HOTEL PALAS 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BANJA LUKA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4400836260000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Nazivi_bilansa_BTG), Nazivi_bilansa_BTG)</f>
        <v>Bilans tokova gotovine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Nazivi_bilansa_BTG1</f>
        <v>(Izvještaj o tokovima gotovine)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Datumi_Datum_BTG</f>
        <v>za period od 01.01. do 30.06.2018.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2" t="str">
        <f>Tabele_zaglavlje_Redni_broj</f>
        <v>Redni broj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80" t="str">
        <f>VLOOKUP( $B19, T_Aop[], 6, 1)</f>
        <v>A. TOKOVI GOTOVINE IZ POSLOVNIH AKTIVNOSTI</v>
      </c>
      <c r="E19" s="480"/>
      <c r="F19" s="480"/>
      <c r="G19" s="480"/>
      <c r="H19" s="48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5" t="str">
        <f>VLOOKUP( $B20, T_Aop[], 6, 1)</f>
        <v xml:space="preserve">  I - PRILIVI GOTOVINE IZ POSLOVNIH AKTIVNOSTI (502 do 504)</v>
      </c>
      <c r="E20" s="465"/>
      <c r="F20" s="465"/>
      <c r="G20" s="465"/>
      <c r="H20" s="465"/>
      <c r="I20" s="83">
        <f>VLOOKUP( $B20, T_Aop[], 4, 1)</f>
        <v>501</v>
      </c>
      <c r="J20" s="84">
        <f>SUBTOTAL( 9, J21:J23)</f>
        <v>871236</v>
      </c>
      <c r="K20" s="85">
        <f>SUBTOTAL( 9, K21:K23)</f>
        <v>726547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524336</v>
      </c>
      <c r="K21" s="218">
        <v>370092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6" t="str">
        <f>VLOOKUP( $B22, T_Aop[], 6, 1)</f>
        <v xml:space="preserve">    2. Prilivi od premija, subvencija, dotacija i sl.</v>
      </c>
      <c r="E22" s="466"/>
      <c r="F22" s="466"/>
      <c r="G22" s="466"/>
      <c r="H22" s="466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346900</v>
      </c>
      <c r="K23" s="220">
        <v>356455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5" t="str">
        <f>VLOOKUP( $B24, T_Aop[], 6, 1)</f>
        <v xml:space="preserve">  II - ODLIVI GOTOVINE IZ POSLOVNIH AKTIVNOSTI (506 do 510)</v>
      </c>
      <c r="E24" s="465"/>
      <c r="F24" s="465"/>
      <c r="G24" s="465"/>
      <c r="H24" s="465"/>
      <c r="I24" s="83">
        <f>VLOOKUP( $B24, T_Aop[], 4, 1)</f>
        <v>505</v>
      </c>
      <c r="J24" s="84">
        <f>SUBTOTAL( 9, J25:J29)</f>
        <v>733555</v>
      </c>
      <c r="K24" s="85">
        <f>SUBTOTAL( 9, K25:K29)</f>
        <v>877805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372152</v>
      </c>
      <c r="K25" s="218">
        <v>587975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6" t="str">
        <f>VLOOKUP( $B26, T_Aop[], 6, 1)</f>
        <v xml:space="preserve">    2. Odlivi po osnovu isplata zarada, naknada zarada i ostalih ličnih rashoda</v>
      </c>
      <c r="E26" s="466"/>
      <c r="F26" s="466"/>
      <c r="G26" s="466"/>
      <c r="H26" s="466"/>
      <c r="I26" s="83">
        <f>VLOOKUP( $B26, T_Aop[], 4, 1)</f>
        <v>507</v>
      </c>
      <c r="J26" s="215">
        <v>136867</v>
      </c>
      <c r="K26" s="216">
        <v>136812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6" t="str">
        <f>VLOOKUP( $B28, T_Aop[], 6, 1)</f>
        <v xml:space="preserve">    4. Odlivi po osnovu poreza na dobit</v>
      </c>
      <c r="E28" s="466"/>
      <c r="F28" s="466"/>
      <c r="G28" s="466"/>
      <c r="H28" s="466"/>
      <c r="I28" s="83">
        <f>VLOOKUP( $B28, T_Aop[], 4, 1)</f>
        <v>509</v>
      </c>
      <c r="J28" s="215">
        <v>34535</v>
      </c>
      <c r="K28" s="216">
        <v>43627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190001</v>
      </c>
      <c r="K29" s="218">
        <v>109391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5" t="str">
        <f>VLOOKUP( $B30, T_Aop[], 6, 1)</f>
        <v xml:space="preserve">  III - NETO PRILIV GOTOVINE IZ POSLOVNIH AKTIVNOSTI (501 - 505)</v>
      </c>
      <c r="E30" s="465"/>
      <c r="F30" s="465"/>
      <c r="G30" s="465"/>
      <c r="H30" s="465"/>
      <c r="I30" s="83">
        <f>VLOOKUP( $B30, T_Aop[], 4, 1)</f>
        <v>511</v>
      </c>
      <c r="J30" s="84">
        <f>IF( SUBTOTAL( 9, J20:J23) - SUBTOTAL( 9, J24:J29) &lt;= 0, 0, ABS( SUBTOTAL( 9, J20:J23) - SUBTOTAL( 9, J24:J29)) )</f>
        <v>137681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0" t="str">
        <f>VLOOKUP( $B31, T_Aop[], 6, 1)</f>
        <v xml:space="preserve">  IV - NETO ODLIV GOTOVINE IZ POSLOVNIH AKTIVNOSTI (505 - 501)</v>
      </c>
      <c r="E31" s="470"/>
      <c r="F31" s="470"/>
      <c r="G31" s="470"/>
      <c r="H31" s="470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151258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5" t="str">
        <f>VLOOKUP( $B32, T_Aop[], 6, 1)</f>
        <v>B. TOKOVI GOTOVINE IZ AKTIVNOSTI INVESTIRANJA</v>
      </c>
      <c r="E32" s="465"/>
      <c r="F32" s="465"/>
      <c r="G32" s="465"/>
      <c r="H32" s="465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0" t="str">
        <f>VLOOKUP( $B33, T_Aop[], 6, 1)</f>
        <v xml:space="preserve">  I - PRILIVI GOTOVINE IZ AKTIVNOSTI INVESTIRANJA (514 do 519)</v>
      </c>
      <c r="E33" s="470"/>
      <c r="F33" s="470"/>
      <c r="G33" s="470"/>
      <c r="H33" s="470"/>
      <c r="I33" s="114">
        <f>VLOOKUP( $B33, T_Aop[], 4, 1)</f>
        <v>513</v>
      </c>
      <c r="J33" s="91">
        <f>SUBTOTAL( 9, J34:J39)</f>
        <v>23506</v>
      </c>
      <c r="K33" s="92">
        <f>SUBTOTAL( 9, K34:K39)</f>
        <v>1125752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6" t="str">
        <f>VLOOKUP( $B34, T_Aop[], 6, 1)</f>
        <v xml:space="preserve">    1. Prilivi po osnovu kratkoročnih finansijskih plasmana</v>
      </c>
      <c r="E34" s="466"/>
      <c r="F34" s="466"/>
      <c r="G34" s="466"/>
      <c r="H34" s="466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6" t="str">
        <f>VLOOKUP( $B36, T_Aop[], 6, 1)</f>
        <v xml:space="preserve">    3. Prilivi po osnovu prodaje nematerijalnih sredstava, nekretnina, postrojenja, opreme, investicionih nekretnina i bioloških sredstava</v>
      </c>
      <c r="E36" s="466"/>
      <c r="F36" s="466"/>
      <c r="G36" s="466"/>
      <c r="H36" s="466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>
        <v>23506</v>
      </c>
      <c r="K37" s="220">
        <v>15752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6" t="str">
        <f>VLOOKUP( $B38, T_Aop[], 6, 1)</f>
        <v xml:space="preserve">    5. Prilivi od dividendi i učešća u dobitku</v>
      </c>
      <c r="E38" s="466"/>
      <c r="F38" s="466"/>
      <c r="G38" s="466"/>
      <c r="H38" s="466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>
        <v>1110000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65" t="str">
        <f>VLOOKUP( $B40, T_Aop[], 6, 1)</f>
        <v xml:space="preserve">  II - ODLIVI GOTOVINE IZ AKTIVNOSTI INVESTIRANJA (521 do 524)</v>
      </c>
      <c r="E40" s="465"/>
      <c r="F40" s="465"/>
      <c r="G40" s="465"/>
      <c r="H40" s="465"/>
      <c r="I40" s="83">
        <f>VLOOKUP( $B40, T_Aop[], 4, 1)</f>
        <v>520</v>
      </c>
      <c r="J40" s="84">
        <f>SUBTOTAL( 9, J41:J44)</f>
        <v>245139</v>
      </c>
      <c r="K40" s="85">
        <f>SUBTOTAL( 9, K41:K44)</f>
        <v>11651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6" t="str">
        <f>VLOOKUP( $B42, T_Aop[], 6, 1)</f>
        <v xml:space="preserve">    2. Odlivi po osnovu kupovine akcija i udjela</v>
      </c>
      <c r="E42" s="466"/>
      <c r="F42" s="466"/>
      <c r="G42" s="466"/>
      <c r="H42" s="466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245139</v>
      </c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6" t="str">
        <f>VLOOKUP( $B44, T_Aop[], 6, 1)</f>
        <v xml:space="preserve">    4. Odlivi po osnovu ostalih dugoročnih finansijskih plasmana</v>
      </c>
      <c r="E44" s="466"/>
      <c r="F44" s="466"/>
      <c r="G44" s="466"/>
      <c r="H44" s="466"/>
      <c r="I44" s="83">
        <f>VLOOKUP( $B44, T_Aop[], 4, 1)</f>
        <v>524</v>
      </c>
      <c r="J44" s="215"/>
      <c r="K44" s="216">
        <v>11651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70" t="str">
        <f>VLOOKUP( $B45, T_Aop[], 6, 1)</f>
        <v xml:space="preserve">  III - NETO PRILIV GOTOVINE IZ AKTIVNOSTI INVESTIRANJA (513 - 520)</v>
      </c>
      <c r="E45" s="470"/>
      <c r="F45" s="470"/>
      <c r="G45" s="470"/>
      <c r="H45" s="470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1114101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5" t="str">
        <f>VLOOKUP( $B46, T_Aop[], 6, 1)</f>
        <v xml:space="preserve">  IV - NETO ODLIV GOTOVINE IZ AKTIVNOSTI INVESTIRANJA (520 - 513)</v>
      </c>
      <c r="E46" s="465"/>
      <c r="F46" s="465"/>
      <c r="G46" s="465"/>
      <c r="H46" s="465"/>
      <c r="I46" s="83">
        <f>VLOOKUP( $B46, T_Aop[], 4, 1)</f>
        <v>526</v>
      </c>
      <c r="J46" s="84">
        <f>IF( SUBTOTAL( 9, J33:J39) - SUBTOTAL( 9, J40:J44) &gt;= 0, 0, ABS( SUBTOTAL( 9, J33:J39) - SUBTOTAL( 9, J40:J44)) )</f>
        <v>221633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0" t="str">
        <f>VLOOKUP( $B47, T_Aop[], 6, 1)</f>
        <v>V. TOKOVI GOTOVINE IZ AKTIVNOSTI FINANSIRANJA</v>
      </c>
      <c r="E47" s="470"/>
      <c r="F47" s="470"/>
      <c r="G47" s="470"/>
      <c r="H47" s="470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5" t="str">
        <f>VLOOKUP( $B48, T_Aop[], 6, 1)</f>
        <v xml:space="preserve">  I - PRILIV GOTOVINE IZ AKTIVNOSTI FINANSIRANJA (528 do 531)</v>
      </c>
      <c r="E48" s="465"/>
      <c r="F48" s="465"/>
      <c r="G48" s="465"/>
      <c r="H48" s="465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6" t="str">
        <f>VLOOKUP( $B50, T_Aop[], 6, 1)</f>
        <v xml:space="preserve">    2. Prilivi po osnovu dugoročnih kredita</v>
      </c>
      <c r="E50" s="466"/>
      <c r="F50" s="466"/>
      <c r="G50" s="466"/>
      <c r="H50" s="466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6" t="str">
        <f>VLOOKUP( $B52, T_Aop[], 6, 1)</f>
        <v xml:space="preserve">    4. Prilivi po osnovu ostalih dugoročnih i kratkoročnih obaveza</v>
      </c>
      <c r="E52" s="466"/>
      <c r="F52" s="466"/>
      <c r="G52" s="466"/>
      <c r="H52" s="466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0" t="str">
        <f>VLOOKUP( $B53, T_Aop[], 6, 1)</f>
        <v xml:space="preserve">  II - ODLIVI GOTOVINE IZ AKTIVNOSTI FINANSIRANJA (533 do 538)</v>
      </c>
      <c r="E53" s="470"/>
      <c r="F53" s="470"/>
      <c r="G53" s="470"/>
      <c r="H53" s="470"/>
      <c r="I53" s="114">
        <f>VLOOKUP( $B53, T_Aop[], 4, 1)</f>
        <v>532</v>
      </c>
      <c r="J53" s="88">
        <f>SUBTOTAL( 9, J54:J59)</f>
        <v>1998</v>
      </c>
      <c r="K53" s="89">
        <f>SUBTOTAL( 9, K54:K59)</f>
        <v>604826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6" t="str">
        <f>VLOOKUP( $B54, T_Aop[], 6, 1)</f>
        <v xml:space="preserve">    1. Odlivi po osnovu otkupa sopstvenih akcija i udjela</v>
      </c>
      <c r="E54" s="466"/>
      <c r="F54" s="466"/>
      <c r="G54" s="466"/>
      <c r="H54" s="466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6" t="str">
        <f>VLOOKUP( $B56, T_Aop[], 6, 1)</f>
        <v xml:space="preserve">    3. Odlivi po osnovu kratkoročnih kredita</v>
      </c>
      <c r="E56" s="466"/>
      <c r="F56" s="466"/>
      <c r="G56" s="466"/>
      <c r="H56" s="466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6" t="str">
        <f>VLOOKUP( $B58, T_Aop[], 6, 1)</f>
        <v xml:space="preserve">    5. Odlivi po osnovu isplaćenih dividendi</v>
      </c>
      <c r="E58" s="466"/>
      <c r="F58" s="466"/>
      <c r="G58" s="466"/>
      <c r="H58" s="466"/>
      <c r="I58" s="83">
        <f>VLOOKUP( $B58, T_Aop[], 4, 1)</f>
        <v>537</v>
      </c>
      <c r="J58" s="215">
        <v>1998</v>
      </c>
      <c r="K58" s="216">
        <v>604826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5" t="str">
        <f>VLOOKUP( $B60, T_Aop[], 6, 1)</f>
        <v xml:space="preserve">  III - NETO PRILIV GOTOVINE IZ AKTIVNOST FINANSIRANJA (527 - 532)</v>
      </c>
      <c r="E60" s="465"/>
      <c r="F60" s="465"/>
      <c r="G60" s="465"/>
      <c r="H60" s="465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0" t="str">
        <f>VLOOKUP( $B61, T_Aop[], 6, 1)</f>
        <v xml:space="preserve">  IV - NETO ODLIV GOTOVINE IZ AKTIVNOSTI FINANSIRANJA (532 - 527)</v>
      </c>
      <c r="E61" s="470"/>
      <c r="F61" s="470"/>
      <c r="G61" s="470"/>
      <c r="H61" s="470"/>
      <c r="I61" s="114">
        <f>VLOOKUP( $B61, T_Aop[], 4, 1)</f>
        <v>540</v>
      </c>
      <c r="J61" s="91">
        <f>IF( SUBTOTAL( 9, J48:J52) - SUBTOTAL( 9, J53:J59) &gt;= 0, 0, ABS( SUBTOTAL( 9, J48:J52) - SUBTOTAL( 9, J53:J59)) )</f>
        <v>1998</v>
      </c>
      <c r="K61" s="92">
        <f>IF( SUBTOTAL( 9, K48:K52) - SUBTOTAL( 9, K53:K59) &gt;= 0, 0, ABS( SUBTOTAL( 9, K48:K52) - SUBTOTAL( 9, K53:K59)) )</f>
        <v>604826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5" t="str">
        <f>VLOOKUP( $B62, T_Aop[], 6, 1)</f>
        <v>G. UKUPNI PRILIVI GOTOVINE (501 + 513 + 527)</v>
      </c>
      <c r="E62" s="465"/>
      <c r="F62" s="465"/>
      <c r="G62" s="465"/>
      <c r="H62" s="465"/>
      <c r="I62" s="83">
        <f>VLOOKUP( $B62, T_Aop[], 4, 1)</f>
        <v>541</v>
      </c>
      <c r="J62" s="84">
        <f>SUBTOTAL( 9, J20:J23, J33:J39, J48:J52)</f>
        <v>894742</v>
      </c>
      <c r="K62" s="85">
        <f>SUBTOTAL( 9, K20:K23, K33:K39, K48:K52)</f>
        <v>1852299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0" t="str">
        <f>VLOOKUP( $B63, T_Aop[], 6, 1)</f>
        <v>D. UKUPNI ODLIVI GOTOVINE (505 + 520 + 532)</v>
      </c>
      <c r="E63" s="470"/>
      <c r="F63" s="470"/>
      <c r="G63" s="470"/>
      <c r="H63" s="470"/>
      <c r="I63" s="114">
        <f>VLOOKUP( $B63, T_Aop[], 4, 1)</f>
        <v>542</v>
      </c>
      <c r="J63" s="91">
        <f>SUBTOTAL( 9, J24:J29, J40:J44, J53:J59)</f>
        <v>980692</v>
      </c>
      <c r="K63" s="92">
        <f>SUBTOTAL( 9, K24:K29, K40:K44, K53:K59)</f>
        <v>1494282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5" t="str">
        <f>VLOOKUP( $B64, T_Aop[], 6, 1)</f>
        <v>Đ. NETO PRILIV GOTOVINE (541 - 542)</v>
      </c>
      <c r="E64" s="465"/>
      <c r="F64" s="465"/>
      <c r="G64" s="465"/>
      <c r="H64" s="465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358017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0" t="str">
        <f>VLOOKUP( $B65, T_Aop[], 6, 1)</f>
        <v>E. NETO ODLIV GOTOVINE (542 - 541)</v>
      </c>
      <c r="E65" s="470"/>
      <c r="F65" s="470"/>
      <c r="G65" s="470"/>
      <c r="H65" s="470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85950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5" t="str">
        <f>VLOOKUP( $B66, T_Aop[], 6, 1)</f>
        <v>Ž. GOTOVINA NA POČETKU OBRAČUNSKOG PERIODA</v>
      </c>
      <c r="E66" s="465"/>
      <c r="F66" s="465"/>
      <c r="G66" s="465"/>
      <c r="H66" s="465"/>
      <c r="I66" s="83">
        <f>VLOOKUP( $B66, T_Aop[], 4, 1)</f>
        <v>545</v>
      </c>
      <c r="J66" s="122">
        <v>952868</v>
      </c>
      <c r="K66" s="123">
        <v>366312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0" t="str">
        <f>VLOOKUP( $B67, T_Aop[], 6, 1)</f>
        <v>Z. POZITIVNE KURSNE RAZLIKE PO OSNOVU PRERAČUNA GOTOVINE</v>
      </c>
      <c r="E67" s="470"/>
      <c r="F67" s="470"/>
      <c r="G67" s="470"/>
      <c r="H67" s="470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5" t="str">
        <f>VLOOKUP( $B68, T_Aop[], 6, 1)</f>
        <v>I. NEGATIVNE KURSNE RAZLIKE PO OSNOVU PRERAČUNA GOTOVINE</v>
      </c>
      <c r="E68" s="465"/>
      <c r="F68" s="465"/>
      <c r="G68" s="465"/>
      <c r="H68" s="465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6" t="str">
        <f>VLOOKUP( $B69, T_Aop[], 6, 1)</f>
        <v>J. GOTOVINA NA KRAJU OBRAČUNSKOG PERIODA (545 + 543 - 544 + 546 - 547)</v>
      </c>
      <c r="E69" s="486"/>
      <c r="F69" s="486"/>
      <c r="G69" s="486"/>
      <c r="H69" s="486"/>
      <c r="I69" s="116">
        <f>VLOOKUP( $B69, T_Aop[], 4, 1)</f>
        <v>548</v>
      </c>
      <c r="J69" s="321">
        <f>SUBTOTAL( 9, J20:J23, J33:J39, J48:J52, J66, J67) - SUBTOTAL( 9, J24:J29, J40:J44, J53:J59, J68)</f>
        <v>866918</v>
      </c>
      <c r="K69" s="322">
        <f>SUBTOTAL( 9, K20:K23, K33:K39, K48:K52, K66, K67) - SUBTOTAL( 9, K24:K29, K40:K44, K53:K59, K68)</f>
        <v>724329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 LUCI</v>
      </c>
      <c r="E71" s="52"/>
      <c r="G71"/>
      <c r="H71" s="154" t="str">
        <f>Podnozje_Lice_sa_licencom</f>
        <v>Lice sa licencom:</v>
      </c>
      <c r="I71" s="270" t="str">
        <f>Podatak_Lice_sa_licencom</f>
        <v>BILJANA RADULJ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31.07.2018.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MILINKO KLINCOV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01866885</v>
      </c>
      <c r="E5" s="475"/>
      <c r="I5" s="17" t="str">
        <f>Zaglavlje_Ziro_racun</f>
        <v>Poslovni računi:</v>
      </c>
      <c r="J5" s="471" t="str">
        <f>Podatak_Ziro_racun_1</f>
        <v>567-162-11000662-81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55.10</v>
      </c>
      <c r="E6" s="475"/>
      <c r="F6" s="9"/>
      <c r="J6" s="471" t="str">
        <f>Podatak_Ziro_racun_2</f>
        <v>562-099-00004254-51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551-001-00003507-81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161-045-00015600-88</v>
      </c>
      <c r="K8" s="471"/>
    </row>
    <row r="9" spans="3:13" x14ac:dyDescent="0.2">
      <c r="C9" s="478" t="str">
        <f>Podatak_Naziv_preduzeca</f>
        <v>HOTEL PALAS 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BANJA LUKA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4400836260000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Nazivi_bilansa_Aneks), Nazivi_bilansa_Aneks)</f>
        <v>Aneks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Nazivi_bilansa_Aneks1</f>
        <v>(Dodatni računovodstveni izvještaj)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Datumi_Datum_Aneks</f>
        <v>za period od 01.01. do 30.06.2018.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1" t="str">
        <f>VLOOKUP( $B19, T_Aop[], 6, 1)</f>
        <v>Ulaganja u istraživanje i razvoj (dugovni promet bez početnog stanja)</v>
      </c>
      <c r="E19" s="501"/>
      <c r="F19" s="501"/>
      <c r="G19" s="501"/>
      <c r="H19" s="501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6" t="str">
        <f>VLOOKUP( $B20, T_Aop[], 6, 1)</f>
        <v>Kupci iz Republike Srpske i kupci - povezana pravna lica iz RS (dugovni promet bez početnog stanja)</v>
      </c>
      <c r="E20" s="466"/>
      <c r="F20" s="466"/>
      <c r="G20" s="466"/>
      <c r="H20" s="466"/>
      <c r="I20" s="263">
        <f>VLOOKUP( $B20, T_Aop[],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9" t="str">
        <f>VLOOKUP( $B21, T_Aop[], 6, 1)</f>
        <v>Kupci iz Federacije BiH i kupci - povezana pravna lica iz FBiH (dugovni promet bez početnog stanja)</v>
      </c>
      <c r="E21" s="490"/>
      <c r="F21" s="490"/>
      <c r="G21" s="490"/>
      <c r="H21" s="491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2" t="str">
        <f>VLOOKUP( $B22, T_Aop[], 6, 1)</f>
        <v>Kupci iz Brčko Distrikta BiH i kupci - povezana pravna lica iz BD (dugovni promet bez početnog stanja)</v>
      </c>
      <c r="E22" s="493"/>
      <c r="F22" s="493"/>
      <c r="G22" s="493"/>
      <c r="H22" s="494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9" t="str">
        <f>VLOOKUP( $B23, T_Aop[], 6, 1)</f>
        <v>Dobavljači iz Republike Srpske i dobavljači - povezana pravna lica iz RS (potražni promet bez početnog stanja)</v>
      </c>
      <c r="E23" s="490"/>
      <c r="F23" s="490"/>
      <c r="G23" s="490"/>
      <c r="H23" s="491"/>
      <c r="I23" s="315">
        <f>VLOOKUP( $B23, T_Aop[], 4, 1)</f>
        <v>605</v>
      </c>
      <c r="J23" s="217"/>
      <c r="K23" s="218"/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2" t="str">
        <f>VLOOKUP( $B24, T_Aop[], 6, 1)</f>
        <v>Dobavljači iz Federacije BiH i dobavljači - povezana pravna lica iz FBiH (potražni promet bez početnog stanja)</v>
      </c>
      <c r="E24" s="493"/>
      <c r="F24" s="493"/>
      <c r="G24" s="493"/>
      <c r="H24" s="494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9" t="str">
        <f>VLOOKUP( $B25, T_Aop[], 6, 1)</f>
        <v>Dobavljači iz Brčko Distrikta BiH i dobavljači - povezana pravna lica iz DB (potražni promet bez početnog stanja)</v>
      </c>
      <c r="E25" s="490"/>
      <c r="F25" s="490"/>
      <c r="G25" s="490"/>
      <c r="H25" s="491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2" t="str">
        <f>VLOOKUP( $B26, T_Aop[], 6, 1)</f>
        <v>Prihodi od prodaje robe u Republici Srpskoj i prihodi od prodaje robe povezanim pravnim licima u RS</v>
      </c>
      <c r="E26" s="493"/>
      <c r="F26" s="493"/>
      <c r="G26" s="493"/>
      <c r="H26" s="494"/>
      <c r="I26" s="263">
        <f>VLOOKUP( $B26, T_Aop[], 4, 1)</f>
        <v>608</v>
      </c>
      <c r="J26" s="215">
        <v>35986</v>
      </c>
      <c r="K26" s="216">
        <v>2621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9" t="str">
        <f>VLOOKUP( $B27, T_Aop[], 6, 1)</f>
        <v>Prihodi od prodaje robe u Federaciji BiH i prihodi od prodaje robe povezanim pravnim licima u FBiH</v>
      </c>
      <c r="E27" s="490"/>
      <c r="F27" s="490"/>
      <c r="G27" s="490"/>
      <c r="H27" s="491"/>
      <c r="I27" s="315">
        <f>VLOOKUP( $B27, T_Aop[], 4, 1)</f>
        <v>609</v>
      </c>
      <c r="J27" s="217">
        <v>64023</v>
      </c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2" t="str">
        <f>VLOOKUP( $B28, T_Aop[], 6, 1)</f>
        <v>Prihodi od prodaje robe u Brčko Distriktu BiH i prihodi od prodaje robe povezanim pravnim licima u BD</v>
      </c>
      <c r="E28" s="493"/>
      <c r="F28" s="493"/>
      <c r="G28" s="493"/>
      <c r="H28" s="494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9" t="str">
        <f>VLOOKUP( $B29, T_Aop[], 6, 1)</f>
        <v>Prihodi od prodaje proizvoda</v>
      </c>
      <c r="E29" s="490"/>
      <c r="F29" s="490"/>
      <c r="G29" s="490"/>
      <c r="H29" s="491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2" t="str">
        <f>VLOOKUP( $B30, T_Aop[], 6, 1)</f>
        <v>Prihodi od prodaje usluga</v>
      </c>
      <c r="E30" s="493"/>
      <c r="F30" s="493"/>
      <c r="G30" s="493"/>
      <c r="H30" s="494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9" t="str">
        <f>VLOOKUP( $B31, T_Aop[], 6, 1)</f>
        <v>Prihodi od prodaje učinaka u Republici Srpskoj i prihodi od prodaje učinaka povezanim pravnim licima u RS</v>
      </c>
      <c r="E31" s="490"/>
      <c r="F31" s="490"/>
      <c r="G31" s="490"/>
      <c r="H31" s="491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2" t="str">
        <f>VLOOKUP( $B32, T_Aop[], 6, 1)</f>
        <v>Prihodi od prodaje učinaka u Federaciji BiH i prihodi od prodaje učinaka povezanim pravnim licima u FBiH</v>
      </c>
      <c r="E32" s="493"/>
      <c r="F32" s="493"/>
      <c r="G32" s="493"/>
      <c r="H32" s="494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9" t="str">
        <f>VLOOKUP( $B33, T_Aop[], 6, 1)</f>
        <v>Prihodi od prodaje učinaka u Brčko Distriktu BiH i prihodi od prodaje učinaka povezanim pravnim licima u BD</v>
      </c>
      <c r="E33" s="490"/>
      <c r="F33" s="490"/>
      <c r="G33" s="490"/>
      <c r="H33" s="491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2" t="str">
        <f>VLOOKUP( $B34, T_Aop[], 6, 1)</f>
        <v>Prihodi od prodaje usluga u Republici Srpskoj</v>
      </c>
      <c r="E34" s="493"/>
      <c r="F34" s="493"/>
      <c r="G34" s="493"/>
      <c r="H34" s="494"/>
      <c r="I34" s="263">
        <f>VLOOKUP( $B34, T_Aop[], 4, 1)</f>
        <v>616</v>
      </c>
      <c r="J34" s="215">
        <v>351106</v>
      </c>
      <c r="K34" s="216">
        <v>251769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9" t="str">
        <f>VLOOKUP( $B35, T_Aop[], 6, 1)</f>
        <v>Prihodi od prodaje usluga u Federaciji BiH</v>
      </c>
      <c r="E35" s="490"/>
      <c r="F35" s="490"/>
      <c r="G35" s="490"/>
      <c r="H35" s="491"/>
      <c r="I35" s="315">
        <f>VLOOKUP( $B35, T_Aop[], 4, 1)</f>
        <v>617</v>
      </c>
      <c r="J35" s="217">
        <v>15326</v>
      </c>
      <c r="K35" s="218">
        <v>28324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2" t="str">
        <f>VLOOKUP( $B36, T_Aop[], 6, 1)</f>
        <v>Prihodi od prodaje usluga u Brčko Distriktu BiH</v>
      </c>
      <c r="E36" s="493"/>
      <c r="F36" s="493"/>
      <c r="G36" s="493"/>
      <c r="H36" s="494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7" t="str">
        <f>VLOOKUP( $B37, T_Aop[], 6, 1)</f>
        <v>OSTALI POSLOVNI PRIHODI (620 + 623 + 624 + 625 + 626 + 627 + 628)</v>
      </c>
      <c r="E37" s="468"/>
      <c r="F37" s="468"/>
      <c r="G37" s="468"/>
      <c r="H37" s="469"/>
      <c r="I37" s="310">
        <f>VLOOKUP( $B37, T_Aop[], 4, 1)</f>
        <v>619</v>
      </c>
      <c r="J37" s="88">
        <f>SUBTOTAL( 9, J38, J41:J46)</f>
        <v>219526</v>
      </c>
      <c r="K37" s="89">
        <f>SUBTOTAL( 9, K38, K41:K46)</f>
        <v>242883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2" t="str">
        <f>VLOOKUP( $B38, T_Aop[], 6, 1)</f>
        <v xml:space="preserve">  a) Prihodi od premija, subvencija, dotacija, regresa, podsticaja i slično</v>
      </c>
      <c r="E38" s="493"/>
      <c r="F38" s="493"/>
      <c r="G38" s="493"/>
      <c r="H38" s="494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9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0"/>
      <c r="F39" s="490"/>
      <c r="G39" s="490"/>
      <c r="H39" s="491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2" t="str">
        <f>VLOOKUP( $B40, T_Aop[], 6, 1)</f>
        <v xml:space="preserve">    Od toga: prihodi po osnovu subvencija na proizvodnju (na zapošljavanje, platu, kamatnu stopu, za smanjenje zagađenja i dr.)</v>
      </c>
      <c r="E40" s="493"/>
      <c r="F40" s="493"/>
      <c r="G40" s="493"/>
      <c r="H40" s="494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9" t="str">
        <f>VLOOKUP( $B41, T_Aop[], 6, 1)</f>
        <v xml:space="preserve">  b) Prihod od zakupnina</v>
      </c>
      <c r="E41" s="490"/>
      <c r="F41" s="490"/>
      <c r="G41" s="490"/>
      <c r="H41" s="491"/>
      <c r="I41" s="315">
        <f>VLOOKUP( $B41, T_Aop[], 4, 1)</f>
        <v>623</v>
      </c>
      <c r="J41" s="217">
        <v>219526</v>
      </c>
      <c r="K41" s="218">
        <v>242883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2" t="str">
        <f>VLOOKUP( $B42, T_Aop[], 6, 1)</f>
        <v xml:space="preserve">  v) Prihod od donacija</v>
      </c>
      <c r="E42" s="493"/>
      <c r="F42" s="493"/>
      <c r="G42" s="493"/>
      <c r="H42" s="494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9" t="str">
        <f>VLOOKUP( $B43, T_Aop[], 6, 1)</f>
        <v xml:space="preserve">  g) Prihod od članarina</v>
      </c>
      <c r="E43" s="490"/>
      <c r="F43" s="490"/>
      <c r="G43" s="490"/>
      <c r="H43" s="491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2" t="str">
        <f>VLOOKUP( $B44, T_Aop[], 6, 1)</f>
        <v xml:space="preserve">  d) Prihod od tantijema i licencnih prava</v>
      </c>
      <c r="E44" s="493"/>
      <c r="F44" s="493"/>
      <c r="G44" s="493"/>
      <c r="H44" s="494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9" t="str">
        <f>VLOOKUP( $B45, T_Aop[], 6, 1)</f>
        <v xml:space="preserve">  đ) Prihod iz namjenskih izvora finansiranja (iz budžeta, fondova i dr.)</v>
      </c>
      <c r="E45" s="490"/>
      <c r="F45" s="490"/>
      <c r="G45" s="490"/>
      <c r="H45" s="491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2" t="str">
        <f>VLOOKUP( $B46, T_Aop[], 6, 1)</f>
        <v xml:space="preserve">  e) Ostali poslovni prihodi po drugim osnovima</v>
      </c>
      <c r="E46" s="493"/>
      <c r="F46" s="493"/>
      <c r="G46" s="493"/>
      <c r="H46" s="494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7" t="str">
        <f>VLOOKUP( $B47, T_Aop[], 6, 1)</f>
        <v>FINANSIJSKI I OSTALI PRIHODI</v>
      </c>
      <c r="E47" s="468"/>
      <c r="F47" s="468"/>
      <c r="G47" s="468"/>
      <c r="H47" s="469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2" t="str">
        <f>VLOOKUP( $B48, T_Aop[], 6, 1)</f>
        <v xml:space="preserve">    Od toga: prihodi od učešća u dobiti (dividendi)</v>
      </c>
      <c r="E48" s="493"/>
      <c r="F48" s="493"/>
      <c r="G48" s="493"/>
      <c r="H48" s="494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9" t="str">
        <f>VLOOKUP( $B49, T_Aop[], 6, 1)</f>
        <v xml:space="preserve">  Dobici po osnovu prodaje nekretnina, postrojenja i opreme</v>
      </c>
      <c r="E49" s="490"/>
      <c r="F49" s="490"/>
      <c r="G49" s="490"/>
      <c r="H49" s="491"/>
      <c r="I49" s="315">
        <f>VLOOKUP( $B49, T_Aop[], 4, 1)</f>
        <v>631</v>
      </c>
      <c r="J49" s="217">
        <v>682</v>
      </c>
      <c r="K49" s="218">
        <v>1672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2" t="str">
        <f>VLOOKUP( $B50, T_Aop[], 6, 1)</f>
        <v xml:space="preserve">  Prihodi po osnovu ugovorene zaštite od rizika koji ne ispunjavaju uslove da se iskažu u okviru revalorizacionih rezervi</v>
      </c>
      <c r="E50" s="493"/>
      <c r="F50" s="493"/>
      <c r="G50" s="493"/>
      <c r="H50" s="494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7" t="str">
        <f>VLOOKUP( $B51, T_Aop[], 6, 1)</f>
        <v>TROŠKOVI MATERIJALA</v>
      </c>
      <c r="E51" s="468"/>
      <c r="F51" s="468"/>
      <c r="G51" s="468"/>
      <c r="H51" s="469"/>
      <c r="I51" s="310">
        <f>VLOOKUP( $B51, T_Aop[], 4, 1)</f>
        <v>633</v>
      </c>
      <c r="J51" s="340"/>
      <c r="K51" s="341">
        <v>79595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2" t="str">
        <f>VLOOKUP( $B52, T_Aop[], 6, 1)</f>
        <v xml:space="preserve">    Od toga: troškovi goriva i energije</v>
      </c>
      <c r="E52" s="493"/>
      <c r="F52" s="493"/>
      <c r="G52" s="493"/>
      <c r="H52" s="494"/>
      <c r="I52" s="263">
        <f>VLOOKUP( $B52, T_Aop[], 4, 1)</f>
        <v>634</v>
      </c>
      <c r="J52" s="215">
        <v>39136</v>
      </c>
      <c r="K52" s="216">
        <v>24696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7" t="str">
        <f>VLOOKUP( $B53, T_Aop[], 6, 1)</f>
        <v>TROŠKOVI ZARADA, NAKNADA ZARADA I OSTALIH LIČNIH RASHODA</v>
      </c>
      <c r="E53" s="468"/>
      <c r="F53" s="468"/>
      <c r="G53" s="468"/>
      <c r="H53" s="469"/>
      <c r="I53" s="310">
        <f>VLOOKUP( $B53, T_Aop[], 4, 1)</f>
        <v>635</v>
      </c>
      <c r="J53" s="340"/>
      <c r="K53" s="341">
        <v>154041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2" t="str">
        <f>VLOOKUP( $B54, T_Aop[], 6, 1)</f>
        <v xml:space="preserve">  Troškovi bruto naknada članovima upravnog, nadzornog, odbora za reviziju i dr.</v>
      </c>
      <c r="E54" s="493"/>
      <c r="F54" s="493"/>
      <c r="G54" s="493"/>
      <c r="H54" s="494"/>
      <c r="I54" s="263">
        <f>VLOOKUP( $B54, T_Aop[], 4, 1)</f>
        <v>636</v>
      </c>
      <c r="J54" s="215">
        <v>14925</v>
      </c>
      <c r="K54" s="216">
        <v>14925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9" t="str">
        <f>VLOOKUP( $B55, T_Aop[], 6, 1)</f>
        <v xml:space="preserve">  Troškovi zaposlenih na službenom putu</v>
      </c>
      <c r="E55" s="490"/>
      <c r="F55" s="490"/>
      <c r="G55" s="490"/>
      <c r="H55" s="491"/>
      <c r="I55" s="315">
        <f>VLOOKUP( $B55, T_Aop[], 4, 1)</f>
        <v>637</v>
      </c>
      <c r="J55" s="217">
        <v>210</v>
      </c>
      <c r="K55" s="218">
        <v>757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2" t="str">
        <f>VLOOKUP( $B56, T_Aop[], 6, 1)</f>
        <v xml:space="preserve">    Od toga: dnevnice</v>
      </c>
      <c r="E56" s="493"/>
      <c r="F56" s="493"/>
      <c r="G56" s="493"/>
      <c r="H56" s="494"/>
      <c r="I56" s="263">
        <f>VLOOKUP( $B56, T_Aop[], 4, 1)</f>
        <v>638</v>
      </c>
      <c r="J56" s="215">
        <v>137</v>
      </c>
      <c r="K56" s="216">
        <v>355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7" t="str">
        <f>VLOOKUP( $B57, T_Aop[], 6, 1)</f>
        <v>TROŠKOVI PROIZVODNIH USLUGA (640 + 641 + 642 + 643 + 644 + 645 + 646 + 647)</v>
      </c>
      <c r="E57" s="468"/>
      <c r="F57" s="468"/>
      <c r="G57" s="468"/>
      <c r="H57" s="469"/>
      <c r="I57" s="310">
        <f>VLOOKUP( $B57, T_Aop[], 4, 1)</f>
        <v>639</v>
      </c>
      <c r="J57" s="88">
        <f>SUBTOTAL( 9, J58:J65)</f>
        <v>43718</v>
      </c>
      <c r="K57" s="89">
        <f>SUBTOTAL( 9, K58:K65)</f>
        <v>24600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2" t="str">
        <f>VLOOKUP( $B58, T_Aop[], 6, 1)</f>
        <v xml:space="preserve">  a) Troškovi usluga na izradi učinaka</v>
      </c>
      <c r="E58" s="493"/>
      <c r="F58" s="493"/>
      <c r="G58" s="493"/>
      <c r="H58" s="494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9" t="str">
        <f>VLOOKUP( $B59, T_Aop[], 6, 1)</f>
        <v xml:space="preserve">  b) Troškovi transportnih usluga</v>
      </c>
      <c r="E59" s="490"/>
      <c r="F59" s="490"/>
      <c r="G59" s="490"/>
      <c r="H59" s="491"/>
      <c r="I59" s="315">
        <f>VLOOKUP( $B59, T_Aop[], 4, 1)</f>
        <v>641</v>
      </c>
      <c r="J59" s="217">
        <v>4608</v>
      </c>
      <c r="K59" s="218">
        <v>4354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2" t="str">
        <f>VLOOKUP( $B60, T_Aop[], 6, 1)</f>
        <v xml:space="preserve">  v) Troškovi za usluge tekućeg održavanja osnovnih sredstava</v>
      </c>
      <c r="E60" s="493"/>
      <c r="F60" s="493"/>
      <c r="G60" s="493"/>
      <c r="H60" s="494"/>
      <c r="I60" s="263">
        <f>VLOOKUP( $B60, T_Aop[], 4, 1)</f>
        <v>642</v>
      </c>
      <c r="J60" s="215">
        <v>21510</v>
      </c>
      <c r="K60" s="216">
        <v>6334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9" t="str">
        <f>VLOOKUP( $B61, T_Aop[], 6, 1)</f>
        <v xml:space="preserve">  g) Troškovi za usluge investicionog održavanja osnovnih sredstava</v>
      </c>
      <c r="E61" s="490"/>
      <c r="F61" s="490"/>
      <c r="G61" s="490"/>
      <c r="H61" s="491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2" t="str">
        <f>VLOOKUP( $B62, T_Aop[], 6, 1)</f>
        <v xml:space="preserve">  d) Troškovi zakupa</v>
      </c>
      <c r="E62" s="493"/>
      <c r="F62" s="493"/>
      <c r="G62" s="493"/>
      <c r="H62" s="494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9" t="str">
        <f>VLOOKUP( $B63, T_Aop[], 6, 1)</f>
        <v xml:space="preserve">  đ) Troškovi sajmova, reklame i propagande</v>
      </c>
      <c r="E63" s="490"/>
      <c r="F63" s="490"/>
      <c r="G63" s="490"/>
      <c r="H63" s="491"/>
      <c r="I63" s="315">
        <f>VLOOKUP( $B63, T_Aop[], 4, 1)</f>
        <v>645</v>
      </c>
      <c r="J63" s="217">
        <v>6448</v>
      </c>
      <c r="K63" s="218">
        <v>921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2" t="str">
        <f>VLOOKUP( $B64, T_Aop[], 6, 1)</f>
        <v xml:space="preserve">  e) Troškovi istraživanja i razvoja koji se ne kapitalizuju</v>
      </c>
      <c r="E64" s="493"/>
      <c r="F64" s="493"/>
      <c r="G64" s="493"/>
      <c r="H64" s="494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9" t="str">
        <f>VLOOKUP( $B65, T_Aop[], 6, 1)</f>
        <v xml:space="preserve">  ž) Troškovi ostalih usluga</v>
      </c>
      <c r="E65" s="490"/>
      <c r="F65" s="490"/>
      <c r="G65" s="490"/>
      <c r="H65" s="491"/>
      <c r="I65" s="315">
        <f>VLOOKUP( $B65, T_Aop[], 4, 1)</f>
        <v>647</v>
      </c>
      <c r="J65" s="217">
        <v>11152</v>
      </c>
      <c r="K65" s="218">
        <v>12991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2" t="str">
        <f>VLOOKUP( $B66, T_Aop[], 6, 1)</f>
        <v xml:space="preserve">    Od toga: bruto iznosi naknada po ugovorima sa fizičkim licima van radnog odnosa</v>
      </c>
      <c r="E66" s="493"/>
      <c r="F66" s="493"/>
      <c r="G66" s="493"/>
      <c r="H66" s="494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7" t="str">
        <f>VLOOKUP( $B67, T_Aop[], 6, 1)</f>
        <v>NEMATERIJALNI TROŠKOVI (650 + 653 + 654 + 655 + 656 + 657 + 658 + 659)</v>
      </c>
      <c r="E67" s="468"/>
      <c r="F67" s="468"/>
      <c r="G67" s="468"/>
      <c r="H67" s="469"/>
      <c r="I67" s="310">
        <f>VLOOKUP( $B67, T_Aop[], 4, 1)</f>
        <v>649</v>
      </c>
      <c r="J67" s="88">
        <f>SUBTOTAL( 9, J68, J71:J77)</f>
        <v>80963</v>
      </c>
      <c r="K67" s="89">
        <f>SUBTOTAL( 9, K68, K71:K77)</f>
        <v>44874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2" t="str">
        <f>VLOOKUP( $B68, T_Aop[], 6, 1)</f>
        <v xml:space="preserve">  a) Troškovi neproizvodnih usluga</v>
      </c>
      <c r="E68" s="493"/>
      <c r="F68" s="493"/>
      <c r="G68" s="493"/>
      <c r="H68" s="494"/>
      <c r="I68" s="263">
        <f>VLOOKUP( $B68, T_Aop[], 4, 1)</f>
        <v>650</v>
      </c>
      <c r="J68" s="215">
        <v>42361</v>
      </c>
      <c r="K68" s="216">
        <v>13296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9" t="str">
        <f>VLOOKUP( $B69, T_Aop[], 6, 1)</f>
        <v xml:space="preserve">    Od toga: troškovi stručnog obrazovanja i usavršavanja zaposlenih</v>
      </c>
      <c r="E69" s="490"/>
      <c r="F69" s="490"/>
      <c r="G69" s="490"/>
      <c r="H69" s="491"/>
      <c r="I69" s="315">
        <f>VLOOKUP( $B69, T_Aop[], 4, 1)</f>
        <v>651</v>
      </c>
      <c r="J69" s="217">
        <v>343</v>
      </c>
      <c r="K69" s="218">
        <v>51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2" t="str">
        <f>VLOOKUP( $B70, T_Aop[], 6, 1)</f>
        <v xml:space="preserve">    Od toga: bruto iznosi naknada po ugovorima sa fizičkim licima van radnog odnosa</v>
      </c>
      <c r="E70" s="493"/>
      <c r="F70" s="493"/>
      <c r="G70" s="493"/>
      <c r="H70" s="494"/>
      <c r="I70" s="263">
        <f>VLOOKUP( $B70, T_Aop[], 4, 1)</f>
        <v>652</v>
      </c>
      <c r="J70" s="215">
        <v>14560</v>
      </c>
      <c r="K70" s="216">
        <v>860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9" t="str">
        <f>VLOOKUP( $B71, T_Aop[], 6, 1)</f>
        <v xml:space="preserve">  b) Troškovi reprezentacije</v>
      </c>
      <c r="E71" s="490"/>
      <c r="F71" s="490"/>
      <c r="G71" s="490"/>
      <c r="H71" s="491"/>
      <c r="I71" s="315">
        <f>VLOOKUP( $B71, T_Aop[], 4, 1)</f>
        <v>653</v>
      </c>
      <c r="J71" s="217">
        <v>6937</v>
      </c>
      <c r="K71" s="218">
        <v>2679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2" t="str">
        <f>VLOOKUP( $B72, T_Aop[], 6, 1)</f>
        <v xml:space="preserve">  v) Troškovi premije osiguranja</v>
      </c>
      <c r="E72" s="493"/>
      <c r="F72" s="493"/>
      <c r="G72" s="493"/>
      <c r="H72" s="494"/>
      <c r="I72" s="263">
        <f>VLOOKUP( $B72, T_Aop[], 4, 1)</f>
        <v>654</v>
      </c>
      <c r="J72" s="215">
        <v>748</v>
      </c>
      <c r="K72" s="216">
        <v>1757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9" t="str">
        <f>VLOOKUP( $B73, T_Aop[], 6, 1)</f>
        <v xml:space="preserve">  g) Troškovi platnog prometa</v>
      </c>
      <c r="E73" s="490"/>
      <c r="F73" s="490"/>
      <c r="G73" s="490"/>
      <c r="H73" s="491"/>
      <c r="I73" s="315">
        <f>VLOOKUP( $B73, T_Aop[], 4, 1)</f>
        <v>655</v>
      </c>
      <c r="J73" s="217">
        <v>3390</v>
      </c>
      <c r="K73" s="218">
        <v>5434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2" t="str">
        <f>VLOOKUP( $B74, T_Aop[], 6, 1)</f>
        <v xml:space="preserve">  d) Troškovi članarina</v>
      </c>
      <c r="E74" s="493"/>
      <c r="F74" s="493"/>
      <c r="G74" s="493"/>
      <c r="H74" s="494"/>
      <c r="I74" s="263">
        <f>VLOOKUP( $B74, T_Aop[], 4, 1)</f>
        <v>656</v>
      </c>
      <c r="J74" s="215">
        <v>314</v>
      </c>
      <c r="K74" s="216">
        <v>222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9" t="str">
        <f>VLOOKUP( $B75, T_Aop[], 6, 1)</f>
        <v xml:space="preserve">  đ) Troškovi poreza na proizvode, carine, boravišne takse, porez na igre na sreću i sl.</v>
      </c>
      <c r="E75" s="490"/>
      <c r="F75" s="490"/>
      <c r="G75" s="490"/>
      <c r="H75" s="491"/>
      <c r="I75" s="315">
        <f>VLOOKUP( $B75, T_Aop[], 4, 1)</f>
        <v>657</v>
      </c>
      <c r="J75" s="217"/>
      <c r="K75" s="218">
        <v>0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2" t="str">
        <f>VLOOKUP( $B76, T_Aop[], 6, 1)</f>
        <v xml:space="preserve">  e) Troškovi poreza na proizvodnju: na imovinu, na zemljište, za korišćenje voda i šuma, za protivpožarnu zaštitu i sl.</v>
      </c>
      <c r="E76" s="493"/>
      <c r="F76" s="493"/>
      <c r="G76" s="493"/>
      <c r="H76" s="494"/>
      <c r="I76" s="263">
        <f>VLOOKUP( $B76, T_Aop[], 4, 1)</f>
        <v>658</v>
      </c>
      <c r="J76" s="215">
        <v>18313</v>
      </c>
      <c r="K76" s="216">
        <v>11170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9" t="str">
        <f>VLOOKUP( $B77, T_Aop[], 6, 1)</f>
        <v xml:space="preserve">  ž) Ostali nematerijalni troškovi</v>
      </c>
      <c r="E77" s="490"/>
      <c r="F77" s="490"/>
      <c r="G77" s="490"/>
      <c r="H77" s="491"/>
      <c r="I77" s="315">
        <f>VLOOKUP( $B77, T_Aop[], 4, 1)</f>
        <v>659</v>
      </c>
      <c r="J77" s="217">
        <v>8900</v>
      </c>
      <c r="K77" s="218">
        <v>10316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8" t="str">
        <f>VLOOKUP( $B78, T_Aop[], 6, 1)</f>
        <v>OBAVEZE I POTRAŽIVANJA</v>
      </c>
      <c r="E78" s="499"/>
      <c r="F78" s="499"/>
      <c r="G78" s="499"/>
      <c r="H78" s="500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9" t="str">
        <f>VLOOKUP( $B79, T_Aop[], 6, 1)</f>
        <v xml:space="preserve">  Obračunati (fakturisani) porez na dodatu vrijednost (kumulativan promet konta)</v>
      </c>
      <c r="E79" s="490"/>
      <c r="F79" s="490"/>
      <c r="G79" s="490"/>
      <c r="H79" s="491"/>
      <c r="I79" s="315">
        <f>VLOOKUP( $B79, T_Aop[], 4, 1)</f>
        <v>661</v>
      </c>
      <c r="J79" s="217">
        <v>120426</v>
      </c>
      <c r="K79" s="218">
        <v>104550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2" t="str">
        <f>VLOOKUP( $B80, T_Aop[], 6, 1)</f>
        <v xml:space="preserve">  Ulazni porez na dodatu vrijednost (kumulativan promet konta)</v>
      </c>
      <c r="E80" s="493"/>
      <c r="F80" s="493"/>
      <c r="G80" s="493"/>
      <c r="H80" s="494"/>
      <c r="I80" s="263">
        <f>VLOOKUP( $B80, T_Aop[], 4, 1)</f>
        <v>662</v>
      </c>
      <c r="J80" s="215">
        <v>149604</v>
      </c>
      <c r="K80" s="216">
        <v>27356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9" t="str">
        <f>VLOOKUP( $B81, T_Aop[], 6, 1)</f>
        <v xml:space="preserve">  Obaveze za PDV po osnovu razlike između obračunatog i akontacionog PDV-a (saldo konta)</v>
      </c>
      <c r="E81" s="490"/>
      <c r="F81" s="490"/>
      <c r="G81" s="490"/>
      <c r="H81" s="491"/>
      <c r="I81" s="315">
        <f>VLOOKUP( $B81, T_Aop[], 4, 1)</f>
        <v>663</v>
      </c>
      <c r="J81" s="217"/>
      <c r="K81" s="218">
        <v>20566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2" t="str">
        <f>VLOOKUP( $B82, T_Aop[], 6, 1)</f>
        <v xml:space="preserve">  Potraživanja po osnovu razlike između akontacionog i obračunatog PDV-a (saldo konta)</v>
      </c>
      <c r="E82" s="493"/>
      <c r="F82" s="493"/>
      <c r="G82" s="493"/>
      <c r="H82" s="494"/>
      <c r="I82" s="263">
        <f>VLOOKUP( $B82, T_Aop[], 4, 1)</f>
        <v>664</v>
      </c>
      <c r="J82" s="215">
        <v>35032</v>
      </c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9" t="str">
        <f>VLOOKUP( $B83, T_Aop[], 6, 1)</f>
        <v xml:space="preserve">  PDV plaćen pri uvozu (kumulativan promet konta)</v>
      </c>
      <c r="E83" s="490"/>
      <c r="F83" s="490"/>
      <c r="G83" s="490"/>
      <c r="H83" s="491"/>
      <c r="I83" s="315">
        <f>VLOOKUP( $B83, T_Aop[], 4, 1)</f>
        <v>665</v>
      </c>
      <c r="J83" s="217">
        <v>100630</v>
      </c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2" t="str">
        <f>VLOOKUP( $B84, T_Aop[], 6, 1)</f>
        <v xml:space="preserve">  Obaveze za PDV plaćen pri uvozu (kumulativan promet konta)</v>
      </c>
      <c r="E84" s="493"/>
      <c r="F84" s="493"/>
      <c r="G84" s="493"/>
      <c r="H84" s="494"/>
      <c r="I84" s="263">
        <f>VLOOKUP( $B84, T_Aop[], 4, 1)</f>
        <v>666</v>
      </c>
      <c r="J84" s="215">
        <v>100630</v>
      </c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9" t="str">
        <f>VLOOKUP( $B85, T_Aop[], 6, 1)</f>
        <v xml:space="preserve">  Obaveze za akcize (kumulativan promet konta)</v>
      </c>
      <c r="E85" s="490"/>
      <c r="F85" s="490"/>
      <c r="G85" s="490"/>
      <c r="H85" s="491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2" t="str">
        <f>VLOOKUP( $B86, T_Aop[], 6, 1)</f>
        <v xml:space="preserve">  Prihodi ostvareni na bazi podugovaranja</v>
      </c>
      <c r="E86" s="493"/>
      <c r="F86" s="493"/>
      <c r="G86" s="493"/>
      <c r="H86" s="494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9" t="str">
        <f>VLOOKUP( $B87, T_Aop[], 6, 1)</f>
        <v xml:space="preserve">  Plaćanja podugovaračima za rad, isporučene proizvode i usluge</v>
      </c>
      <c r="E87" s="490"/>
      <c r="F87" s="490"/>
      <c r="G87" s="490"/>
      <c r="H87" s="491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5" t="str">
        <f>VLOOKUP( $B88, T_Aop[], 6, 1)</f>
        <v xml:space="preserve">  Ukupan broj odrađenih časova rada (efektivni časovi rada bez bolovanja, godišnjih odmora, državnih praznika i sl.)</v>
      </c>
      <c r="E88" s="496"/>
      <c r="F88" s="496"/>
      <c r="G88" s="496"/>
      <c r="H88" s="497"/>
      <c r="I88" s="304">
        <f>VLOOKUP( $B88, T_Aop[], 4, 1)</f>
        <v>670</v>
      </c>
      <c r="J88" s="352">
        <v>18672</v>
      </c>
      <c r="K88" s="353">
        <v>17870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 LUCI</v>
      </c>
      <c r="E90" s="52"/>
      <c r="G90"/>
      <c r="H90" s="154" t="str">
        <f>Podnozje_Lice_sa_licencom</f>
        <v>Lice sa licencom:</v>
      </c>
      <c r="I90" s="270" t="str">
        <f>Podatak_Lice_sa_licencom</f>
        <v>BILJANA RADULJ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31.07.2018.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MILINKO KLINCOV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C1" zoomScaleNormal="100" zoomScaleSheetLayoutView="100" workbookViewId="0">
      <pane ySplit="4" topLeftCell="A30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5" t="str">
        <f>Podatak_MB</f>
        <v>01866885</v>
      </c>
      <c r="E5" s="525"/>
      <c r="F5"/>
      <c r="M5" s="17" t="str">
        <f>Zaglavlje_Ziro_racun</f>
        <v>Poslovni računi:</v>
      </c>
      <c r="N5" s="502" t="str">
        <f>Podatak_Ziro_racun_1</f>
        <v>567-162-11000662-81</v>
      </c>
      <c r="O5" s="502"/>
    </row>
    <row r="6" spans="3:17" x14ac:dyDescent="0.2">
      <c r="C6" s="16" t="str">
        <f>Zaglavlje_Sifra_djelatnosti</f>
        <v>Šifra djelatnosti:</v>
      </c>
      <c r="D6" s="526" t="str">
        <f>Podatak_Sifra_djelatnosti</f>
        <v>55.10</v>
      </c>
      <c r="E6" s="526"/>
      <c r="F6"/>
      <c r="H6" s="9"/>
      <c r="N6" s="502" t="str">
        <f>Podatak_Ziro_racun_2</f>
        <v>562-099-00004254-51</v>
      </c>
      <c r="O6" s="502"/>
    </row>
    <row r="7" spans="3:17" ht="15" customHeight="1" x14ac:dyDescent="0.2">
      <c r="C7" s="509" t="str">
        <f>Zaglavlje_Naziv_preduzeca</f>
        <v>Naziv privrednog društva, zadruge, drugog pravnog lica ili preduzetnika:</v>
      </c>
      <c r="D7" s="509"/>
      <c r="E7" s="231"/>
      <c r="F7"/>
      <c r="H7" s="19"/>
      <c r="N7" s="502" t="str">
        <f>Podatak_Ziro_racun_3</f>
        <v>551-001-00003507-81</v>
      </c>
      <c r="O7" s="502"/>
    </row>
    <row r="8" spans="3:17" x14ac:dyDescent="0.2">
      <c r="C8" s="509"/>
      <c r="D8" s="509"/>
      <c r="E8" s="231"/>
      <c r="F8"/>
      <c r="H8" s="19"/>
      <c r="N8" s="502" t="str">
        <f>Podatak_Ziro_racun_4</f>
        <v>161-045-00015600-88</v>
      </c>
      <c r="O8" s="502"/>
    </row>
    <row r="9" spans="3:17" x14ac:dyDescent="0.2">
      <c r="C9" s="510" t="str">
        <f>Podatak_Naziv_preduzeca</f>
        <v>HOTEL PALAS A.D.</v>
      </c>
      <c r="D9" s="510"/>
      <c r="E9" s="232"/>
      <c r="F9"/>
      <c r="H9" s="16"/>
      <c r="N9" s="502" t="str">
        <f>Podatak_Ziro_racun_5</f>
        <v/>
      </c>
      <c r="O9" s="502"/>
    </row>
    <row r="10" spans="3:17" x14ac:dyDescent="0.2">
      <c r="C10" s="16" t="str">
        <f>Zaglavlje_Sjediste</f>
        <v>Sjedište:</v>
      </c>
      <c r="D10" s="67" t="str">
        <f>Podatak_Sjediste</f>
        <v>BANJA LUKA</v>
      </c>
      <c r="E10" s="67"/>
      <c r="F10"/>
      <c r="H10" s="16"/>
      <c r="N10" s="502" t="str">
        <f>Podatak_Ziro_racun_6</f>
        <v/>
      </c>
      <c r="O10" s="502"/>
    </row>
    <row r="11" spans="3:17" x14ac:dyDescent="0.2">
      <c r="C11" s="16" t="str">
        <f>Zaglavlje_JIB</f>
        <v>JIB:</v>
      </c>
      <c r="D11" s="67" t="str">
        <f>Podatak_JIB</f>
        <v>4400836260000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8" t="str">
        <f>IF( Id_Konsolidovani, Nazivi_bilansa_Konsolidovani_naziv &amp; LOWER( Nazivi_bilansa_BPK), Nazivi_bilansa_BPK)</f>
        <v>Izvještaj o promjenama u kapitalu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</row>
    <row r="13" spans="3:17" x14ac:dyDescent="0.2">
      <c r="C13" s="455" t="str">
        <f>Datumi_Datum_BPK</f>
        <v>za period koji se završava na dan 30.06.2018. godine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1" t="str">
        <f>Tabele_zaglavlje_Redni_broj</f>
        <v>Redni broj</v>
      </c>
      <c r="D15" s="440" t="str">
        <f>Tabele_zaglavlje_BPK1</f>
        <v>Vrsta promjene u kapitalu</v>
      </c>
      <c r="E15" s="504"/>
      <c r="F15" s="441"/>
      <c r="G15" s="454" t="str">
        <f>Tabele_zaglavlje_BPK0</f>
        <v>Dio kapitala koji pripada vlasnicima matičnog privrednog društva</v>
      </c>
      <c r="H15" s="454"/>
      <c r="I15" s="454"/>
      <c r="J15" s="454"/>
      <c r="K15" s="454"/>
      <c r="L15" s="454"/>
      <c r="M15" s="454"/>
      <c r="N15" s="408" t="str">
        <f>Tabele_zaglavlje_BPK9</f>
        <v>Manjinski interes</v>
      </c>
      <c r="O15" s="432" t="str">
        <f>Tabele_zaglavlje_BPK10</f>
        <v>UKUPNI KAPITAL</v>
      </c>
    </row>
    <row r="16" spans="3:17" ht="89.25" x14ac:dyDescent="0.2">
      <c r="C16" s="512"/>
      <c r="D16" s="442"/>
      <c r="E16" s="505"/>
      <c r="F16" s="44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3"/>
      <c r="O16" s="433"/>
      <c r="Q16" s="185" t="s">
        <v>824</v>
      </c>
    </row>
    <row r="17" spans="2:17" x14ac:dyDescent="0.2">
      <c r="B17" s="60" t="s">
        <v>408</v>
      </c>
      <c r="C17" s="69"/>
      <c r="D17" s="527">
        <v>1</v>
      </c>
      <c r="E17" s="528"/>
      <c r="F17" s="529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30" t="str">
        <f>VLOOKUP($B18,Aop!$A$2:$L$415,6,1)</f>
        <v>Stanje na dan 01.01.2017. god.</v>
      </c>
      <c r="E18" s="531"/>
      <c r="F18" s="532"/>
      <c r="G18" s="292">
        <f>VLOOKUP($B18,Aop!$A$2:$L$415,4,1)</f>
        <v>901</v>
      </c>
      <c r="H18" s="354">
        <v>12058902</v>
      </c>
      <c r="I18" s="354"/>
      <c r="J18" s="354"/>
      <c r="K18" s="354">
        <v>351525</v>
      </c>
      <c r="L18" s="354">
        <v>1041145</v>
      </c>
      <c r="M18" s="214">
        <f>SUM(H18:L18)</f>
        <v>13451572</v>
      </c>
      <c r="N18" s="354"/>
      <c r="O18" s="100">
        <f>SUM(M18:N18)</f>
        <v>13451572</v>
      </c>
    </row>
    <row r="19" spans="2:17" x14ac:dyDescent="0.2">
      <c r="B19" s="66">
        <v>393</v>
      </c>
      <c r="C19" s="299" t="str">
        <f>VLOOKUP($B19,Aop!$A$2:$L$415,5,1)</f>
        <v>2.</v>
      </c>
      <c r="D19" s="513" t="str">
        <f>VLOOKUP($B19,Aop!$A$2:$L$415,6,1)</f>
        <v xml:space="preserve">    Efekti promjena u računovodstvenim politikama </v>
      </c>
      <c r="E19" s="514"/>
      <c r="F19" s="51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9" t="str">
        <f>VLOOKUP($B21,Aop!$A$2:$L$415,6,1)</f>
        <v>Ponovo iskazano stanje na dan 01.01.2017. god. (901 ± 902 ± 903)</v>
      </c>
      <c r="E21" s="520"/>
      <c r="F21" s="521"/>
      <c r="G21" s="294">
        <f>VLOOKUP($B21,Aop!$A$2:$L$415,4,1)</f>
        <v>904</v>
      </c>
      <c r="H21" s="84">
        <f>SUM(H18:H20)</f>
        <v>12058902</v>
      </c>
      <c r="I21" s="84">
        <f>SUM(I18:I20)</f>
        <v>0</v>
      </c>
      <c r="J21" s="84">
        <f>SUM(J18:J20)</f>
        <v>0</v>
      </c>
      <c r="K21" s="84">
        <f>SUM(K18:K20)</f>
        <v>351525</v>
      </c>
      <c r="L21" s="84">
        <f>SUM(L18:L20)</f>
        <v>1041145</v>
      </c>
      <c r="M21" s="204">
        <f t="shared" si="0"/>
        <v>13451572</v>
      </c>
      <c r="N21" s="84">
        <f>SUM(N18:N20)</f>
        <v>0</v>
      </c>
      <c r="O21" s="85">
        <f t="shared" si="1"/>
        <v>13451572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3" t="str">
        <f>VLOOKUP($B23,Aop!$A$2:$L$415,6,1)</f>
        <v xml:space="preserve">    Nerealizovani dobici/gubici po osnovu finansijskih sredstava raspoloživih za prodaju</v>
      </c>
      <c r="E23" s="514"/>
      <c r="F23" s="51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3" t="str">
        <f>VLOOKUP($B25,Aop!$A$2:$L$415,6,1)</f>
        <v xml:space="preserve">    Neto dobitak/gubitak perioda iskazan u bilansu uspjeha</v>
      </c>
      <c r="E25" s="514"/>
      <c r="F25" s="515"/>
      <c r="G25" s="300">
        <f>VLOOKUP($B25,Aop!$A$2:$L$415,4,1)</f>
        <v>908</v>
      </c>
      <c r="H25" s="215"/>
      <c r="I25" s="215"/>
      <c r="J25" s="215"/>
      <c r="K25" s="215"/>
      <c r="L25" s="215">
        <v>465685</v>
      </c>
      <c r="M25" s="204">
        <f t="shared" si="0"/>
        <v>465685</v>
      </c>
      <c r="N25" s="215"/>
      <c r="O25" s="206">
        <f t="shared" si="1"/>
        <v>465685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3" t="str">
        <f>VLOOKUP($B27,Aop!$A$2:$L$415,6,1)</f>
        <v xml:space="preserve">    Objavljene dividende i drugi vidovi raspodjele dobitka i pokriće gubitka</v>
      </c>
      <c r="E27" s="514"/>
      <c r="F27" s="515"/>
      <c r="G27" s="300">
        <f>VLOOKUP($B27,Aop!$A$2:$L$415,4,1)</f>
        <v>910</v>
      </c>
      <c r="H27" s="215"/>
      <c r="I27" s="215"/>
      <c r="J27" s="215"/>
      <c r="K27" s="215">
        <v>-29328</v>
      </c>
      <c r="L27" s="215">
        <v>1041145</v>
      </c>
      <c r="M27" s="204">
        <f t="shared" si="0"/>
        <v>1011817</v>
      </c>
      <c r="N27" s="215"/>
      <c r="O27" s="206">
        <f t="shared" si="1"/>
        <v>1011817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9" t="str">
        <f>VLOOKUP($B29,Aop!$A$2:$L$415,6,1)</f>
        <v>Stanje na dan 31.12.2017. god. / 01.01.2018. god. (904 ± 905 ± 906 ± 907 ± 908 ± 909 - 910 + 911)</v>
      </c>
      <c r="E29" s="520"/>
      <c r="F29" s="521"/>
      <c r="G29" s="294">
        <f>VLOOKUP($B29,Aop!$A$2:$L$415,4,1)</f>
        <v>912</v>
      </c>
      <c r="H29" s="84">
        <f>SUM(H21:H26,-H27,H28)</f>
        <v>12058902</v>
      </c>
      <c r="I29" s="84">
        <f>SUM(I21:I26,-I27,I28)</f>
        <v>0</v>
      </c>
      <c r="J29" s="84">
        <f>SUM(J21:J26,-J27,J28)</f>
        <v>0</v>
      </c>
      <c r="K29" s="84">
        <f>SUM(K21:K26,-K27,K28)</f>
        <v>380853</v>
      </c>
      <c r="L29" s="84">
        <f>SUM(L21:L26,-L27,L28)</f>
        <v>465685</v>
      </c>
      <c r="M29" s="84">
        <f t="shared" si="0"/>
        <v>12905440</v>
      </c>
      <c r="N29" s="84">
        <f>SUM(N21:N26,-N27,N28)</f>
        <v>0</v>
      </c>
      <c r="O29" s="85">
        <f t="shared" si="1"/>
        <v>12905440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3" t="str">
        <f>VLOOKUP($B31,Aop!$A$2:$L$415,6,1)</f>
        <v xml:space="preserve">    Efekti ispravke grešaka</v>
      </c>
      <c r="E31" s="514"/>
      <c r="F31" s="51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2" t="str">
        <f>VLOOKUP($B32,Aop!$A$2:$L$415,6,1)</f>
        <v>Ponovo iskazano stanje na dan 01.01.2018. god. (912 ± 913 ± 914)</v>
      </c>
      <c r="E32" s="523"/>
      <c r="F32" s="524"/>
      <c r="G32" s="296">
        <f>VLOOKUP($B32,Aop!$A$2:$L$415,4,1)</f>
        <v>915</v>
      </c>
      <c r="H32" s="88">
        <f>SUM(H29:H31)</f>
        <v>12058902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380853</v>
      </c>
      <c r="L32" s="88">
        <f t="shared" si="2"/>
        <v>465685</v>
      </c>
      <c r="M32" s="88">
        <f t="shared" si="0"/>
        <v>12905440</v>
      </c>
      <c r="N32" s="88">
        <f t="shared" si="2"/>
        <v>0</v>
      </c>
      <c r="O32" s="89">
        <f t="shared" si="1"/>
        <v>12905440</v>
      </c>
    </row>
    <row r="33" spans="2:17" x14ac:dyDescent="0.2">
      <c r="B33" s="66">
        <v>407</v>
      </c>
      <c r="C33" s="299" t="str">
        <f>VLOOKUP($B33,Aop!$A$2:$L$415,5,1)</f>
        <v>16.</v>
      </c>
      <c r="D33" s="513" t="str">
        <f>VLOOKUP($B33,Aop!$A$2:$L$415,6,1)</f>
        <v xml:space="preserve">    Efekti revalorizacije materijalnih i nematerijalnih sredstava</v>
      </c>
      <c r="E33" s="514"/>
      <c r="F33" s="51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3" t="str">
        <f>VLOOKUP($B35,Aop!$A$2:$L$415,6,1)</f>
        <v xml:space="preserve">    Kursne razlike nastale po osnovu preračuna finansijskih izvještaja u drugu funkcionalnu valutu</v>
      </c>
      <c r="E35" s="514"/>
      <c r="F35" s="51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216832</v>
      </c>
      <c r="M36" s="205">
        <f t="shared" si="0"/>
        <v>216832</v>
      </c>
      <c r="N36" s="217"/>
      <c r="O36" s="207">
        <f t="shared" si="1"/>
        <v>216832</v>
      </c>
    </row>
    <row r="37" spans="2:17" x14ac:dyDescent="0.2">
      <c r="B37" s="66">
        <v>411</v>
      </c>
      <c r="C37" s="299" t="str">
        <f>VLOOKUP($B37,Aop!$A$2:$L$415,5,1)</f>
        <v>20.</v>
      </c>
      <c r="D37" s="513" t="str">
        <f>VLOOKUP($B37,Aop!$A$2:$L$415,6,1)</f>
        <v xml:space="preserve">    Neto dobici/gubici perioda priznati direktno u kapitalu</v>
      </c>
      <c r="E37" s="514"/>
      <c r="F37" s="51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>
        <v>-23284</v>
      </c>
      <c r="L38" s="217">
        <v>23284</v>
      </c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3" t="str">
        <f>VLOOKUP($B39,Aop!$A$2:$L$415,6,1)</f>
        <v xml:space="preserve">    Emisija akcijskog kapitala i drugi vidovi povećanja ili smanjenje osnovnog kapitala</v>
      </c>
      <c r="E39" s="514"/>
      <c r="F39" s="51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6" t="str">
        <f>VLOOKUP($B40,Aop!$A$2:$L$415,6,1)</f>
        <v>Stanje na dan 30.06.2018. god. (915 ± 916 ± 917 ± 918 ± 919 ± 920 - 921 + 922)</v>
      </c>
      <c r="E40" s="517"/>
      <c r="F40" s="518"/>
      <c r="G40" s="298">
        <f>VLOOKUP($B40,Aop!$A$2:$L$415,4,1)</f>
        <v>923</v>
      </c>
      <c r="H40" s="317">
        <f>SUM(H32:H37,-H38,H39)</f>
        <v>12058902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404137</v>
      </c>
      <c r="L40" s="317">
        <f t="shared" si="3"/>
        <v>659233</v>
      </c>
      <c r="M40" s="317">
        <f t="shared" si="0"/>
        <v>13122272</v>
      </c>
      <c r="N40" s="317">
        <f t="shared" si="3"/>
        <v>0</v>
      </c>
      <c r="O40" s="318">
        <f t="shared" si="1"/>
        <v>13122272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BILJANA RADULJ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31.07.2018.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MILINKO KLINCOV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30.06.2018. godine</v>
      </c>
      <c r="D52" s="75" t="str">
        <f>CONCATENATE("нa дaн ",Datum_Format," гoдинe")</f>
        <v>нa дaн 30.06.2018. гoдинe</v>
      </c>
      <c r="E52" s="75" t="str">
        <f>CONCATENATE("date ",Datum_Format)</f>
        <v>date 30.06.2018.</v>
      </c>
      <c r="F52" s="3" t="str">
        <f t="shared" si="4"/>
        <v>na dan 30.06.2018.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30.06.2018. godine</v>
      </c>
      <c r="D53" s="75" t="str">
        <f>CONCATENATE("зa пeриoд oд 01.01. дo ",Datum_Format," гoдинe")</f>
        <v>зa пeриoд oд 01.01. дo 30.06.2018. гoдинe</v>
      </c>
      <c r="E53" s="75" t="str">
        <f>CONCATENATE("from 01.01. to ",Datum_Format)</f>
        <v>from 01.01. to 30.06.2018.</v>
      </c>
      <c r="F53" s="3" t="str">
        <f t="shared" si="4"/>
        <v>za period od 01.01. do 30.06.2018.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30.06.2018. godine</v>
      </c>
      <c r="D54" s="75" t="str">
        <f>CONCATENATE("зa пeриoд oд 01.01. дo ",Datum_Format," гoдинe")</f>
        <v>зa пeриoд oд 01.01. дo 30.06.2018. гoдинe</v>
      </c>
      <c r="E54" s="75" t="str">
        <f>CONCATENATE("from 01.01. to ",Datum_Format)</f>
        <v>from 01.01. to 30.06.2018.</v>
      </c>
      <c r="F54" s="3" t="str">
        <f t="shared" si="4"/>
        <v>za period od 01.01. do 30.06.2018.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30.06.2018. godine</v>
      </c>
      <c r="D55" s="75" t="str">
        <f>CONCATENATE("oд 01.01. дo ",Datum_Format," гoдинe")</f>
        <v>oд 01.01. дo 30.06.2018. гoдинe</v>
      </c>
      <c r="E55" s="75" t="str">
        <f>CONCATENATE("from 01.01. to ",Datum_Format)</f>
        <v>from 01.01. to 30.06.2018.</v>
      </c>
      <c r="F55" s="3" t="str">
        <f t="shared" si="4"/>
        <v>od 01.01. do 30.06.2018.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30.06.2018. godine</v>
      </c>
      <c r="D56" s="75" t="str">
        <f>CONCATENATE("зa пeриoд oд 01.01. дo ",Datum_Format," гoдинe")</f>
        <v>зa пeриoд oд 01.01. дo 30.06.2018. гoдинe</v>
      </c>
      <c r="E56" s="75" t="str">
        <f>CONCATENATE("from 01.01. to ",Datum_Format)</f>
        <v>from 01.01. to 30.06.2018.</v>
      </c>
      <c r="F56" s="3" t="str">
        <f t="shared" si="4"/>
        <v>za period od 01.01. do 30.06.2018.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30.06.2018. godine</v>
      </c>
      <c r="D57" s="75" t="str">
        <f>CONCATENATE("зa пeриoд кojи сe зaвршaвa нa дaн ",Datum_Format," гoдинe")</f>
        <v>зa пeриoд кojи сe зaвршaвa нa дaн 30.06.2018. гoдинe</v>
      </c>
      <c r="E57" s="75" t="str">
        <f>CONCATENATE("for period ending ",Datum_Format)</f>
        <v>for period ending 30.06.2018.</v>
      </c>
      <c r="F57" s="3" t="str">
        <f t="shared" si="4"/>
        <v>za period koji se završava na dan 30.06.2018.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Biljana (racunovodstvo@hotelpalasbl.com)</cp:lastModifiedBy>
  <cp:lastPrinted>2018-07-25T09:45:15Z</cp:lastPrinted>
  <dcterms:created xsi:type="dcterms:W3CDTF">2007-02-19T09:55:19Z</dcterms:created>
  <dcterms:modified xsi:type="dcterms:W3CDTF">2018-07-26T07:02:55Z</dcterms:modified>
</cp:coreProperties>
</file>