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ega\0  R A C U N O V O D S T V O\0 MONET FI I REVIZIJA\FI svi zajedno\9 31.12.2016\"/>
    </mc:Choice>
  </mc:AlternateContent>
  <workbookProtection workbookPassword="832E" lockStructure="1"/>
  <bookViews>
    <workbookView xWindow="-15" yWindow="5820" windowWidth="1926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</workbook>
</file>

<file path=xl/calcChain.xml><?xml version="1.0" encoding="utf-8"?>
<calcChain xmlns="http://schemas.openxmlformats.org/spreadsheetml/2006/main"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F146" i="34" s="1"/>
  <c r="A147" i="34"/>
  <c r="A148" i="34"/>
  <c r="A149" i="34"/>
  <c r="A150" i="34"/>
  <c r="F150" i="34" s="1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E412" i="34" l="1"/>
  <c r="F412" i="34"/>
  <c r="E394" i="34"/>
  <c r="F394" i="34"/>
  <c r="E392" i="34"/>
  <c r="F392" i="34"/>
  <c r="E390" i="34"/>
  <c r="F390" i="34"/>
  <c r="E388" i="34"/>
  <c r="F388" i="34"/>
  <c r="E386" i="34"/>
  <c r="F386" i="34"/>
  <c r="E384" i="34"/>
  <c r="F384" i="34"/>
  <c r="E382" i="34"/>
  <c r="F382" i="34"/>
  <c r="E380" i="34"/>
  <c r="F380" i="34"/>
  <c r="E378" i="34"/>
  <c r="F378" i="34"/>
  <c r="E376" i="34"/>
  <c r="F376" i="34"/>
  <c r="E374" i="34"/>
  <c r="F374" i="34"/>
  <c r="E372" i="34"/>
  <c r="F372" i="34"/>
  <c r="E370" i="34"/>
  <c r="F370" i="34"/>
  <c r="E368" i="34"/>
  <c r="F368" i="34"/>
  <c r="E366" i="34"/>
  <c r="F366" i="34"/>
  <c r="E364" i="34"/>
  <c r="F364" i="34"/>
  <c r="E362" i="34"/>
  <c r="F362" i="34"/>
  <c r="E360" i="34"/>
  <c r="F360" i="34"/>
  <c r="E358" i="34"/>
  <c r="F358" i="34"/>
  <c r="E356" i="34"/>
  <c r="F356" i="34"/>
  <c r="E354" i="34"/>
  <c r="F354" i="34"/>
  <c r="E352" i="34"/>
  <c r="F352" i="34"/>
  <c r="E350" i="34"/>
  <c r="F350" i="34"/>
  <c r="E348" i="34"/>
  <c r="F348" i="34"/>
  <c r="E346" i="34"/>
  <c r="F346" i="34"/>
  <c r="E344" i="34"/>
  <c r="F344" i="34"/>
  <c r="E342" i="34"/>
  <c r="F342" i="34"/>
  <c r="E340" i="34"/>
  <c r="F340" i="34"/>
  <c r="E338" i="34"/>
  <c r="F338" i="34"/>
  <c r="E336" i="34"/>
  <c r="F336" i="34"/>
  <c r="E334" i="34"/>
  <c r="F334" i="34"/>
  <c r="E332" i="34"/>
  <c r="F332" i="34"/>
  <c r="E330" i="34"/>
  <c r="F330" i="34"/>
  <c r="E328" i="34"/>
  <c r="F328" i="34"/>
  <c r="E326" i="34"/>
  <c r="F326" i="34"/>
  <c r="E324" i="34"/>
  <c r="F324" i="34"/>
  <c r="E322" i="34"/>
  <c r="F322" i="34"/>
  <c r="E320" i="34"/>
  <c r="F320" i="34"/>
  <c r="E318" i="34"/>
  <c r="F318" i="34"/>
  <c r="E316" i="34"/>
  <c r="F316" i="34"/>
  <c r="E314" i="34"/>
  <c r="F314" i="34"/>
  <c r="E312" i="34"/>
  <c r="F312" i="34"/>
  <c r="E310" i="34"/>
  <c r="F310" i="34"/>
  <c r="E308" i="34"/>
  <c r="F308" i="34"/>
  <c r="E306" i="34"/>
  <c r="F306" i="34"/>
  <c r="E304" i="34"/>
  <c r="F304" i="34"/>
  <c r="E302" i="34"/>
  <c r="F302" i="34"/>
  <c r="E300" i="34"/>
  <c r="F300" i="34"/>
  <c r="E298" i="34"/>
  <c r="F298" i="34"/>
  <c r="E296" i="34"/>
  <c r="F296" i="34"/>
  <c r="E294" i="34"/>
  <c r="F294" i="34"/>
  <c r="E292" i="34"/>
  <c r="F292" i="34"/>
  <c r="E290" i="34"/>
  <c r="F290" i="34"/>
  <c r="E288" i="34"/>
  <c r="F288" i="34"/>
  <c r="E286" i="34"/>
  <c r="F286" i="34"/>
  <c r="E284" i="34"/>
  <c r="F284" i="34"/>
  <c r="E282" i="34"/>
  <c r="F282" i="34"/>
  <c r="E280" i="34"/>
  <c r="F280" i="34"/>
  <c r="E414" i="34"/>
  <c r="F414" i="34"/>
  <c r="E410" i="34"/>
  <c r="F410" i="34"/>
  <c r="E408" i="34"/>
  <c r="F408" i="34"/>
  <c r="E406" i="34"/>
  <c r="F406" i="34"/>
  <c r="E404" i="34"/>
  <c r="E402" i="34"/>
  <c r="F402" i="34"/>
  <c r="E400" i="34"/>
  <c r="F400" i="34"/>
  <c r="E398" i="34"/>
  <c r="F398" i="34"/>
  <c r="E415" i="34"/>
  <c r="E413" i="34"/>
  <c r="F413" i="34"/>
  <c r="E411" i="34"/>
  <c r="F411" i="34"/>
  <c r="E409" i="34"/>
  <c r="F409" i="34"/>
  <c r="E407" i="34"/>
  <c r="E405" i="34"/>
  <c r="F405" i="34"/>
  <c r="E403" i="34"/>
  <c r="F403" i="34"/>
  <c r="E401" i="34"/>
  <c r="F401" i="34"/>
  <c r="E399" i="34"/>
  <c r="F399" i="34"/>
  <c r="E397" i="34"/>
  <c r="F397" i="34"/>
  <c r="E395" i="34"/>
  <c r="F395" i="34"/>
  <c r="E393" i="34"/>
  <c r="E391" i="34"/>
  <c r="F391" i="34"/>
  <c r="E389" i="34"/>
  <c r="F389" i="34"/>
  <c r="E387" i="34"/>
  <c r="F387" i="34"/>
  <c r="E385" i="34"/>
  <c r="F385" i="34"/>
  <c r="E383" i="34"/>
  <c r="F383" i="34"/>
  <c r="E381" i="34"/>
  <c r="F381" i="34"/>
  <c r="E379" i="34"/>
  <c r="F379" i="34"/>
  <c r="E377" i="34"/>
  <c r="F377" i="34"/>
  <c r="E375" i="34"/>
  <c r="F375" i="34"/>
  <c r="E373" i="34"/>
  <c r="F373" i="34"/>
  <c r="E371" i="34"/>
  <c r="F371" i="34"/>
  <c r="E369" i="34"/>
  <c r="F369" i="34"/>
  <c r="E367" i="34"/>
  <c r="F367" i="34"/>
  <c r="E365" i="34"/>
  <c r="F365" i="34"/>
  <c r="E363" i="34"/>
  <c r="F363" i="34"/>
  <c r="E361" i="34"/>
  <c r="F361" i="34"/>
  <c r="E359" i="34"/>
  <c r="F359" i="34"/>
  <c r="E357" i="34"/>
  <c r="F357" i="34"/>
  <c r="E355" i="34"/>
  <c r="F355" i="34"/>
  <c r="E353" i="34"/>
  <c r="F353" i="34"/>
  <c r="E351" i="34"/>
  <c r="F351" i="34"/>
  <c r="E349" i="34"/>
  <c r="F349" i="34"/>
  <c r="E347" i="34"/>
  <c r="F347" i="34"/>
  <c r="E345" i="34"/>
  <c r="F345" i="34"/>
  <c r="E343" i="34"/>
  <c r="F343" i="34"/>
  <c r="E341" i="34"/>
  <c r="F341" i="34"/>
  <c r="E339" i="34"/>
  <c r="F339" i="34"/>
  <c r="E337" i="34"/>
  <c r="F337" i="34"/>
  <c r="E335" i="34"/>
  <c r="F335" i="34"/>
  <c r="E333" i="34"/>
  <c r="F333" i="34"/>
  <c r="E331" i="34"/>
  <c r="F331" i="34"/>
  <c r="E329" i="34"/>
  <c r="F329" i="34"/>
  <c r="E327" i="34"/>
  <c r="F327" i="34"/>
  <c r="E325" i="34"/>
  <c r="F325" i="34"/>
  <c r="E323" i="34"/>
  <c r="F323" i="34"/>
  <c r="E321" i="34"/>
  <c r="F321" i="34"/>
  <c r="E319" i="34"/>
  <c r="F319" i="34"/>
  <c r="E317" i="34"/>
  <c r="F317" i="34"/>
  <c r="E315" i="34"/>
  <c r="F315" i="34"/>
  <c r="E313" i="34"/>
  <c r="F313" i="34"/>
  <c r="E311" i="34"/>
  <c r="F311" i="34"/>
  <c r="E309" i="34"/>
  <c r="F309" i="34"/>
  <c r="E307" i="34"/>
  <c r="F307" i="34"/>
  <c r="E305" i="34"/>
  <c r="F305" i="34"/>
  <c r="E303" i="34"/>
  <c r="F303" i="34"/>
  <c r="E301" i="34"/>
  <c r="F301" i="34"/>
  <c r="E299" i="34"/>
  <c r="F299" i="34"/>
  <c r="E297" i="34"/>
  <c r="F297" i="34"/>
  <c r="E295" i="34"/>
  <c r="F295" i="34"/>
  <c r="E293" i="34"/>
  <c r="F293" i="34"/>
  <c r="E291" i="34"/>
  <c r="F291" i="34"/>
  <c r="E289" i="34"/>
  <c r="F289" i="34"/>
  <c r="E287" i="34"/>
  <c r="F287" i="34"/>
  <c r="E285" i="34"/>
  <c r="F285" i="34"/>
  <c r="E283" i="34"/>
  <c r="F283" i="34"/>
  <c r="E281" i="34"/>
  <c r="F281" i="34"/>
  <c r="E279" i="34"/>
  <c r="F279" i="34"/>
  <c r="E277" i="34"/>
  <c r="F277" i="34"/>
  <c r="E275" i="34"/>
  <c r="F275" i="34"/>
  <c r="E273" i="34"/>
  <c r="F273" i="34"/>
  <c r="E271" i="34"/>
  <c r="F271" i="34"/>
  <c r="E269" i="34"/>
  <c r="F269" i="34"/>
  <c r="E267" i="34"/>
  <c r="F267" i="34"/>
  <c r="E265" i="34"/>
  <c r="F265" i="34"/>
  <c r="E263" i="34"/>
  <c r="F263" i="34"/>
  <c r="E261" i="34"/>
  <c r="F261" i="34"/>
  <c r="E259" i="34"/>
  <c r="F259" i="34"/>
  <c r="E257" i="34"/>
  <c r="F257" i="34"/>
  <c r="E255" i="34"/>
  <c r="F255" i="34"/>
  <c r="E253" i="34"/>
  <c r="F253" i="34"/>
  <c r="E251" i="34"/>
  <c r="F251" i="34"/>
  <c r="E249" i="34"/>
  <c r="F249" i="34"/>
  <c r="E247" i="34"/>
  <c r="F247" i="34"/>
  <c r="E245" i="34"/>
  <c r="F245" i="34"/>
  <c r="E243" i="34"/>
  <c r="F243" i="34"/>
  <c r="E241" i="34"/>
  <c r="F241" i="34"/>
  <c r="E239" i="34"/>
  <c r="F239" i="34"/>
  <c r="E237" i="34"/>
  <c r="F237" i="34"/>
  <c r="E235" i="34"/>
  <c r="F235" i="34"/>
  <c r="E233" i="34"/>
  <c r="F233" i="34"/>
  <c r="E231" i="34"/>
  <c r="F231" i="34"/>
  <c r="E229" i="34"/>
  <c r="F229" i="34"/>
  <c r="E227" i="34"/>
  <c r="F227" i="34"/>
  <c r="E225" i="34"/>
  <c r="F225" i="34"/>
  <c r="E223" i="34"/>
  <c r="F223" i="34"/>
  <c r="E221" i="34"/>
  <c r="F221" i="34"/>
  <c r="E219" i="34"/>
  <c r="F219" i="34"/>
  <c r="E217" i="34"/>
  <c r="F217" i="34"/>
  <c r="E215" i="34"/>
  <c r="F215" i="34"/>
  <c r="E213" i="34"/>
  <c r="F213" i="34"/>
  <c r="E211" i="34"/>
  <c r="F211" i="34"/>
  <c r="E209" i="34"/>
  <c r="F209" i="34"/>
  <c r="E207" i="34"/>
  <c r="F207" i="34"/>
  <c r="E205" i="34"/>
  <c r="F205" i="34"/>
  <c r="E203" i="34"/>
  <c r="F203" i="34"/>
  <c r="E201" i="34"/>
  <c r="F201" i="34"/>
  <c r="E199" i="34"/>
  <c r="F199" i="34"/>
  <c r="E197" i="34"/>
  <c r="F197" i="34"/>
  <c r="E195" i="34"/>
  <c r="F195" i="34"/>
  <c r="E193" i="34"/>
  <c r="F193" i="34"/>
  <c r="E191" i="34"/>
  <c r="F191" i="34"/>
  <c r="E189" i="34"/>
  <c r="F189" i="34"/>
  <c r="E187" i="34"/>
  <c r="F187" i="34"/>
  <c r="E185" i="34"/>
  <c r="F185" i="34"/>
  <c r="E183" i="34"/>
  <c r="F183" i="34"/>
  <c r="E181" i="34"/>
  <c r="F181" i="34"/>
  <c r="E179" i="34"/>
  <c r="F179" i="34"/>
  <c r="E177" i="34"/>
  <c r="F177" i="34"/>
  <c r="E175" i="34"/>
  <c r="F175" i="34"/>
  <c r="E173" i="34"/>
  <c r="F173" i="34"/>
  <c r="E171" i="34"/>
  <c r="F171" i="34"/>
  <c r="E169" i="34"/>
  <c r="F169" i="34"/>
  <c r="E167" i="34"/>
  <c r="F167" i="34"/>
  <c r="E165" i="34"/>
  <c r="F165" i="34"/>
  <c r="E163" i="34"/>
  <c r="F163" i="34"/>
  <c r="E161" i="34"/>
  <c r="F161" i="34"/>
  <c r="E159" i="34"/>
  <c r="F159" i="34"/>
  <c r="E157" i="34"/>
  <c r="F157" i="34"/>
  <c r="E155" i="34"/>
  <c r="F155" i="34"/>
  <c r="E153" i="34"/>
  <c r="F153" i="34"/>
  <c r="E151" i="34"/>
  <c r="F151" i="34"/>
  <c r="E149" i="34"/>
  <c r="F149" i="34"/>
  <c r="E147" i="34"/>
  <c r="F147" i="34"/>
  <c r="E145" i="34"/>
  <c r="F145" i="34"/>
  <c r="E143" i="34"/>
  <c r="E141" i="34"/>
  <c r="E139" i="34"/>
  <c r="E137" i="34"/>
  <c r="E135" i="34"/>
  <c r="E133" i="34"/>
  <c r="E131" i="34"/>
  <c r="E129" i="34"/>
  <c r="E127" i="34"/>
  <c r="E125" i="34"/>
  <c r="E123" i="34"/>
  <c r="E121" i="34"/>
  <c r="E119" i="34"/>
  <c r="E117" i="34"/>
  <c r="E115" i="34"/>
  <c r="E113" i="34"/>
  <c r="E111" i="34"/>
  <c r="E109" i="34"/>
  <c r="E107" i="34"/>
  <c r="E105" i="34"/>
  <c r="E103" i="34"/>
  <c r="E101" i="34"/>
  <c r="E99" i="34"/>
  <c r="E97" i="34"/>
  <c r="E95" i="34"/>
  <c r="E93" i="34"/>
  <c r="E91" i="34"/>
  <c r="E89" i="34"/>
  <c r="E87" i="34"/>
  <c r="E85" i="34"/>
  <c r="E83" i="34"/>
  <c r="E81" i="34"/>
  <c r="E79" i="34"/>
  <c r="E77" i="34"/>
  <c r="E75" i="34"/>
  <c r="E73" i="34"/>
  <c r="E71" i="34"/>
  <c r="E69" i="34"/>
  <c r="E67" i="34"/>
  <c r="E65" i="34"/>
  <c r="E63" i="34"/>
  <c r="E61" i="34"/>
  <c r="E59" i="34"/>
  <c r="E57" i="34"/>
  <c r="E55" i="34"/>
  <c r="E53" i="34"/>
  <c r="E51" i="34"/>
  <c r="E49" i="34"/>
  <c r="E47" i="34"/>
  <c r="E45" i="34"/>
  <c r="E43" i="34"/>
  <c r="E41" i="34"/>
  <c r="E39" i="34"/>
  <c r="E37" i="34"/>
  <c r="E35" i="34"/>
  <c r="E33" i="34"/>
  <c r="E31" i="34"/>
  <c r="E29" i="34"/>
  <c r="E27" i="34"/>
  <c r="E25" i="34"/>
  <c r="E23" i="34"/>
  <c r="E21" i="34"/>
  <c r="E19" i="34"/>
  <c r="E17" i="34"/>
  <c r="E15" i="34"/>
  <c r="E13" i="34"/>
  <c r="E11" i="34"/>
  <c r="E9" i="34"/>
  <c r="E7" i="34"/>
  <c r="E5" i="34"/>
  <c r="F5" i="34"/>
  <c r="F7" i="34"/>
  <c r="F9" i="34"/>
  <c r="F11" i="34"/>
  <c r="F13" i="34"/>
  <c r="F15" i="34"/>
  <c r="F17" i="34"/>
  <c r="F19" i="34"/>
  <c r="F21" i="34"/>
  <c r="F23" i="34"/>
  <c r="F25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F95" i="34"/>
  <c r="F97" i="34"/>
  <c r="F99" i="34"/>
  <c r="F101" i="34"/>
  <c r="F103" i="34"/>
  <c r="F105" i="34"/>
  <c r="F107" i="34"/>
  <c r="F109" i="34"/>
  <c r="F111" i="34"/>
  <c r="F113" i="34"/>
  <c r="F115" i="34"/>
  <c r="F117" i="34"/>
  <c r="F119" i="34"/>
  <c r="F121" i="34"/>
  <c r="F123" i="34"/>
  <c r="F125" i="34"/>
  <c r="F127" i="34"/>
  <c r="F129" i="34"/>
  <c r="F131" i="34"/>
  <c r="F133" i="34"/>
  <c r="F135" i="34"/>
  <c r="F137" i="34"/>
  <c r="F139" i="34"/>
  <c r="F141" i="34"/>
  <c r="F143" i="34"/>
  <c r="E278" i="34"/>
  <c r="F278" i="34"/>
  <c r="E276" i="34"/>
  <c r="F276" i="34"/>
  <c r="E274" i="34"/>
  <c r="F274" i="34"/>
  <c r="E272" i="34"/>
  <c r="F272" i="34"/>
  <c r="E270" i="34"/>
  <c r="F270" i="34"/>
  <c r="E268" i="34"/>
  <c r="F268" i="34"/>
  <c r="E266" i="34"/>
  <c r="F266" i="34"/>
  <c r="E264" i="34"/>
  <c r="F264" i="34"/>
  <c r="E262" i="34"/>
  <c r="F262" i="34"/>
  <c r="E260" i="34"/>
  <c r="F260" i="34"/>
  <c r="E258" i="34"/>
  <c r="F258" i="34"/>
  <c r="E256" i="34"/>
  <c r="F256" i="34"/>
  <c r="E254" i="34"/>
  <c r="F254" i="34"/>
  <c r="E252" i="34"/>
  <c r="F252" i="34"/>
  <c r="E250" i="34"/>
  <c r="F250" i="34"/>
  <c r="E248" i="34"/>
  <c r="F248" i="34"/>
  <c r="E246" i="34"/>
  <c r="F246" i="34"/>
  <c r="E244" i="34"/>
  <c r="F244" i="34"/>
  <c r="E242" i="34"/>
  <c r="F242" i="34"/>
  <c r="E240" i="34"/>
  <c r="F240" i="34"/>
  <c r="E238" i="34"/>
  <c r="F238" i="34"/>
  <c r="E236" i="34"/>
  <c r="F236" i="34"/>
  <c r="E234" i="34"/>
  <c r="F234" i="34"/>
  <c r="E232" i="34"/>
  <c r="F232" i="34"/>
  <c r="E230" i="34"/>
  <c r="F230" i="34"/>
  <c r="E228" i="34"/>
  <c r="F228" i="34"/>
  <c r="E226" i="34"/>
  <c r="F226" i="34"/>
  <c r="E224" i="34"/>
  <c r="F224" i="34"/>
  <c r="E222" i="34"/>
  <c r="F222" i="34"/>
  <c r="E220" i="34"/>
  <c r="F220" i="34"/>
  <c r="E218" i="34"/>
  <c r="F218" i="34"/>
  <c r="E216" i="34"/>
  <c r="F216" i="34"/>
  <c r="E214" i="34"/>
  <c r="F214" i="34"/>
  <c r="E212" i="34"/>
  <c r="F212" i="34"/>
  <c r="E210" i="34"/>
  <c r="F210" i="34"/>
  <c r="E208" i="34"/>
  <c r="F208" i="34"/>
  <c r="E206" i="34"/>
  <c r="F206" i="34"/>
  <c r="E204" i="34"/>
  <c r="F204" i="34"/>
  <c r="E202" i="34"/>
  <c r="F202" i="34"/>
  <c r="E200" i="34"/>
  <c r="F200" i="34"/>
  <c r="E198" i="34"/>
  <c r="F198" i="34"/>
  <c r="E196" i="34"/>
  <c r="F196" i="34"/>
  <c r="E194" i="34"/>
  <c r="F194" i="34"/>
  <c r="E192" i="34"/>
  <c r="F192" i="34"/>
  <c r="E190" i="34"/>
  <c r="F190" i="34"/>
  <c r="E188" i="34"/>
  <c r="F188" i="34"/>
  <c r="E186" i="34"/>
  <c r="F186" i="34"/>
  <c r="E184" i="34"/>
  <c r="F184" i="34"/>
  <c r="E182" i="34"/>
  <c r="F182" i="34"/>
  <c r="E180" i="34"/>
  <c r="F180" i="34"/>
  <c r="E178" i="34"/>
  <c r="F178" i="34"/>
  <c r="E176" i="34"/>
  <c r="F176" i="34"/>
  <c r="E174" i="34"/>
  <c r="F174" i="34"/>
  <c r="E172" i="34"/>
  <c r="F172" i="34"/>
  <c r="E170" i="34"/>
  <c r="F170" i="34"/>
  <c r="E168" i="34"/>
  <c r="F168" i="34"/>
  <c r="E166" i="34"/>
  <c r="F166" i="34"/>
  <c r="E164" i="34"/>
  <c r="F164" i="34"/>
  <c r="E162" i="34"/>
  <c r="F162" i="34"/>
  <c r="E160" i="34"/>
  <c r="F160" i="34"/>
  <c r="E158" i="34"/>
  <c r="F158" i="34"/>
  <c r="E156" i="34"/>
  <c r="F156" i="34"/>
  <c r="E154" i="34"/>
  <c r="F154" i="34"/>
  <c r="E152" i="34"/>
  <c r="E150" i="34"/>
  <c r="E148" i="34"/>
  <c r="E146" i="34"/>
  <c r="E144" i="34"/>
  <c r="E142" i="34"/>
  <c r="E140" i="34"/>
  <c r="E138" i="34"/>
  <c r="E136" i="34"/>
  <c r="E134" i="34"/>
  <c r="E132" i="34"/>
  <c r="E130" i="34"/>
  <c r="E128" i="34"/>
  <c r="E126" i="34"/>
  <c r="E124" i="34"/>
  <c r="E122" i="34"/>
  <c r="E120" i="34"/>
  <c r="E118" i="34"/>
  <c r="E116" i="34"/>
  <c r="E114" i="34"/>
  <c r="E112" i="34"/>
  <c r="E110" i="34"/>
  <c r="E108" i="34"/>
  <c r="E106" i="34"/>
  <c r="E104" i="34"/>
  <c r="E102" i="34"/>
  <c r="E100" i="34"/>
  <c r="E98" i="34"/>
  <c r="E96" i="34"/>
  <c r="E94" i="34"/>
  <c r="E92" i="34"/>
  <c r="E90" i="34"/>
  <c r="E88" i="34"/>
  <c r="E86" i="34"/>
  <c r="E84" i="34"/>
  <c r="E82" i="34"/>
  <c r="E80" i="34"/>
  <c r="E78" i="34"/>
  <c r="E76" i="34"/>
  <c r="E74" i="34"/>
  <c r="E72" i="34"/>
  <c r="E70" i="34"/>
  <c r="E68" i="34"/>
  <c r="E66" i="34"/>
  <c r="E64" i="34"/>
  <c r="E62" i="34"/>
  <c r="E60" i="34"/>
  <c r="E58" i="34"/>
  <c r="E56" i="34"/>
  <c r="E54" i="34"/>
  <c r="E52" i="34"/>
  <c r="E50" i="34"/>
  <c r="E48" i="34"/>
  <c r="E46" i="34"/>
  <c r="E44" i="34"/>
  <c r="E42" i="34"/>
  <c r="E40" i="34"/>
  <c r="E38" i="34"/>
  <c r="E36" i="34"/>
  <c r="E34" i="34"/>
  <c r="E32" i="34"/>
  <c r="E30" i="34"/>
  <c r="E28" i="34"/>
  <c r="E26" i="34"/>
  <c r="E24" i="34"/>
  <c r="E22" i="34"/>
  <c r="E20" i="34"/>
  <c r="E18" i="34"/>
  <c r="E16" i="34"/>
  <c r="E14" i="34"/>
  <c r="E12" i="34"/>
  <c r="E10" i="34"/>
  <c r="E8" i="34"/>
  <c r="E6" i="34"/>
  <c r="E4" i="34"/>
  <c r="F4" i="34"/>
  <c r="F6" i="34"/>
  <c r="F8" i="34"/>
  <c r="F10" i="34"/>
  <c r="F12" i="34"/>
  <c r="F14" i="34"/>
  <c r="F16" i="34"/>
  <c r="F18" i="34"/>
  <c r="F20" i="34"/>
  <c r="F22" i="34"/>
  <c r="F24" i="34"/>
  <c r="F26" i="34"/>
  <c r="F28" i="34"/>
  <c r="F30" i="34"/>
  <c r="F32" i="34"/>
  <c r="F34" i="34"/>
  <c r="F36" i="34"/>
  <c r="F38" i="34"/>
  <c r="F40" i="34"/>
  <c r="F42" i="34"/>
  <c r="F44" i="34"/>
  <c r="F46" i="34"/>
  <c r="F48" i="34"/>
  <c r="F50" i="34"/>
  <c r="F52" i="34"/>
  <c r="F54" i="34"/>
  <c r="F56" i="34"/>
  <c r="F58" i="34"/>
  <c r="F60" i="34"/>
  <c r="F62" i="34"/>
  <c r="F64" i="34"/>
  <c r="F66" i="34"/>
  <c r="F68" i="34"/>
  <c r="F70" i="34"/>
  <c r="F72" i="34"/>
  <c r="F74" i="34"/>
  <c r="F76" i="34"/>
  <c r="F78" i="34"/>
  <c r="F80" i="34"/>
  <c r="F82" i="34"/>
  <c r="F84" i="34"/>
  <c r="F86" i="34"/>
  <c r="F88" i="34"/>
  <c r="F90" i="34"/>
  <c r="F92" i="34"/>
  <c r="F94" i="34"/>
  <c r="F96" i="34"/>
  <c r="F98" i="34"/>
  <c r="F100" i="34"/>
  <c r="F102" i="34"/>
  <c r="F104" i="34"/>
  <c r="F106" i="34"/>
  <c r="F108" i="34"/>
  <c r="F110" i="34"/>
  <c r="F112" i="34"/>
  <c r="F114" i="34"/>
  <c r="F116" i="34"/>
  <c r="F118" i="34"/>
  <c r="F120" i="34"/>
  <c r="F122" i="34"/>
  <c r="F124" i="34"/>
  <c r="F126" i="34"/>
  <c r="F128" i="34"/>
  <c r="F130" i="34"/>
  <c r="F132" i="34"/>
  <c r="F134" i="34"/>
  <c r="F136" i="34"/>
  <c r="F138" i="34"/>
  <c r="F140" i="34"/>
  <c r="F142" i="34"/>
  <c r="F144" i="34"/>
  <c r="F148" i="34"/>
  <c r="F15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35" i="2"/>
  <c r="K127" i="2" s="1"/>
  <c r="K25" i="2"/>
  <c r="K21" i="2"/>
  <c r="K27" i="36"/>
  <c r="K35" i="36" s="1"/>
  <c r="K20" i="36"/>
  <c r="M140" i="1"/>
  <c r="M135" i="1"/>
  <c r="M134" i="1" s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60" i="8" s="1"/>
  <c r="K40" i="8"/>
  <c r="K33" i="8"/>
  <c r="K45" i="8"/>
  <c r="K24" i="8"/>
  <c r="K20" i="8"/>
  <c r="K46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63" i="8" s="1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 s="1"/>
  <c r="K50" i="1" s="1"/>
  <c r="M51" i="1"/>
  <c r="K51" i="1"/>
  <c r="M40" i="1"/>
  <c r="K40" i="1"/>
  <c r="M34" i="1"/>
  <c r="K34" i="1"/>
  <c r="L34" i="1" s="1"/>
  <c r="M27" i="1"/>
  <c r="K27" i="1"/>
  <c r="M21" i="1"/>
  <c r="M20" i="1" s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Z43" i="32" s="1"/>
  <c r="AA43" i="32" s="1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C5" i="36" s="1"/>
  <c r="B119" i="32"/>
  <c r="B67" i="32"/>
  <c r="F27" i="31"/>
  <c r="F28" i="31"/>
  <c r="C7" i="2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I87" i="1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8"/>
  <c r="J16" i="36"/>
  <c r="J16" i="8"/>
  <c r="C5" i="1"/>
  <c r="J16" i="2"/>
  <c r="C5" i="8"/>
  <c r="C5" i="14"/>
  <c r="D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J17" i="8"/>
  <c r="I5" i="36"/>
  <c r="I16" i="8"/>
  <c r="C6" i="14"/>
  <c r="C6" i="8"/>
  <c r="I5" i="8"/>
  <c r="C16" i="8"/>
  <c r="K5" i="1"/>
  <c r="I16" i="36"/>
  <c r="C6" i="1"/>
  <c r="C6" i="10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22" i="32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K15" i="2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X6" i="33"/>
  <c r="I393" i="34" s="1"/>
  <c r="X5" i="33"/>
  <c r="X4" i="33"/>
  <c r="I407" i="34" s="1"/>
  <c r="V3" i="33"/>
  <c r="W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J20" i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K20" i="1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L6" i="1"/>
  <c r="J6" i="14"/>
  <c r="J6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AB15" i="32"/>
  <c r="D356" i="35" s="1"/>
  <c r="AB45" i="32"/>
  <c r="I40" i="36" s="1"/>
  <c r="I40" i="10"/>
  <c r="N6" i="10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J6" i="8"/>
  <c r="J61" i="8" l="1"/>
  <c r="K61" i="8"/>
  <c r="J64" i="8"/>
  <c r="J65" i="8"/>
  <c r="K64" i="8"/>
  <c r="J31" i="8"/>
  <c r="J69" i="8"/>
  <c r="J30" i="8"/>
  <c r="K90" i="2"/>
  <c r="J35" i="2"/>
  <c r="J48" i="2" s="1"/>
  <c r="J118" i="2"/>
  <c r="M50" i="1"/>
  <c r="J58" i="1"/>
  <c r="J50" i="1" s="1"/>
  <c r="L50" i="1" s="1"/>
  <c r="M81" i="1"/>
  <c r="M83" i="1" s="1"/>
  <c r="L58" i="1"/>
  <c r="AB43" i="32"/>
  <c r="D138" i="2" s="1"/>
  <c r="D10" i="10"/>
  <c r="D10" i="1"/>
  <c r="D10" i="2"/>
  <c r="D10" i="14"/>
  <c r="D158" i="35"/>
  <c r="D51" i="35"/>
  <c r="D351" i="35"/>
  <c r="D45" i="35"/>
  <c r="D289" i="35"/>
  <c r="D89" i="35"/>
  <c r="C14" i="37"/>
  <c r="D164" i="35"/>
  <c r="D250" i="35"/>
  <c r="D220" i="35"/>
  <c r="C16" i="37"/>
  <c r="D274" i="35"/>
  <c r="D165" i="35"/>
  <c r="D320" i="35"/>
  <c r="D160" i="35"/>
  <c r="D283" i="35"/>
  <c r="D175" i="35"/>
  <c r="D55" i="35"/>
  <c r="D344" i="35"/>
  <c r="D13" i="35"/>
  <c r="D108" i="35"/>
  <c r="D357" i="35"/>
  <c r="D141" i="35"/>
  <c r="D317" i="35"/>
  <c r="D183" i="35"/>
  <c r="D161" i="35"/>
  <c r="C13" i="37"/>
  <c r="D152" i="35"/>
  <c r="D88" i="35"/>
  <c r="C5" i="37"/>
  <c r="D5" i="10"/>
  <c r="D259" i="35"/>
  <c r="D114" i="35"/>
  <c r="D325" i="35"/>
  <c r="D23" i="35"/>
  <c r="D306" i="35"/>
  <c r="D110" i="35"/>
  <c r="D113" i="35"/>
  <c r="D83" i="35"/>
  <c r="D209" i="35"/>
  <c r="D134" i="35"/>
  <c r="D54" i="35"/>
  <c r="D99" i="35"/>
  <c r="D287" i="35"/>
  <c r="D234" i="35"/>
  <c r="D12" i="35"/>
  <c r="C4" i="37"/>
  <c r="D24" i="35"/>
  <c r="D345" i="35"/>
  <c r="D228" i="35"/>
  <c r="D270" i="35"/>
  <c r="D111" i="35"/>
  <c r="D258" i="35"/>
  <c r="D53" i="35"/>
  <c r="D262" i="35"/>
  <c r="D170" i="35"/>
  <c r="D182" i="35"/>
  <c r="C17" i="37"/>
  <c r="D40" i="35"/>
  <c r="D119" i="35"/>
  <c r="D333" i="35"/>
  <c r="D81" i="35"/>
  <c r="D107" i="35"/>
  <c r="D16" i="35"/>
  <c r="D156" i="35"/>
  <c r="D312" i="35"/>
  <c r="D266" i="35"/>
  <c r="D204" i="35"/>
  <c r="D19" i="35"/>
  <c r="D318" i="35"/>
  <c r="D64" i="35"/>
  <c r="D304" i="35"/>
  <c r="D8" i="35"/>
  <c r="D43" i="35"/>
  <c r="D168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30" i="35"/>
  <c r="D132" i="35"/>
  <c r="D174" i="35"/>
  <c r="D282" i="35"/>
  <c r="D142" i="35"/>
  <c r="D218" i="35"/>
  <c r="D187" i="35"/>
  <c r="D33" i="35"/>
  <c r="D213" i="35"/>
  <c r="D155" i="35"/>
  <c r="D34" i="35"/>
  <c r="D280" i="35"/>
  <c r="D173" i="35"/>
  <c r="D127" i="35"/>
  <c r="C8" i="37"/>
  <c r="D139" i="35"/>
  <c r="D214" i="35"/>
  <c r="D265" i="35"/>
  <c r="D309" i="35"/>
  <c r="D233" i="35"/>
  <c r="D5" i="14"/>
  <c r="D120" i="35"/>
  <c r="D17" i="35"/>
  <c r="D286" i="35"/>
  <c r="D136" i="35"/>
  <c r="D130" i="35"/>
  <c r="D264" i="35"/>
  <c r="D167" i="35"/>
  <c r="D244" i="35"/>
  <c r="D92" i="35"/>
  <c r="D253" i="35"/>
  <c r="D277" i="35"/>
  <c r="D25" i="35"/>
  <c r="D147" i="35"/>
  <c r="D285" i="35"/>
  <c r="D226" i="35"/>
  <c r="D129" i="35"/>
  <c r="D163" i="35"/>
  <c r="D328" i="35"/>
  <c r="D352" i="35"/>
  <c r="D71" i="35"/>
  <c r="D310" i="35"/>
  <c r="D230" i="35"/>
  <c r="D323" i="35"/>
  <c r="L27" i="1"/>
  <c r="L40" i="1"/>
  <c r="L154" i="1"/>
  <c r="L156" i="1" s="1"/>
  <c r="M125" i="1"/>
  <c r="K81" i="1"/>
  <c r="K83" i="1" s="1"/>
  <c r="C87" i="1"/>
  <c r="O14" i="10"/>
  <c r="C5" i="10"/>
  <c r="B15" i="32"/>
  <c r="C10" i="36"/>
  <c r="I16" i="1"/>
  <c r="I16" i="2"/>
  <c r="M16" i="1"/>
  <c r="M21" i="10"/>
  <c r="O21" i="10" s="1"/>
  <c r="I16" i="14"/>
  <c r="C7" i="36"/>
  <c r="C7" i="1"/>
  <c r="C5" i="2"/>
  <c r="B22" i="37"/>
  <c r="B24" i="37"/>
  <c r="F22" i="37"/>
  <c r="F24" i="37"/>
  <c r="B378" i="35"/>
  <c r="H378" i="35"/>
  <c r="B364" i="35"/>
  <c r="B366" i="35"/>
  <c r="B368" i="35"/>
  <c r="B370" i="35"/>
  <c r="B372" i="35"/>
  <c r="B374" i="35"/>
  <c r="B376" i="35"/>
  <c r="H364" i="35"/>
  <c r="H366" i="35"/>
  <c r="H368" i="35"/>
  <c r="H370" i="35"/>
  <c r="H372" i="35"/>
  <c r="H374" i="35"/>
  <c r="H376" i="35"/>
  <c r="B21" i="37"/>
  <c r="B23" i="37"/>
  <c r="F21" i="37"/>
  <c r="F23" i="37"/>
  <c r="B377" i="35"/>
  <c r="B379" i="35"/>
  <c r="H377" i="35"/>
  <c r="H379" i="35"/>
  <c r="B363" i="35"/>
  <c r="B365" i="35"/>
  <c r="B367" i="35"/>
  <c r="B369" i="35"/>
  <c r="B371" i="35"/>
  <c r="B373" i="35"/>
  <c r="B375" i="35"/>
  <c r="H363" i="35"/>
  <c r="H365" i="35"/>
  <c r="H367" i="35"/>
  <c r="H369" i="35"/>
  <c r="H371" i="35"/>
  <c r="H373" i="35"/>
  <c r="H375" i="35"/>
  <c r="E2" i="34"/>
  <c r="C19" i="1" s="1"/>
  <c r="F2" i="34"/>
  <c r="D19" i="1" s="1"/>
  <c r="E3" i="34"/>
  <c r="C20" i="1" s="1"/>
  <c r="F3" i="34"/>
  <c r="D20" i="1" s="1"/>
  <c r="I20" i="1"/>
  <c r="L21" i="1"/>
  <c r="L51" i="1"/>
  <c r="L59" i="1"/>
  <c r="L66" i="1"/>
  <c r="L75" i="1"/>
  <c r="J62" i="8"/>
  <c r="K65" i="8"/>
  <c r="K30" i="8"/>
  <c r="M154" i="1"/>
  <c r="M156" i="1" s="1"/>
  <c r="K20" i="2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AB24" i="32"/>
  <c r="E234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E223" i="35"/>
  <c r="E258" i="35"/>
  <c r="E19" i="35"/>
  <c r="E17" i="35"/>
  <c r="D334" i="35"/>
  <c r="D11" i="1"/>
  <c r="E303" i="35"/>
  <c r="E323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E185" i="35"/>
  <c r="E247" i="35"/>
  <c r="E255" i="35"/>
  <c r="E299" i="35"/>
  <c r="E50" i="35"/>
  <c r="C12" i="1"/>
  <c r="E340" i="35"/>
  <c r="E216" i="35"/>
  <c r="E66" i="35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17" i="37"/>
  <c r="E153" i="35"/>
  <c r="E28" i="35"/>
  <c r="E214" i="35"/>
  <c r="E42" i="35"/>
  <c r="E68" i="35"/>
  <c r="E158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C51" i="11" s="1"/>
  <c r="J65" i="2"/>
  <c r="M85" i="1"/>
  <c r="L20" i="1"/>
  <c r="J8" i="36"/>
  <c r="J8" i="14"/>
  <c r="N9" i="10"/>
  <c r="J9" i="14"/>
  <c r="J10" i="8"/>
  <c r="N10" i="10"/>
  <c r="J10" i="14"/>
  <c r="K124" i="2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Z5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J49" i="2" l="1"/>
  <c r="J64" i="2"/>
  <c r="J127" i="2"/>
  <c r="D50" i="11"/>
  <c r="J81" i="1"/>
  <c r="L81" i="1" s="1"/>
  <c r="D92" i="14"/>
  <c r="D160" i="1"/>
  <c r="D44" i="10"/>
  <c r="D42" i="36"/>
  <c r="D73" i="8"/>
  <c r="D6" i="36"/>
  <c r="E232" i="35"/>
  <c r="E23" i="35"/>
  <c r="E89" i="35"/>
  <c r="E186" i="35"/>
  <c r="E108" i="35"/>
  <c r="E236" i="35"/>
  <c r="E297" i="35"/>
  <c r="E194" i="35"/>
  <c r="E246" i="35"/>
  <c r="E335" i="35"/>
  <c r="E322" i="35"/>
  <c r="E204" i="35"/>
  <c r="E207" i="35"/>
  <c r="E98" i="35"/>
  <c r="E124" i="35"/>
  <c r="E45" i="35"/>
  <c r="D6" i="37"/>
  <c r="E136" i="35"/>
  <c r="E165" i="35"/>
  <c r="E227" i="35"/>
  <c r="E92" i="35"/>
  <c r="C52" i="11"/>
  <c r="K65" i="2"/>
  <c r="K48" i="2"/>
  <c r="K117" i="2"/>
  <c r="K49" i="2"/>
  <c r="D48" i="11"/>
  <c r="C48" i="11"/>
  <c r="C50" i="11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O40" i="10"/>
  <c r="J19" i="36"/>
  <c r="K85" i="1"/>
  <c r="L375" i="35"/>
  <c r="L379" i="35"/>
  <c r="M23" i="37"/>
  <c r="M364" i="35"/>
  <c r="Q24" i="37"/>
  <c r="L365" i="35"/>
  <c r="Q21" i="37"/>
  <c r="L366" i="35"/>
  <c r="Q22" i="37"/>
  <c r="M363" i="35"/>
  <c r="N23" i="37"/>
  <c r="L368" i="35"/>
  <c r="N24" i="37"/>
  <c r="L369" i="35"/>
  <c r="M21" i="37"/>
  <c r="L370" i="35"/>
  <c r="P22" i="37"/>
  <c r="L363" i="35"/>
  <c r="P23" i="37"/>
  <c r="M368" i="35"/>
  <c r="O24" i="37"/>
  <c r="M369" i="35"/>
  <c r="J21" i="37"/>
  <c r="M370" i="35"/>
  <c r="N22" i="37"/>
  <c r="L367" i="35"/>
  <c r="O23" i="37"/>
  <c r="L372" i="35"/>
  <c r="M24" i="37"/>
  <c r="M373" i="35"/>
  <c r="N21" i="37"/>
  <c r="M374" i="35"/>
  <c r="L22" i="37"/>
  <c r="J23" i="37"/>
  <c r="M372" i="35"/>
  <c r="J24" i="37"/>
  <c r="L373" i="35"/>
  <c r="K21" i="37"/>
  <c r="L374" i="35"/>
  <c r="O22" i="37"/>
  <c r="L371" i="35"/>
  <c r="Q23" i="37"/>
  <c r="L376" i="35"/>
  <c r="L378" i="35"/>
  <c r="K24" i="37"/>
  <c r="L377" i="35"/>
  <c r="P21" i="37"/>
  <c r="M22" i="37"/>
  <c r="M371" i="35"/>
  <c r="K23" i="37"/>
  <c r="M376" i="35"/>
  <c r="M378" i="35"/>
  <c r="P24" i="37"/>
  <c r="M377" i="35"/>
  <c r="L21" i="37"/>
  <c r="J22" i="37"/>
  <c r="M375" i="35"/>
  <c r="M379" i="35"/>
  <c r="L23" i="37"/>
  <c r="L364" i="35"/>
  <c r="L24" i="37"/>
  <c r="M365" i="35"/>
  <c r="O21" i="37"/>
  <c r="M366" i="35"/>
  <c r="K22" i="37"/>
  <c r="M367" i="35"/>
  <c r="C56" i="11" l="1"/>
  <c r="C54" i="11"/>
  <c r="J83" i="1"/>
  <c r="L83" i="1" s="1"/>
  <c r="C45" i="11" s="1"/>
  <c r="O32" i="10"/>
  <c r="D55" i="11"/>
  <c r="J38" i="36"/>
  <c r="J37" i="36"/>
  <c r="D47" i="11"/>
  <c r="K38" i="36"/>
  <c r="K37" i="36"/>
  <c r="J85" i="1" l="1"/>
  <c r="L85" i="1" l="1"/>
  <c r="M208" i="35"/>
  <c r="J24" i="35"/>
  <c r="L57" i="35"/>
  <c r="M204" i="35"/>
  <c r="K41" i="35"/>
  <c r="M140" i="35"/>
  <c r="M163" i="35"/>
  <c r="M17" i="35"/>
  <c r="M69" i="35"/>
  <c r="Q20" i="37"/>
  <c r="L217" i="35"/>
  <c r="M179" i="35"/>
  <c r="M335" i="35"/>
  <c r="L300" i="35"/>
  <c r="M4" i="35"/>
  <c r="L233" i="35"/>
  <c r="L13" i="37"/>
  <c r="M248" i="35"/>
  <c r="L87" i="35"/>
  <c r="L102" i="35"/>
  <c r="M135" i="35"/>
  <c r="M237" i="35"/>
  <c r="L350" i="35"/>
  <c r="M81" i="35"/>
  <c r="P16" i="37"/>
  <c r="L142" i="35"/>
  <c r="L123" i="35"/>
  <c r="M272" i="35"/>
  <c r="L84" i="35"/>
  <c r="M162" i="35"/>
  <c r="K26" i="35"/>
  <c r="M8" i="37"/>
  <c r="J2" i="37"/>
  <c r="L261" i="35"/>
  <c r="J8" i="37"/>
  <c r="M185" i="35"/>
  <c r="M302" i="35"/>
  <c r="L221" i="35"/>
  <c r="M176" i="35"/>
  <c r="J59" i="35"/>
  <c r="K21" i="35"/>
  <c r="J42" i="35"/>
  <c r="N4" i="37"/>
  <c r="M200" i="35"/>
  <c r="M315" i="35"/>
  <c r="M128" i="35"/>
  <c r="L185" i="35"/>
  <c r="M191" i="35"/>
  <c r="M281" i="35"/>
  <c r="L29" i="35"/>
  <c r="M131" i="35"/>
  <c r="L336" i="35"/>
  <c r="M188" i="35"/>
  <c r="K19" i="35"/>
  <c r="K4" i="37"/>
  <c r="L93" i="35"/>
  <c r="M107" i="35"/>
  <c r="L19" i="37"/>
  <c r="L285" i="35"/>
  <c r="L125" i="35"/>
  <c r="M31" i="35"/>
  <c r="M74" i="35"/>
  <c r="L238" i="35"/>
  <c r="J20" i="37"/>
  <c r="M258" i="35"/>
  <c r="L16" i="37"/>
  <c r="K12" i="35"/>
  <c r="M287" i="35"/>
  <c r="Q12" i="37"/>
  <c r="M28" i="35"/>
  <c r="M303" i="35"/>
  <c r="K15" i="37"/>
  <c r="M358" i="35"/>
  <c r="M10" i="35"/>
  <c r="J38" i="35"/>
  <c r="J3" i="35"/>
  <c r="M104" i="35"/>
  <c r="J20" i="35"/>
  <c r="L190" i="35"/>
  <c r="K9" i="37"/>
  <c r="M152" i="35"/>
  <c r="K36" i="35"/>
  <c r="M147" i="35"/>
  <c r="M139" i="35"/>
  <c r="M21" i="35"/>
  <c r="M353" i="35"/>
  <c r="M7" i="37"/>
  <c r="L242" i="35"/>
  <c r="K57" i="35"/>
  <c r="K28" i="35"/>
  <c r="K51" i="35"/>
  <c r="L202" i="35"/>
  <c r="M123" i="35"/>
  <c r="M233" i="35"/>
  <c r="L219" i="35"/>
  <c r="M15" i="35"/>
  <c r="L86" i="35"/>
  <c r="J48" i="35"/>
  <c r="M220" i="35"/>
  <c r="M202" i="35"/>
  <c r="M282" i="35"/>
  <c r="M117" i="35"/>
  <c r="M2" i="37"/>
  <c r="K54" i="35"/>
  <c r="M145" i="35"/>
  <c r="L215" i="35"/>
  <c r="L250" i="35"/>
  <c r="M275" i="35"/>
  <c r="J53" i="35"/>
  <c r="L239" i="35"/>
  <c r="L111" i="35"/>
  <c r="L198" i="35"/>
  <c r="M77" i="35"/>
  <c r="L229" i="35"/>
  <c r="L11" i="35"/>
  <c r="M286" i="35"/>
  <c r="L361" i="35"/>
  <c r="L305" i="35"/>
  <c r="K39" i="35"/>
  <c r="M255" i="35"/>
  <c r="M102" i="35"/>
  <c r="L23" i="35"/>
  <c r="K65" i="35"/>
  <c r="L103" i="35"/>
  <c r="M67" i="35"/>
  <c r="M284" i="35"/>
  <c r="M19" i="35"/>
  <c r="L83" i="35"/>
  <c r="L149" i="35"/>
  <c r="M295" i="35"/>
  <c r="L39" i="35"/>
  <c r="M283" i="35"/>
  <c r="J11" i="35"/>
  <c r="M9" i="35"/>
  <c r="J23" i="35"/>
  <c r="L357" i="35"/>
  <c r="K33" i="35"/>
  <c r="L191" i="35"/>
  <c r="L3" i="35"/>
  <c r="M118" i="35"/>
  <c r="M235" i="35"/>
  <c r="K6" i="35"/>
  <c r="L183" i="35"/>
  <c r="K8" i="37"/>
  <c r="Q11" i="37"/>
  <c r="K18" i="35"/>
  <c r="L295" i="35"/>
  <c r="M52" i="35"/>
  <c r="M277" i="35"/>
  <c r="M260" i="35"/>
  <c r="J32" i="35"/>
  <c r="L266" i="35"/>
  <c r="P20" i="37"/>
  <c r="O18" i="37"/>
  <c r="M308" i="35"/>
  <c r="L320" i="35"/>
  <c r="L280" i="35"/>
  <c r="M5" i="37"/>
  <c r="M251" i="35"/>
  <c r="L162" i="35"/>
  <c r="K55" i="35"/>
  <c r="M242" i="35"/>
  <c r="M231" i="35"/>
  <c r="M18" i="35"/>
  <c r="J41" i="35"/>
  <c r="J7" i="37"/>
  <c r="J7" i="35"/>
  <c r="M221" i="35"/>
  <c r="L284" i="35"/>
  <c r="L90" i="35"/>
  <c r="M158" i="35"/>
  <c r="M249" i="35"/>
  <c r="M217" i="35"/>
  <c r="L13" i="35"/>
  <c r="M47" i="35"/>
  <c r="M10" i="37"/>
  <c r="K13" i="37"/>
  <c r="M232" i="35"/>
  <c r="L115" i="35"/>
  <c r="M236" i="35"/>
  <c r="J26" i="35"/>
  <c r="O3" i="37"/>
  <c r="Q6" i="37"/>
  <c r="M68" i="35"/>
  <c r="L293" i="35"/>
  <c r="K56" i="35"/>
  <c r="L146" i="35"/>
  <c r="L307" i="35"/>
  <c r="Q17" i="37"/>
  <c r="M37" i="35"/>
  <c r="L268" i="35"/>
  <c r="L359" i="35"/>
  <c r="M304" i="35"/>
  <c r="N7" i="37"/>
  <c r="L330" i="35"/>
  <c r="L97" i="35"/>
  <c r="L32" i="35"/>
  <c r="L174" i="35"/>
  <c r="L24" i="35"/>
  <c r="M43" i="35"/>
  <c r="M211" i="35"/>
  <c r="K48" i="35"/>
  <c r="M241" i="35"/>
  <c r="M199" i="35"/>
  <c r="M229" i="35"/>
  <c r="M212" i="35"/>
  <c r="M142" i="35"/>
  <c r="M99" i="35"/>
  <c r="K45" i="35"/>
  <c r="M129" i="35"/>
  <c r="M254" i="35"/>
  <c r="K31" i="35"/>
  <c r="Q9" i="37"/>
  <c r="L7" i="35"/>
  <c r="J11" i="37"/>
  <c r="J22" i="35"/>
  <c r="M49" i="35"/>
  <c r="M293" i="35"/>
  <c r="M190" i="35"/>
  <c r="L62" i="35"/>
  <c r="L164" i="35"/>
  <c r="M213" i="35"/>
  <c r="Q19" i="37"/>
  <c r="M122" i="35"/>
  <c r="J19" i="37"/>
  <c r="L66" i="35"/>
  <c r="J4" i="35"/>
  <c r="L206" i="35"/>
  <c r="L143" i="35"/>
  <c r="J55" i="35"/>
  <c r="M25" i="35"/>
  <c r="M246" i="35"/>
  <c r="M271" i="35"/>
  <c r="L15" i="37"/>
  <c r="M361" i="35"/>
  <c r="L69" i="35"/>
  <c r="L232" i="35"/>
  <c r="L33" i="35"/>
  <c r="K13" i="35"/>
  <c r="M306" i="35"/>
  <c r="M141" i="35"/>
  <c r="M317" i="35"/>
  <c r="M41" i="35"/>
  <c r="L179" i="35"/>
  <c r="M71" i="35"/>
  <c r="L279" i="35"/>
  <c r="L181" i="35"/>
  <c r="M115" i="35"/>
  <c r="O14" i="37"/>
  <c r="K23" i="35"/>
  <c r="L278" i="35"/>
  <c r="M44" i="35"/>
  <c r="L264" i="35"/>
  <c r="M297" i="35"/>
  <c r="L335" i="35"/>
  <c r="K5" i="37"/>
  <c r="M51" i="35"/>
  <c r="M45" i="35"/>
  <c r="J16" i="37"/>
  <c r="K17" i="37"/>
  <c r="K32" i="35"/>
  <c r="L222" i="35"/>
  <c r="M50" i="35"/>
  <c r="L277" i="35"/>
  <c r="L118" i="35"/>
  <c r="M240" i="35"/>
  <c r="L82" i="35"/>
  <c r="L156" i="35"/>
  <c r="L113" i="35"/>
  <c r="L234" i="35"/>
  <c r="L262" i="35"/>
  <c r="L298" i="35"/>
  <c r="L207" i="35"/>
  <c r="M59" i="35"/>
  <c r="L148" i="35"/>
  <c r="M252" i="35"/>
  <c r="M23" i="35"/>
  <c r="M194" i="35"/>
  <c r="L211" i="35"/>
  <c r="M24" i="35"/>
  <c r="M103" i="35"/>
  <c r="L96" i="35"/>
  <c r="M195" i="35"/>
  <c r="J5" i="37"/>
  <c r="M196" i="35"/>
  <c r="L61" i="35"/>
  <c r="M270" i="35"/>
  <c r="N18" i="37"/>
  <c r="M305" i="35"/>
  <c r="K60" i="35"/>
  <c r="O5" i="37"/>
  <c r="L119" i="35"/>
  <c r="L314" i="35"/>
  <c r="L310" i="35"/>
  <c r="M12" i="35"/>
  <c r="M243" i="35"/>
  <c r="Q18" i="37"/>
  <c r="M3" i="35"/>
  <c r="M201" i="35"/>
  <c r="N2" i="37"/>
  <c r="M224" i="35"/>
  <c r="M313" i="35"/>
  <c r="L343" i="35"/>
  <c r="L65" i="35"/>
  <c r="L257" i="35"/>
  <c r="M146" i="35"/>
  <c r="N14" i="37"/>
  <c r="J8" i="35"/>
  <c r="L352" i="35"/>
  <c r="L354" i="35"/>
  <c r="M76" i="35"/>
  <c r="M214" i="35"/>
  <c r="L260" i="35"/>
  <c r="J13" i="35"/>
  <c r="L316" i="35"/>
  <c r="M257" i="35"/>
  <c r="Q15" i="37"/>
  <c r="L203" i="35"/>
  <c r="L245" i="35"/>
  <c r="M342" i="35"/>
  <c r="M30" i="35"/>
  <c r="M26" i="35"/>
  <c r="M167" i="35"/>
  <c r="L274" i="35"/>
  <c r="M48" i="35"/>
  <c r="M22" i="35"/>
  <c r="M250" i="35"/>
  <c r="L323" i="35"/>
  <c r="M86" i="35"/>
  <c r="K40" i="35"/>
  <c r="L77" i="35"/>
  <c r="O8" i="37"/>
  <c r="L276" i="35"/>
  <c r="L137" i="35"/>
  <c r="K4" i="35"/>
  <c r="P8" i="37"/>
  <c r="M4" i="37"/>
  <c r="L100" i="35"/>
  <c r="M32" i="35"/>
  <c r="M267" i="35"/>
  <c r="L241" i="35"/>
  <c r="J52" i="35"/>
  <c r="M340" i="35"/>
  <c r="L213" i="35"/>
  <c r="M14" i="37"/>
  <c r="M19" i="37"/>
  <c r="M39" i="35"/>
  <c r="Q14" i="37"/>
  <c r="L235" i="35"/>
  <c r="J35" i="35"/>
  <c r="J14" i="35"/>
  <c r="J34" i="35"/>
  <c r="L17" i="37"/>
  <c r="L303" i="35"/>
  <c r="L121" i="35"/>
  <c r="O13" i="37"/>
  <c r="J30" i="35"/>
  <c r="M137" i="35"/>
  <c r="M73" i="35"/>
  <c r="M15" i="37"/>
  <c r="L112" i="35"/>
  <c r="P14" i="37"/>
  <c r="J61" i="35"/>
  <c r="L271" i="35"/>
  <c r="L10" i="35"/>
  <c r="L153" i="35"/>
  <c r="J58" i="35"/>
  <c r="L19" i="35"/>
  <c r="M57" i="35"/>
  <c r="L155" i="35"/>
  <c r="L104" i="35"/>
  <c r="M38" i="35"/>
  <c r="J47" i="35"/>
  <c r="M245" i="35"/>
  <c r="J21" i="35"/>
  <c r="L4" i="35"/>
  <c r="M136" i="35"/>
  <c r="K14" i="35"/>
  <c r="M206" i="35"/>
  <c r="L297" i="35"/>
  <c r="M338" i="35"/>
  <c r="M324" i="35"/>
  <c r="L290" i="35"/>
  <c r="L18" i="35"/>
  <c r="K38" i="35"/>
  <c r="J15" i="37"/>
  <c r="M354" i="35"/>
  <c r="M70" i="35"/>
  <c r="M82" i="35"/>
  <c r="M112" i="35"/>
  <c r="L177" i="35"/>
  <c r="K6" i="37"/>
  <c r="M121" i="35"/>
  <c r="L201" i="35"/>
  <c r="L134" i="35"/>
  <c r="L22" i="35"/>
  <c r="M294" i="35"/>
  <c r="O10" i="37"/>
  <c r="J51" i="35"/>
  <c r="L188" i="35"/>
  <c r="J37" i="35"/>
  <c r="L147" i="35"/>
  <c r="L6" i="35"/>
  <c r="L58" i="35"/>
  <c r="M14" i="35"/>
  <c r="L362" i="35"/>
  <c r="L338" i="35"/>
  <c r="M318" i="35"/>
  <c r="M160" i="35"/>
  <c r="L254" i="35"/>
  <c r="K62" i="35"/>
  <c r="M347" i="35"/>
  <c r="L49" i="35"/>
  <c r="M177" i="35"/>
  <c r="M181" i="35"/>
  <c r="L313" i="35"/>
  <c r="M75" i="35"/>
  <c r="O16" i="37"/>
  <c r="M216" i="35"/>
  <c r="M20" i="37"/>
  <c r="N16" i="37"/>
  <c r="M230" i="35"/>
  <c r="M79" i="35"/>
  <c r="M326" i="35"/>
  <c r="K3" i="35"/>
  <c r="M97" i="35"/>
  <c r="M156" i="35"/>
  <c r="L355" i="35"/>
  <c r="M312" i="35"/>
  <c r="L251" i="35"/>
  <c r="L7" i="37"/>
  <c r="L150" i="35"/>
  <c r="L27" i="35"/>
  <c r="L165" i="35"/>
  <c r="M11" i="37"/>
  <c r="M351" i="35"/>
  <c r="L136" i="35"/>
  <c r="M207" i="35"/>
  <c r="K52" i="35"/>
  <c r="L168" i="35"/>
  <c r="L152" i="35"/>
  <c r="L237" i="35"/>
  <c r="M234" i="35"/>
  <c r="M5" i="35"/>
  <c r="M189" i="35"/>
  <c r="L140" i="35"/>
  <c r="J10" i="35"/>
  <c r="M35" i="35"/>
  <c r="L339" i="35"/>
  <c r="M169" i="35"/>
  <c r="L193" i="35"/>
  <c r="L210" i="35"/>
  <c r="L6" i="37"/>
  <c r="J50" i="35"/>
  <c r="M183" i="35"/>
  <c r="L227" i="35"/>
  <c r="L35" i="35"/>
  <c r="J45" i="35"/>
  <c r="L59" i="35"/>
  <c r="J9" i="37"/>
  <c r="L209" i="35"/>
  <c r="L8" i="35"/>
  <c r="M143" i="35"/>
  <c r="M264" i="35"/>
  <c r="K2" i="35"/>
  <c r="P10" i="37"/>
  <c r="M325" i="35"/>
  <c r="M120" i="35"/>
  <c r="L130" i="35"/>
  <c r="J13" i="37"/>
  <c r="M331" i="35"/>
  <c r="M8" i="35"/>
  <c r="L145" i="35"/>
  <c r="M98" i="35"/>
  <c r="J28" i="35"/>
  <c r="L17" i="35"/>
  <c r="K59" i="35"/>
  <c r="L184" i="35"/>
  <c r="M350" i="35"/>
  <c r="L37" i="35"/>
  <c r="J46" i="35"/>
  <c r="M6" i="35"/>
  <c r="L18" i="37"/>
  <c r="M60" i="35"/>
  <c r="M273" i="35"/>
  <c r="L10" i="37"/>
  <c r="M93" i="35"/>
  <c r="Q13" i="37"/>
  <c r="L106" i="35"/>
  <c r="M296" i="35"/>
  <c r="L63" i="35"/>
  <c r="O17" i="37"/>
  <c r="M87" i="35"/>
  <c r="L166" i="35"/>
  <c r="J54" i="35"/>
  <c r="L122" i="35"/>
  <c r="L253" i="35"/>
  <c r="L275" i="35"/>
  <c r="M197" i="35"/>
  <c r="L351" i="35"/>
  <c r="N15" i="37"/>
  <c r="L294" i="35"/>
  <c r="J40" i="35"/>
  <c r="L349" i="35"/>
  <c r="L85" i="35"/>
  <c r="L265" i="35"/>
  <c r="L340" i="35"/>
  <c r="M64" i="35"/>
  <c r="L52" i="35"/>
  <c r="M36" i="35"/>
  <c r="K24" i="35"/>
  <c r="M300" i="35"/>
  <c r="M291" i="35"/>
  <c r="L135" i="35"/>
  <c r="K7" i="35"/>
  <c r="M40" i="35"/>
  <c r="M6" i="37"/>
  <c r="K16" i="37"/>
  <c r="M116" i="35"/>
  <c r="L75" i="35"/>
  <c r="K50" i="35"/>
  <c r="M356" i="35"/>
  <c r="L205" i="35"/>
  <c r="M94" i="35"/>
  <c r="P3" i="37"/>
  <c r="L289" i="35"/>
  <c r="M153" i="35"/>
  <c r="M218" i="35"/>
  <c r="L214" i="35"/>
  <c r="M219" i="35"/>
  <c r="N12" i="37"/>
  <c r="M150" i="35"/>
  <c r="M13" i="35"/>
  <c r="M13" i="37"/>
  <c r="K64" i="35"/>
  <c r="M226" i="35"/>
  <c r="L288" i="35"/>
  <c r="M80" i="35"/>
  <c r="M210" i="35"/>
  <c r="L334" i="35"/>
  <c r="L171" i="35"/>
  <c r="L173" i="35"/>
  <c r="M184" i="35"/>
  <c r="L216" i="35"/>
  <c r="L60" i="35"/>
  <c r="L304" i="35"/>
  <c r="L256" i="35"/>
  <c r="M83" i="35"/>
  <c r="L132" i="35"/>
  <c r="M186" i="35"/>
  <c r="M144" i="35"/>
  <c r="L326" i="35"/>
  <c r="L9" i="35"/>
  <c r="L220" i="35"/>
  <c r="L223" i="35"/>
  <c r="M262" i="35"/>
  <c r="L116" i="35"/>
  <c r="K35" i="35"/>
  <c r="L309" i="35"/>
  <c r="M125" i="35"/>
  <c r="L50" i="35"/>
  <c r="M53" i="35"/>
  <c r="M203" i="35"/>
  <c r="L230" i="35"/>
  <c r="J5" i="35"/>
  <c r="M352" i="35"/>
  <c r="L48" i="35"/>
  <c r="L107" i="35"/>
  <c r="J49" i="35"/>
  <c r="M54" i="35"/>
  <c r="M20" i="35"/>
  <c r="J15" i="35"/>
  <c r="M95" i="35"/>
  <c r="M172" i="35"/>
  <c r="P19" i="37"/>
  <c r="J62" i="35"/>
  <c r="J16" i="35"/>
  <c r="L9" i="37"/>
  <c r="M9" i="37"/>
  <c r="M61" i="35"/>
  <c r="M151" i="35"/>
  <c r="J6" i="35"/>
  <c r="L189" i="35"/>
  <c r="L14" i="35"/>
  <c r="L348" i="35"/>
  <c r="M168" i="35"/>
  <c r="M192" i="35"/>
  <c r="L38" i="35"/>
  <c r="M247" i="35"/>
  <c r="L267" i="35"/>
  <c r="L91" i="35"/>
  <c r="J3" i="37"/>
  <c r="M119" i="35"/>
  <c r="Q5" i="37"/>
  <c r="L89" i="35"/>
  <c r="M58" i="35"/>
  <c r="M18" i="37"/>
  <c r="L176" i="35"/>
  <c r="L269" i="35"/>
  <c r="L273" i="35"/>
  <c r="L139" i="35"/>
  <c r="K11" i="37"/>
  <c r="J12" i="37"/>
  <c r="L170" i="35"/>
  <c r="L194" i="35"/>
  <c r="M171" i="35"/>
  <c r="M259" i="35"/>
  <c r="L246" i="35"/>
  <c r="M327" i="35"/>
  <c r="K67" i="35"/>
  <c r="L192" i="35"/>
  <c r="M334" i="35"/>
  <c r="K37" i="35"/>
  <c r="K12" i="37"/>
  <c r="O19" i="37"/>
  <c r="M222" i="35"/>
  <c r="L43" i="35"/>
  <c r="J63" i="35"/>
  <c r="L341" i="35"/>
  <c r="L312" i="35"/>
  <c r="K44" i="35"/>
  <c r="L226" i="35"/>
  <c r="L54" i="35"/>
  <c r="L40" i="35"/>
  <c r="L296" i="35"/>
  <c r="M309" i="35"/>
  <c r="M164" i="35"/>
  <c r="L196" i="35"/>
  <c r="K27" i="35"/>
  <c r="K14" i="37"/>
  <c r="M7" i="35"/>
  <c r="L78" i="35"/>
  <c r="P15" i="37"/>
  <c r="L199" i="35"/>
  <c r="K47" i="35"/>
  <c r="M299" i="35"/>
  <c r="M321" i="35"/>
  <c r="M348" i="35"/>
  <c r="O7" i="37"/>
  <c r="M359" i="35"/>
  <c r="J43" i="35"/>
  <c r="J29" i="35"/>
  <c r="L159" i="35"/>
  <c r="L144" i="35"/>
  <c r="L36" i="35"/>
  <c r="M330" i="35"/>
  <c r="M105" i="35"/>
  <c r="M173" i="35"/>
  <c r="L12" i="37"/>
  <c r="Q2" i="37"/>
  <c r="M263" i="35"/>
  <c r="M111" i="35"/>
  <c r="M2" i="35"/>
  <c r="N20" i="37"/>
  <c r="K43" i="35"/>
  <c r="M109" i="35"/>
  <c r="L45" i="35"/>
  <c r="M227" i="35"/>
  <c r="L337" i="35"/>
  <c r="M174" i="35"/>
  <c r="L225" i="35"/>
  <c r="L346" i="35"/>
  <c r="K58" i="35"/>
  <c r="M100" i="35"/>
  <c r="L299" i="35"/>
  <c r="L158" i="35"/>
  <c r="Q4" i="37"/>
  <c r="P7" i="37"/>
  <c r="M349" i="35"/>
  <c r="O6" i="37"/>
  <c r="P18" i="37"/>
  <c r="K20" i="35"/>
  <c r="M328" i="35"/>
  <c r="L263" i="35"/>
  <c r="K9" i="35"/>
  <c r="M244" i="35"/>
  <c r="P12" i="37"/>
  <c r="K20" i="37"/>
  <c r="N13" i="37"/>
  <c r="L187" i="35"/>
  <c r="M27" i="35"/>
  <c r="M62" i="35"/>
  <c r="K42" i="35"/>
  <c r="L291" i="35"/>
  <c r="L47" i="35"/>
  <c r="P5" i="37"/>
  <c r="L31" i="35"/>
  <c r="L5" i="37"/>
  <c r="K7" i="37"/>
  <c r="M114" i="35"/>
  <c r="M357" i="35"/>
  <c r="M178" i="35"/>
  <c r="L208" i="35"/>
  <c r="Q3" i="37"/>
  <c r="L157" i="35"/>
  <c r="M239" i="35"/>
  <c r="L99" i="35"/>
  <c r="M42" i="35"/>
  <c r="K2" i="37"/>
  <c r="M88" i="35"/>
  <c r="M307" i="35"/>
  <c r="L329" i="35"/>
  <c r="Q16" i="37"/>
  <c r="N10" i="37"/>
  <c r="M11" i="35"/>
  <c r="M298" i="35"/>
  <c r="K22" i="35"/>
  <c r="L197" i="35"/>
  <c r="L25" i="35"/>
  <c r="L81" i="35"/>
  <c r="M157" i="35"/>
  <c r="L281" i="35"/>
  <c r="M63" i="35"/>
  <c r="K17" i="35"/>
  <c r="L117" i="35"/>
  <c r="M278" i="35"/>
  <c r="L20" i="37"/>
  <c r="L128" i="35"/>
  <c r="K3" i="37"/>
  <c r="L3" i="37"/>
  <c r="L14" i="37"/>
  <c r="M161" i="35"/>
  <c r="M238" i="35"/>
  <c r="K10" i="37"/>
  <c r="L240" i="35"/>
  <c r="L126" i="35"/>
  <c r="L12" i="35"/>
  <c r="M159" i="35"/>
  <c r="L345" i="35"/>
  <c r="M113" i="35"/>
  <c r="L55" i="35"/>
  <c r="M292" i="35"/>
  <c r="J18" i="35"/>
  <c r="M101" i="35"/>
  <c r="L120" i="35"/>
  <c r="L353" i="35"/>
  <c r="K8" i="35"/>
  <c r="M355" i="35"/>
  <c r="O20" i="37"/>
  <c r="J9" i="35"/>
  <c r="J12" i="35"/>
  <c r="L64" i="35"/>
  <c r="K53" i="35"/>
  <c r="J36" i="35"/>
  <c r="M29" i="35"/>
  <c r="J18" i="37"/>
  <c r="O9" i="37"/>
  <c r="L160" i="35"/>
  <c r="M133" i="35"/>
  <c r="K46" i="35"/>
  <c r="M154" i="35"/>
  <c r="L56" i="35"/>
  <c r="J17" i="37"/>
  <c r="L109" i="35"/>
  <c r="L224" i="35"/>
  <c r="M124" i="35"/>
  <c r="L53" i="35"/>
  <c r="L74" i="35"/>
  <c r="J25" i="35"/>
  <c r="J67" i="35"/>
  <c r="L180" i="35"/>
  <c r="K11" i="35"/>
  <c r="J2" i="35"/>
  <c r="O4" i="37"/>
  <c r="N5" i="37"/>
  <c r="L283" i="35"/>
  <c r="L243" i="35"/>
  <c r="J39" i="35"/>
  <c r="M166" i="35"/>
  <c r="M148" i="35"/>
  <c r="L129" i="35"/>
  <c r="L101" i="35"/>
  <c r="L34" i="35"/>
  <c r="M209" i="35"/>
  <c r="M223" i="35"/>
  <c r="M72" i="35"/>
  <c r="J44" i="35"/>
  <c r="M215" i="35"/>
  <c r="L315" i="35"/>
  <c r="M339" i="35"/>
  <c r="K15" i="35"/>
  <c r="M225" i="35"/>
  <c r="L358" i="35"/>
  <c r="M96" i="35"/>
  <c r="L328" i="35"/>
  <c r="M193" i="35"/>
  <c r="P13" i="37"/>
  <c r="L76" i="35"/>
  <c r="P4" i="37"/>
  <c r="M268" i="35"/>
  <c r="M346" i="35"/>
  <c r="L218" i="35"/>
  <c r="L41" i="35"/>
  <c r="N9" i="37"/>
  <c r="M56" i="35"/>
  <c r="P6" i="37"/>
  <c r="L133" i="35"/>
  <c r="L317" i="35"/>
  <c r="O2" i="37"/>
  <c r="K49" i="35"/>
  <c r="L73" i="35"/>
  <c r="L21" i="35"/>
  <c r="M253" i="35"/>
  <c r="K61" i="35"/>
  <c r="L252" i="35"/>
  <c r="M256" i="35"/>
  <c r="O15" i="37"/>
  <c r="M16" i="35"/>
  <c r="M343" i="35"/>
  <c r="M16" i="37"/>
  <c r="J56" i="35"/>
  <c r="P9" i="37"/>
  <c r="L258" i="35"/>
  <c r="P11" i="37"/>
  <c r="J33" i="35"/>
  <c r="K10" i="35"/>
  <c r="N17" i="37"/>
  <c r="L272" i="35"/>
  <c r="M134" i="35"/>
  <c r="M132" i="35"/>
  <c r="M170" i="35"/>
  <c r="L80" i="35"/>
  <c r="L282" i="35"/>
  <c r="L302" i="35"/>
  <c r="L301" i="35"/>
  <c r="L306" i="35"/>
  <c r="M108" i="35"/>
  <c r="L319" i="35"/>
  <c r="K5" i="35"/>
  <c r="M182" i="35"/>
  <c r="L51" i="35"/>
  <c r="L88" i="35"/>
  <c r="L318" i="35"/>
  <c r="L141" i="35"/>
  <c r="L249" i="35"/>
  <c r="M285" i="35"/>
  <c r="L46" i="35"/>
  <c r="L228" i="35"/>
  <c r="M301" i="35"/>
  <c r="M130" i="35"/>
  <c r="L114" i="35"/>
  <c r="J6" i="37"/>
  <c r="L175" i="35"/>
  <c r="L71" i="35"/>
  <c r="M198" i="35"/>
  <c r="M34" i="35"/>
  <c r="K29" i="35"/>
  <c r="N8" i="37"/>
  <c r="J57" i="35"/>
  <c r="L68" i="35"/>
  <c r="L167" i="35"/>
  <c r="L311" i="35"/>
  <c r="M310" i="35"/>
  <c r="L347" i="35"/>
  <c r="M274" i="35"/>
  <c r="M288" i="35"/>
  <c r="M66" i="35"/>
  <c r="L15" i="35"/>
  <c r="M280" i="35"/>
  <c r="L308" i="35"/>
  <c r="L4" i="37"/>
  <c r="L255" i="35"/>
  <c r="L325" i="35"/>
  <c r="M228" i="35"/>
  <c r="K16" i="35"/>
  <c r="M289" i="35"/>
  <c r="L2" i="37"/>
  <c r="K18" i="37"/>
  <c r="N3" i="37"/>
  <c r="J4" i="37"/>
  <c r="L124" i="35"/>
  <c r="L26" i="35"/>
  <c r="M337" i="35"/>
  <c r="M345" i="35"/>
  <c r="M33" i="35"/>
  <c r="M336" i="35"/>
  <c r="L30" i="35"/>
  <c r="M269" i="35"/>
  <c r="M279" i="35"/>
  <c r="M126" i="35"/>
  <c r="L108" i="35"/>
  <c r="L161" i="35"/>
  <c r="L178" i="35"/>
  <c r="L342" i="35"/>
  <c r="K63" i="35"/>
  <c r="L236" i="35"/>
  <c r="M266" i="35"/>
  <c r="M333" i="35"/>
  <c r="M319" i="35"/>
  <c r="M276" i="35"/>
  <c r="L172" i="35"/>
  <c r="L5" i="35"/>
  <c r="L204" i="35"/>
  <c r="L2" i="35"/>
  <c r="K25" i="35"/>
  <c r="M91" i="35"/>
  <c r="L8" i="37"/>
  <c r="L127" i="35"/>
  <c r="L292" i="35"/>
  <c r="K19" i="37"/>
  <c r="L11" i="37"/>
  <c r="M149" i="35"/>
  <c r="L131" i="35"/>
  <c r="M332" i="35"/>
  <c r="M106" i="35"/>
  <c r="M314" i="35"/>
  <c r="K34" i="35"/>
  <c r="M138" i="35"/>
  <c r="M316" i="35"/>
  <c r="L321" i="35"/>
  <c r="L44" i="35"/>
  <c r="Q10" i="37"/>
  <c r="L94" i="35"/>
  <c r="M344" i="35"/>
  <c r="J19" i="35"/>
  <c r="J65" i="35"/>
  <c r="L270" i="35"/>
  <c r="L92" i="35"/>
  <c r="J17" i="35"/>
  <c r="M311" i="35"/>
  <c r="L231" i="35"/>
  <c r="L286" i="35"/>
  <c r="M322" i="35"/>
  <c r="M329" i="35"/>
  <c r="L16" i="35"/>
  <c r="O11" i="37"/>
  <c r="L154" i="35"/>
  <c r="M46" i="35"/>
  <c r="L138" i="35"/>
  <c r="J14" i="37"/>
  <c r="L324" i="35"/>
  <c r="M155" i="35"/>
  <c r="L70" i="35"/>
  <c r="M127" i="35"/>
  <c r="M175" i="35"/>
  <c r="M320" i="35"/>
  <c r="J31" i="35"/>
  <c r="L182" i="35"/>
  <c r="J64" i="35"/>
  <c r="L247" i="35"/>
  <c r="L331" i="35"/>
  <c r="L28" i="35"/>
  <c r="M84" i="35"/>
  <c r="L360" i="35"/>
  <c r="L356" i="35"/>
  <c r="M17" i="37"/>
  <c r="L79" i="35"/>
  <c r="M165" i="35"/>
  <c r="L259" i="35"/>
  <c r="O12" i="37"/>
  <c r="M187" i="35"/>
  <c r="L248" i="35"/>
  <c r="L344" i="35"/>
  <c r="N6" i="37"/>
  <c r="L287" i="35"/>
  <c r="M341" i="35"/>
  <c r="L42" i="35"/>
  <c r="L95" i="35"/>
  <c r="L244" i="35"/>
  <c r="L322" i="35"/>
  <c r="L110" i="35"/>
  <c r="M110" i="35"/>
  <c r="P17" i="37"/>
  <c r="L195" i="35"/>
  <c r="J10" i="37"/>
  <c r="L333" i="35"/>
  <c r="J27" i="35"/>
  <c r="P2" i="37"/>
  <c r="M360" i="35"/>
  <c r="M3" i="37"/>
  <c r="L105" i="35"/>
  <c r="L332" i="35"/>
  <c r="M362" i="35"/>
  <c r="M90" i="35"/>
  <c r="M265" i="35"/>
  <c r="L20" i="35"/>
  <c r="L327" i="35"/>
  <c r="M78" i="35"/>
  <c r="N11" i="37"/>
  <c r="Q8" i="37"/>
  <c r="J60" i="35"/>
  <c r="M261" i="35"/>
  <c r="K30" i="35"/>
  <c r="L200" i="35"/>
  <c r="M12" i="37"/>
  <c r="N19" i="37"/>
  <c r="M85" i="35"/>
  <c r="L186" i="35"/>
  <c r="M55" i="35"/>
  <c r="M290" i="35"/>
  <c r="M89" i="35"/>
  <c r="L163" i="35"/>
  <c r="L212" i="35"/>
  <c r="M92" i="35"/>
  <c r="L151" i="35"/>
  <c r="L72" i="35"/>
  <c r="M65" i="35"/>
  <c r="Q7" i="37"/>
  <c r="M205" i="35"/>
  <c r="M323" i="35"/>
  <c r="M180" i="35"/>
  <c r="L169" i="35"/>
  <c r="L98" i="35"/>
  <c r="L67" i="35"/>
  <c r="C47" i="11" l="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<sst xmlns="http://schemas.openxmlformats.org/spreadsheetml/2006/main" count="2851" uniqueCount="2037">
  <si>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</si>
  <si>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</si>
  <si>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</si>
  <si>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</si>
  <si>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</si>
  <si>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</si>
  <si>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</si>
  <si>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</si>
  <si>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</si>
  <si>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</si>
  <si>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</si>
  <si>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</si>
  <si>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</si>
  <si>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</si>
  <si>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</si>
  <si>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</si>
  <si>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</si>
  <si>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</si>
  <si>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</si>
  <si>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</si>
  <si>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</si>
  <si>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</si>
  <si>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</si>
  <si>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</si>
  <si>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</si>
  <si>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</si>
  <si>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</si>
  <si>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</si>
  <si>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</si>
  <si>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</si>
  <si>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</si>
  <si>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</si>
  <si>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</si>
  <si>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</si>
  <si>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</si>
  <si>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</si>
  <si>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</si>
  <si>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</si>
  <si>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</si>
  <si>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</si>
  <si>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</si>
  <si>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</si>
  <si>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</si>
  <si>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</si>
  <si>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</si>
  <si>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</si>
  <si>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</si>
  <si>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</si>
  <si>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</si>
  <si>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</si>
  <si>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</si>
  <si>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</si>
  <si>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</si>
  <si>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</si>
  <si>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</si>
  <si>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</si>
  <si>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</si>
  <si>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</si>
  <si>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</si>
  <si>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</si>
  <si>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</si>
  <si>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</si>
  <si>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</si>
  <si>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</si>
  <si>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</si>
  <si>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</si>
  <si>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</si>
  <si>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</si>
  <si>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</si>
  <si>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</si>
  <si>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</si>
  <si>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</si>
  <si>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</si>
  <si>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</si>
  <si>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</si>
  <si>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</si>
  <si>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</si>
  <si>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</si>
  <si>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</si>
  <si>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</si>
  <si>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</si>
  <si>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</si>
  <si>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</si>
  <si>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</si>
  <si>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</si>
  <si>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</si>
  <si>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</si>
  <si>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</si>
  <si>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</si>
  <si>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</si>
  <si>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</si>
  <si>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</si>
  <si>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</si>
  <si>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</si>
  <si>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</si>
  <si>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</si>
  <si>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</si>
  <si>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</si>
  <si>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</si>
  <si>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</si>
  <si>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</si>
  <si>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</si>
  <si>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</si>
  <si>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</si>
  <si>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</si>
  <si>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</si>
  <si>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</si>
  <si>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</si>
  <si>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</si>
  <si>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</si>
  <si>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</si>
  <si>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</si>
  <si>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</si>
  <si>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</si>
  <si>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</si>
  <si>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</si>
  <si>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</si>
  <si>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</si>
  <si>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</si>
  <si>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</si>
  <si>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</si>
  <si>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</si>
  <si>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</si>
  <si>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</si>
  <si>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</si>
  <si>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</si>
  <si>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</si>
  <si>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</si>
  <si>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</si>
  <si>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</si>
  <si>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</si>
  <si>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</si>
  <si>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</si>
  <si>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</si>
  <si>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</si>
  <si>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</si>
  <si>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</si>
  <si>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</si>
  <si>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</si>
  <si>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</si>
  <si>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</si>
  <si>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</si>
  <si>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</si>
  <si>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</si>
  <si>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</si>
  <si>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</si>
  <si>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</si>
  <si>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</si>
  <si>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</si>
  <si>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</si>
  <si>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</si>
  <si>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</si>
  <si>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</si>
  <si>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</si>
  <si>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</si>
  <si>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</si>
  <si>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</si>
  <si>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</si>
  <si>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</si>
  <si>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</si>
  <si>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</si>
  <si>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</si>
  <si>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</si>
  <si>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</si>
  <si>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</si>
  <si>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</si>
  <si>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</si>
  <si>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</si>
  <si>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</si>
  <si>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</si>
  <si>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</si>
  <si>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</si>
  <si>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</si>
  <si>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</si>
  <si>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</si>
  <si>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</si>
  <si>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</si>
  <si>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</si>
  <si>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</si>
  <si>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</si>
  <si>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</si>
  <si>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</si>
  <si>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</si>
  <si>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</si>
  <si>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</si>
  <si>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</si>
  <si>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</si>
  <si>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</si>
  <si>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</si>
  <si>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</si>
  <si>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</si>
  <si>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</si>
  <si>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</si>
  <si>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</si>
  <si>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</si>
  <si>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</si>
  <si>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</si>
  <si>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</si>
  <si>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</si>
  <si>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</si>
  <si>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</si>
  <si>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</si>
  <si>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</si>
  <si>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</si>
  <si>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</si>
  <si>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</si>
  <si>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</si>
  <si>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</si>
  <si>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</si>
  <si>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</si>
  <si>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</si>
  <si>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</si>
  <si>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</si>
  <si>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</si>
  <si>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</si>
  <si>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</si>
  <si>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</si>
  <si>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</si>
  <si>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</si>
  <si>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</si>
  <si>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</si>
  <si>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</si>
  <si>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</si>
  <si>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</si>
  <si>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</si>
  <si>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</si>
  <si>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</si>
  <si>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</si>
  <si>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</si>
  <si>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</si>
  <si>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</si>
  <si>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</si>
  <si>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</si>
  <si>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</si>
  <si>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</si>
  <si>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</si>
  <si>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</si>
  <si>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</si>
  <si>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</si>
  <si>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</si>
  <si>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</si>
  <si>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</si>
  <si>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</si>
  <si>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</si>
  <si>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</si>
  <si>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</si>
  <si>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</si>
  <si>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</si>
  <si>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</si>
  <si>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</si>
  <si>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</si>
  <si>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</si>
  <si>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</si>
  <si>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</si>
  <si>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</si>
  <si>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</si>
  <si>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</si>
  <si>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</si>
  <si>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</si>
  <si>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</si>
  <si>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</si>
  <si>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</si>
  <si>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</si>
  <si>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</si>
  <si>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</si>
  <si>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</si>
  <si>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</si>
  <si>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</si>
  <si>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</si>
  <si>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</si>
  <si>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</si>
  <si>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</si>
  <si>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</si>
  <si>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</si>
  <si>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</si>
  <si>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</si>
  <si>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</si>
  <si>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</si>
  <si>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</si>
  <si>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</si>
  <si>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</si>
  <si>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</si>
  <si>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</si>
  <si>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</si>
  <si>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</si>
  <si>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</si>
  <si>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</si>
  <si>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</si>
  <si>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</si>
  <si>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</si>
  <si>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</si>
  <si>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</si>
  <si>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</si>
  <si>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</si>
  <si>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</si>
  <si>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</si>
  <si>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</si>
  <si>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</si>
  <si>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</si>
  <si>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</si>
  <si>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</si>
  <si>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</si>
  <si>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</si>
  <si>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</si>
  <si>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</si>
  <si>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</si>
  <si>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</si>
  <si>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</si>
  <si>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</si>
  <si>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</si>
  <si>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</si>
  <si>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</si>
  <si>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</si>
  <si>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</si>
  <si>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</si>
  <si>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</si>
  <si>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</si>
  <si>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</si>
  <si>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</si>
  <si>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</si>
  <si>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</si>
  <si>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</si>
  <si>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</si>
  <si>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</si>
  <si>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</si>
  <si>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</si>
  <si>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</si>
  <si>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</si>
  <si>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</si>
  <si>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</si>
  <si>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</si>
  <si>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</si>
  <si>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</si>
  <si>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</si>
  <si>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</si>
  <si>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</si>
  <si>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</si>
  <si>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</si>
  <si>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</si>
  <si>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</si>
  <si>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</si>
  <si>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</si>
  <si>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</si>
  <si>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</si>
  <si>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</si>
  <si>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</si>
  <si>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</si>
  <si>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</si>
  <si>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</si>
  <si>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</si>
  <si>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</si>
  <si>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</si>
  <si>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</si>
  <si>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</si>
  <si>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</si>
  <si>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</si>
  <si>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</si>
  <si>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</si>
  <si>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</si>
  <si>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</si>
  <si>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</si>
  <si>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</si>
  <si>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</si>
  <si>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</si>
  <si>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</si>
  <si>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</si>
  <si>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</si>
  <si>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</si>
  <si>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</si>
  <si>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</si>
  <si>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</si>
  <si>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</si>
  <si>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</si>
  <si>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</si>
  <si>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</si>
  <si>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</si>
  <si>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</si>
  <si>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</si>
  <si>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</si>
  <si>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</si>
  <si>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</si>
  <si>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</si>
  <si>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</si>
  <si>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</si>
  <si>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</si>
  <si>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</si>
  <si>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</si>
  <si>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</si>
  <si>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</si>
  <si>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</si>
  <si>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</si>
  <si>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</si>
  <si>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</si>
  <si>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</si>
  <si>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</si>
  <si>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</si>
  <si>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</si>
  <si>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</si>
  <si>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</si>
  <si>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</si>
  <si>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</si>
  <si>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</si>
  <si>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</si>
  <si>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</si>
  <si>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</si>
  <si>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</si>
  <si>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</si>
  <si>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</si>
  <si>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</si>
  <si>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</si>
  <si>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</si>
  <si>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</si>
  <si>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</si>
  <si>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</si>
  <si>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</si>
  <si>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</si>
  <si>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</si>
  <si>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</si>
  <si>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</si>
  <si>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</si>
  <si>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</si>
  <si>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</si>
  <si>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</si>
  <si>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</si>
  <si>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</si>
  <si>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</si>
  <si>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</si>
  <si>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</si>
  <si>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</si>
  <si>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</si>
  <si>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</si>
  <si>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</si>
  <si>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</si>
  <si>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</si>
  <si>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</si>
  <si>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</si>
  <si>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</si>
  <si>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</si>
  <si>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</si>
  <si>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</si>
  <si>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</si>
  <si>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</si>
  <si>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</si>
  <si>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</si>
  <si>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</si>
  <si>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</si>
  <si>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</si>
  <si>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</si>
  <si>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</si>
  <si>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</si>
  <si>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</si>
  <si>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</si>
  <si>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</si>
  <si>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</si>
  <si>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</si>
  <si>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</si>
  <si>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</si>
  <si>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</si>
  <si>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</si>
  <si>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</si>
  <si>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</si>
  <si>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</si>
  <si>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</si>
  <si>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</si>
  <si>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</si>
  <si>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</si>
  <si>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</si>
  <si>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</si>
  <si>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</si>
  <si>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</si>
  <si>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</si>
  <si>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</si>
  <si>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</si>
  <si>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</si>
  <si>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</si>
  <si>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</si>
  <si>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</si>
  <si>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</si>
  <si>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</si>
  <si>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</si>
  <si>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</si>
  <si>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</si>
  <si>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</si>
  <si>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</si>
  <si>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</si>
  <si>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</si>
  <si>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</si>
  <si>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</si>
  <si>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</si>
  <si>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</si>
  <si>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</si>
  <si>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</si>
  <si>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</si>
  <si>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</si>
  <si>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</si>
  <si>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</si>
  <si>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</si>
  <si>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</si>
  <si>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</si>
  <si>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</si>
  <si>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</si>
  <si>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</si>
  <si>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</si>
  <si>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</si>
  <si>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</si>
  <si>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</si>
  <si>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</si>
  <si>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</si>
  <si>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</si>
  <si>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</si>
  <si>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</si>
  <si>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</si>
  <si>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</si>
  <si>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</si>
  <si>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</si>
  <si>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</si>
  <si>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</si>
  <si>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</si>
  <si>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</si>
  <si>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</si>
  <si>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</si>
  <si>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</si>
  <si>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</si>
  <si>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</si>
  <si>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</si>
  <si>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</si>
  <si>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</si>
  <si>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</si>
  <si>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</si>
  <si>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</si>
  <si>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</si>
  <si>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</si>
  <si>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</si>
  <si>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</si>
  <si>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</si>
  <si>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</si>
  <si>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</si>
  <si>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</si>
  <si>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</si>
  <si>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</si>
  <si>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</si>
  <si>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</si>
  <si>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</si>
  <si>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</si>
  <si>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</si>
  <si>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</si>
  <si>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</si>
  <si>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</si>
  <si>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</si>
  <si>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</si>
  <si>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</si>
  <si>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</si>
  <si>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</si>
  <si>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</si>
  <si>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</si>
  <si>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</si>
  <si>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</si>
  <si>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</si>
  <si>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</si>
  <si>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</si>
  <si>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</si>
  <si>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</si>
  <si>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</si>
  <si>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</si>
  <si>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</si>
  <si>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</si>
  <si>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</si>
  <si>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</si>
  <si>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</si>
  <si>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</si>
  <si>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</si>
  <si>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</si>
  <si>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</si>
  <si>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</si>
  <si>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</si>
  <si>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</si>
  <si>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</si>
  <si>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</si>
  <si>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</si>
  <si>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</si>
  <si>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</si>
  <si>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</si>
  <si>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</si>
  <si>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</si>
  <si>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</si>
  <si>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</si>
  <si>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</si>
  <si>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</si>
  <si>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</si>
  <si>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</si>
  <si>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</si>
  <si>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</si>
  <si>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</si>
  <si>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</si>
  <si>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</si>
  <si>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</si>
  <si>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</si>
  <si>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</si>
  <si>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</si>
  <si>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</si>
  <si>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</si>
  <si>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</si>
  <si>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</si>
  <si>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</si>
  <si>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</si>
  <si>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</si>
  <si>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</si>
  <si>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</si>
  <si>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</si>
  <si>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</si>
  <si>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</si>
  <si>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</si>
  <si>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</si>
  <si>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</si>
  <si>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</si>
  <si>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</si>
  <si>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</si>
  <si>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</si>
  <si>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</si>
  <si>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</si>
  <si>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</si>
  <si>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</si>
  <si>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</si>
  <si>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</si>
  <si>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</si>
  <si>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</si>
  <si>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</si>
  <si>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</si>
  <si>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</si>
  <si>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</si>
  <si>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</si>
  <si>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</si>
  <si>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</si>
  <si>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</si>
  <si>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</si>
  <si>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</si>
  <si>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</si>
  <si>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</si>
  <si>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</si>
  <si>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</si>
  <si>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</si>
  <si>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</si>
  <si>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</si>
  <si>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</si>
  <si>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</si>
  <si>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</si>
  <si>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</si>
  <si>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</si>
  <si>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</si>
  <si>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</si>
  <si>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</si>
  <si>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</si>
  <si>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</si>
  <si>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</si>
  <si>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</si>
  <si>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</si>
  <si>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</si>
  <si>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</si>
  <si>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</si>
  <si>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</si>
  <si>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</si>
  <si>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</si>
  <si>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</si>
  <si>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</si>
  <si>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</si>
  <si>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</si>
  <si>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</si>
  <si>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</si>
  <si>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</si>
  <si>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</si>
  <si>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</si>
  <si>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</si>
  <si>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</si>
  <si>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</si>
  <si>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</si>
  <si>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</si>
  <si>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</si>
  <si>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</si>
  <si>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</si>
  <si>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</si>
  <si>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</si>
  <si>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</si>
  <si>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</si>
  <si>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</si>
  <si>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</si>
  <si>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</si>
  <si>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</si>
  <si>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</si>
  <si>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</si>
  <si>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</si>
  <si>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</si>
  <si>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</si>
  <si>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</si>
  <si>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</si>
  <si>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</si>
  <si>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</si>
  <si>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</si>
  <si>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</si>
  <si>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</si>
  <si>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</si>
  <si>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</si>
  <si>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</si>
  <si>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</si>
  <si>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</si>
  <si>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</si>
  <si>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</si>
  <si>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</si>
  <si>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</si>
  <si>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</si>
  <si>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</si>
  <si>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</si>
  <si>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</si>
  <si>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</si>
  <si>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</si>
  <si>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</si>
  <si>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</si>
  <si>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</si>
  <si>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</si>
  <si>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</si>
  <si>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</si>
  <si>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</si>
  <si>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</si>
  <si>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</si>
  <si>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</si>
  <si>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</si>
  <si>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</si>
  <si>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</si>
  <si>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</si>
  <si>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</si>
  <si>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</si>
  <si>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</si>
  <si>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</si>
  <si>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</si>
  <si>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</si>
  <si>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</si>
  <si>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</si>
  <si>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</si>
  <si>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</si>
  <si>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</si>
  <si>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</si>
  <si>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</si>
  <si>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</si>
  <si>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</si>
  <si>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</si>
  <si>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</si>
  <si>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</si>
  <si>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</si>
  <si>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</si>
  <si>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</si>
  <si>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</si>
  <si>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</si>
  <si>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</si>
  <si>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</si>
  <si>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</si>
  <si>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</si>
  <si>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</si>
  <si>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</si>
  <si>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</si>
  <si>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</si>
  <si>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</si>
  <si>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</si>
  <si>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</si>
  <si>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</si>
  <si>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</si>
  <si>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</si>
  <si>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</si>
  <si>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</si>
  <si>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</si>
  <si>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</si>
  <si>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</si>
  <si>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</si>
  <si>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</si>
  <si>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</si>
  <si>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</si>
  <si>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</si>
  <si>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</si>
  <si>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</si>
  <si>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</si>
  <si>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</si>
  <si>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</si>
  <si>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</si>
  <si>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</si>
  <si>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</si>
  <si>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</si>
  <si>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</si>
  <si>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</si>
  <si>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</si>
  <si>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</si>
  <si>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</si>
  <si>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</si>
  <si>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</si>
  <si>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</si>
  <si>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</si>
  <si>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</si>
  <si>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</si>
  <si>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</si>
  <si>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</si>
  <si>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</si>
  <si>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</si>
  <si>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</si>
  <si>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</si>
  <si>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</si>
  <si>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</si>
  <si>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</si>
  <si>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</si>
  <si>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</si>
  <si>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</si>
  <si>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</si>
  <si>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</si>
  <si>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</si>
  <si>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</si>
  <si>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</si>
  <si>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</si>
  <si>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</si>
  <si>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</si>
  <si>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</si>
  <si>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</si>
  <si>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</si>
  <si>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</si>
  <si>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</si>
  <si>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</si>
  <si>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</si>
  <si>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</si>
  <si>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</si>
  <si>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</si>
  <si>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</si>
  <si>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</si>
  <si>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</si>
  <si>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</si>
  <si>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</si>
  <si>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</si>
  <si>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</si>
  <si>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</si>
  <si>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</si>
  <si>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</si>
  <si>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</si>
  <si>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</si>
  <si>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</si>
  <si>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</si>
  <si>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</si>
  <si>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</si>
  <si>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</si>
  <si>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</si>
  <si>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</si>
  <si>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</si>
  <si>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</si>
  <si>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</si>
  <si>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</si>
  <si>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</si>
  <si>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</si>
  <si>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</si>
  <si>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</si>
  <si>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</si>
  <si>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</si>
  <si>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</si>
  <si>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</si>
  <si>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</si>
  <si>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</si>
  <si>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</si>
  <si>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</si>
  <si>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</si>
  <si>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</si>
  <si>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</si>
  <si>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</si>
  <si>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</si>
  <si>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</si>
  <si>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</si>
  <si>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</si>
  <si>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</si>
  <si>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</si>
  <si>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</si>
  <si>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</si>
  <si>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</si>
  <si>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</si>
  <si>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</si>
  <si>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</si>
  <si>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</si>
  <si>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</si>
  <si>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</si>
  <si>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</si>
  <si>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</si>
  <si>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</si>
  <si>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</si>
  <si>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</si>
  <si>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</si>
  <si>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</si>
  <si>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</si>
  <si>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</si>
  <si>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</si>
  <si>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</si>
  <si>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</si>
  <si>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</si>
  <si>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</si>
  <si>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</si>
  <si>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</si>
  <si>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</si>
  <si>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</si>
  <si>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</si>
  <si>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</si>
  <si>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</si>
  <si>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</si>
  <si>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</si>
  <si>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</si>
  <si>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</si>
  <si>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</si>
  <si>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</si>
  <si>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</si>
  <si>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</si>
  <si>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</si>
  <si>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</si>
  <si>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</si>
  <si>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</si>
  <si>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</si>
  <si>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</si>
  <si>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</si>
  <si>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</si>
  <si>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</si>
  <si>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</si>
  <si>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</si>
  <si>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</si>
  <si>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</si>
  <si>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</si>
  <si>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</si>
  <si>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</si>
  <si>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</si>
  <si>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</si>
  <si>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</si>
  <si>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</si>
  <si>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</si>
  <si>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</si>
  <si>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</si>
  <si>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</si>
  <si>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</si>
  <si>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</si>
  <si>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</si>
  <si>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</si>
  <si>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</si>
  <si>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</si>
  <si>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</si>
  <si>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</si>
  <si>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</si>
  <si>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</si>
  <si>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</si>
  <si>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</si>
  <si>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</si>
  <si>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</si>
  <si>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</si>
  <si>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</si>
  <si>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</si>
  <si>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</si>
  <si>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</si>
  <si>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</si>
  <si>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</si>
  <si>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</si>
  <si>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</si>
  <si>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</si>
  <si>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</si>
  <si>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</si>
  <si>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</si>
  <si>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</si>
  <si>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</si>
  <si>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</si>
  <si>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</si>
  <si>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</si>
  <si>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</si>
  <si>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</si>
  <si>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</si>
  <si>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</si>
  <si>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</si>
  <si>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</si>
  <si>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</si>
  <si>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</si>
  <si>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</si>
  <si>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</si>
  <si>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</si>
  <si>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</si>
  <si>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</si>
  <si>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</si>
  <si>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</si>
  <si>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</si>
  <si>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</si>
  <si>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</si>
  <si>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</si>
  <si>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</si>
  <si>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</si>
  <si>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</si>
  <si>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</si>
  <si>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</si>
  <si>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</si>
  <si>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</si>
  <si>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</si>
  <si>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</si>
  <si>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</si>
  <si>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</si>
  <si>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</si>
  <si>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</si>
  <si>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</si>
  <si>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</si>
  <si>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</si>
  <si>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</si>
  <si>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</si>
  <si>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</si>
  <si>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</si>
  <si>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</si>
  <si>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</si>
  <si>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</si>
  <si>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</si>
  <si>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</si>
  <si>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</si>
  <si>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</si>
  <si>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</si>
  <si>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</si>
  <si>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</si>
  <si>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</si>
  <si>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</si>
  <si>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</si>
  <si>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</si>
  <si>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</si>
  <si>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</si>
  <si>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</si>
  <si>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</si>
  <si>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</si>
  <si>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</si>
  <si>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</si>
  <si>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</si>
  <si>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</si>
  <si>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</si>
  <si>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</si>
  <si>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</si>
  <si>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</si>
  <si>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</si>
  <si>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</si>
  <si>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</si>
  <si>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</si>
  <si>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</si>
  <si>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</si>
  <si>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</si>
  <si>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</si>
  <si>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</si>
  <si>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</si>
  <si>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</si>
  <si>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</si>
  <si>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</si>
  <si>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</si>
  <si>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</si>
  <si>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</si>
  <si>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</si>
  <si>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</si>
  <si>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</si>
  <si>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</si>
  <si>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</si>
  <si>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</si>
  <si>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</si>
  <si>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</si>
  <si>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</si>
  <si>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</si>
  <si>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</si>
  <si>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</si>
  <si>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</si>
  <si>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</si>
  <si>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</si>
  <si>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</si>
  <si>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</si>
  <si>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</si>
  <si>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</si>
  <si>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</si>
  <si>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</si>
  <si>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</si>
  <si>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</si>
  <si>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</si>
  <si>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</si>
  <si>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</si>
  <si>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</si>
  <si>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</si>
  <si>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</si>
  <si>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</si>
  <si>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</si>
  <si>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</si>
  <si>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</si>
  <si>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</si>
  <si>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</si>
  <si>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</si>
  <si>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</si>
  <si>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</si>
  <si>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</si>
  <si>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</si>
  <si>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</si>
  <si>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</si>
  <si>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</si>
  <si>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</si>
  <si>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</si>
  <si>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</si>
  <si>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</si>
  <si>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</si>
  <si>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</si>
  <si>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</si>
  <si>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</si>
  <si>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</si>
  <si>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</si>
  <si>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</si>
  <si>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</si>
  <si>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</si>
  <si>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</si>
  <si>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</si>
  <si>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</si>
  <si>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</si>
  <si>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</si>
  <si>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</si>
  <si>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</si>
  <si>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</si>
  <si>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</si>
  <si>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</si>
  <si>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</si>
  <si>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</si>
  <si>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</si>
  <si>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</si>
  <si>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</si>
  <si>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</si>
  <si>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</si>
  <si>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</si>
  <si>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</si>
  <si>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</si>
  <si>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</si>
  <si>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</si>
  <si>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</si>
  <si>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</si>
  <si>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</si>
  <si>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</si>
  <si>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</si>
  <si>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</si>
  <si>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</si>
  <si>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</si>
  <si>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</si>
  <si>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</si>
  <si>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</si>
  <si>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</si>
  <si>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</si>
  <si>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</si>
  <si>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</si>
  <si>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</si>
  <si>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</si>
  <si>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</si>
  <si>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</si>
  <si>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</si>
  <si>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</si>
  <si>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</si>
  <si>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</si>
  <si>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</si>
  <si>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</si>
  <si>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</si>
  <si>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</si>
  <si>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</si>
  <si>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</si>
  <si>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</si>
  <si>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</si>
  <si>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</si>
  <si>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</si>
  <si>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</si>
  <si>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</si>
  <si>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</si>
  <si>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</si>
  <si>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</si>
  <si>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</si>
  <si>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</si>
  <si>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</si>
  <si>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</si>
  <si>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</si>
  <si>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</si>
  <si>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</si>
  <si>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</si>
  <si>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</si>
  <si>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</si>
  <si>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</si>
  <si>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</si>
  <si>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</si>
  <si>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</si>
  <si>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</si>
  <si>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</si>
  <si>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</si>
  <si>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</si>
  <si>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</si>
  <si>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</si>
  <si>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</si>
  <si>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</si>
  <si>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</si>
  <si>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</si>
  <si>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</si>
  <si>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</si>
  <si>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</si>
  <si>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</si>
  <si>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</si>
  <si>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</si>
  <si>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</si>
  <si>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</si>
  <si>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</si>
  <si>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</si>
  <si>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</si>
  <si>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</si>
  <si>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</si>
  <si>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</si>
  <si>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</si>
  <si>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</si>
  <si>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</si>
  <si>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</si>
  <si>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</si>
  <si>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</si>
  <si>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</si>
  <si>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</si>
  <si>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</si>
  <si>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</si>
  <si>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</si>
  <si>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</si>
  <si>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</si>
  <si>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</si>
  <si>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</si>
  <si>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</si>
  <si>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</si>
  <si>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</si>
  <si>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</si>
  <si>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</si>
  <si>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</si>
  <si>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</si>
  <si>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</si>
  <si>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</si>
  <si>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</si>
  <si>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</si>
  <si>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</si>
  <si>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</si>
  <si>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</si>
  <si>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</si>
  <si>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</si>
  <si>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</si>
  <si>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</si>
  <si>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</si>
  <si>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</si>
  <si>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</si>
  <si>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</si>
  <si>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</si>
  <si>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</si>
  <si>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</si>
  <si>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</si>
  <si>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</si>
  <si>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</si>
  <si>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</si>
  <si>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</si>
  <si>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</si>
  <si>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</si>
  <si>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</si>
  <si>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</si>
  <si>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</si>
  <si>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</si>
  <si>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</si>
  <si>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</si>
  <si>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</si>
  <si>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</si>
  <si>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</si>
  <si>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</si>
  <si>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</si>
  <si>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</si>
  <si>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</si>
  <si>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</si>
  <si>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</si>
  <si>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</si>
  <si>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</si>
  <si>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</si>
  <si>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</si>
  <si>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</si>
  <si>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</si>
  <si>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</si>
  <si>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</si>
  <si>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</si>
  <si>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</si>
  <si>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</si>
  <si>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</si>
  <si>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</si>
  <si>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</si>
  <si>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</si>
  <si>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</si>
  <si>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</si>
  <si>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</si>
  <si>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</si>
  <si>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</si>
  <si>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</si>
  <si>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</si>
  <si>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</si>
  <si>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</si>
  <si>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</si>
  <si>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</si>
  <si>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</si>
  <si>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</si>
  <si>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</si>
  <si>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</si>
  <si>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</si>
  <si>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</si>
  <si>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</si>
  <si>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</si>
  <si>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</si>
  <si>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</si>
  <si>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</si>
  <si>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</si>
  <si>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</si>
  <si>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</si>
  <si>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</si>
  <si>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</si>
  <si>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</si>
  <si>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</si>
  <si>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</si>
  <si>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</si>
  <si>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</si>
  <si>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</si>
  <si>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</si>
  <si>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</si>
  <si>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</si>
  <si>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</si>
  <si>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</si>
  <si>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</si>
  <si>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</si>
  <si>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</si>
  <si>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</si>
  <si>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</si>
  <si>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</si>
  <si>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</si>
  <si>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</si>
  <si>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</si>
  <si>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</si>
  <si>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</si>
  <si>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</si>
  <si>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</si>
  <si>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</si>
  <si>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</si>
  <si>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</si>
  <si>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</si>
  <si>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</si>
  <si>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</si>
  <si>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</si>
  <si>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</si>
  <si>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</si>
  <si>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</si>
  <si>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</si>
  <si>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</si>
  <si>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</si>
  <si>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</si>
  <si>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</si>
  <si>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</si>
  <si>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</si>
  <si>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</si>
  <si>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</si>
  <si>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</si>
  <si>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</si>
  <si>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</si>
  <si>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</si>
  <si>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</si>
  <si>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</si>
  <si>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</si>
  <si>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</si>
  <si>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</si>
  <si>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</si>
  <si>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</si>
  <si>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</si>
  <si>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</si>
  <si>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</si>
  <si>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</si>
  <si>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</si>
  <si>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</si>
  <si>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</si>
  <si>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</si>
  <si>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</si>
  <si>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</si>
  <si>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</si>
  <si>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</si>
  <si>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</si>
  <si>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</si>
  <si>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</si>
  <si>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</si>
  <si>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</si>
  <si>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</si>
  <si>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</si>
  <si>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</si>
  <si>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</si>
  <si>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</si>
  <si>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</si>
  <si>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</si>
  <si>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</si>
  <si>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</si>
  <si>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</si>
  <si>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</si>
  <si>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</si>
  <si>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</si>
  <si>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</si>
  <si>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</si>
  <si>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</si>
  <si>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</si>
  <si>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</si>
  <si>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</si>
  <si>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</si>
  <si>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</si>
  <si>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</si>
  <si>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</si>
  <si>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</si>
  <si>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</si>
  <si>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</si>
  <si>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</si>
  <si>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</si>
  <si>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</si>
  <si>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</si>
  <si>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</si>
  <si>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</si>
  <si>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</si>
  <si>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</si>
  <si>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</si>
  <si>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</si>
  <si>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</si>
  <si>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</si>
  <si>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</si>
  <si>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</si>
  <si>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</si>
  <si>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</si>
  <si>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</si>
  <si>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</si>
  <si>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</si>
  <si>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</si>
  <si>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</si>
  <si>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</si>
  <si>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</si>
  <si>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</si>
  <si>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</si>
  <si>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</si>
  <si>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</si>
  <si>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</si>
  <si>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</si>
  <si>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</si>
  <si>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</si>
  <si>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</si>
  <si>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</si>
  <si>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</si>
  <si>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</si>
  <si>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</si>
  <si>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</si>
  <si>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</si>
  <si>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</si>
  <si>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</si>
  <si>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</si>
  <si>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</si>
  <si>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</si>
  <si>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</si>
  <si>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</si>
  <si>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</si>
  <si>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</si>
  <si>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</si>
  <si>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</si>
  <si>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</si>
  <si>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</si>
  <si>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</si>
  <si>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</si>
  <si>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</si>
  <si>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</si>
  <si>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</si>
  <si>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</si>
  <si>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</si>
  <si>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</si>
  <si>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</si>
  <si>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</si>
  <si>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</si>
  <si>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</si>
  <si>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</si>
  <si>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</si>
  <si>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</si>
  <si>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</si>
  <si>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</si>
  <si>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</si>
  <si>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</si>
  <si>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</si>
  <si>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</si>
  <si>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</si>
  <si>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</si>
  <si>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</si>
  <si>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</si>
  <si>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</si>
  <si>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</si>
  <si>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</si>
  <si>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</si>
  <si>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</si>
  <si>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</si>
  <si>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</si>
  <si>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</si>
  <si>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</si>
  <si>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</si>
  <si>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</si>
  <si>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</si>
  <si>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</si>
  <si>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</si>
  <si>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</si>
  <si>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</si>
  <si>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</si>
  <si>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</si>
  <si>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</si>
  <si>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</si>
  <si>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</si>
  <si>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</si>
  <si>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</si>
  <si>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</si>
  <si>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</si>
  <si>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</si>
  <si>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</si>
  <si>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</si>
  <si>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</si>
  <si>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</si>
  <si>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</si>
  <si>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</si>
  <si>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</si>
  <si>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</si>
  <si>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</si>
  <si>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</si>
  <si>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</si>
  <si>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</si>
  <si>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</si>
  <si>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</si>
  <si>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</si>
  <si>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</si>
  <si>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</si>
  <si>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</si>
  <si>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</si>
  <si>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</si>
  <si>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</si>
  <si>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</si>
  <si>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</si>
  <si>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</si>
  <si>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</si>
  <si>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</si>
  <si>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</si>
  <si>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</si>
  <si>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</si>
  <si>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</si>
  <si>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</si>
  <si>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</si>
  <si>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</si>
  <si>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</si>
  <si>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</si>
  <si>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</si>
  <si>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</si>
  <si>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</si>
  <si>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</si>
  <si>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</si>
  <si>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</si>
  <si>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</si>
  <si>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</si>
  <si>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</si>
  <si>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</si>
  <si>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</si>
  <si>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</si>
  <si>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</si>
  <si>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</si>
  <si>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</si>
  <si>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</si>
  <si>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</si>
  <si>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</si>
  <si>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</si>
  <si>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</si>
  <si>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</si>
  <si>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</si>
  <si>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</si>
  <si>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</si>
  <si>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</si>
  <si>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</si>
  <si>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</si>
  <si>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</si>
  <si>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</si>
  <si>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</si>
  <si>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</si>
  <si>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</si>
  <si>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</si>
  <si>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</si>
  <si>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</si>
  <si>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</si>
  <si>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</si>
  <si>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</si>
  <si>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</si>
  <si>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</si>
  <si>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</si>
  <si>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</si>
  <si>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</si>
  <si>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</si>
  <si>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</si>
  <si>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</si>
  <si>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</si>
  <si>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</si>
  <si>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</si>
  <si>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</si>
  <si>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</si>
  <si>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</si>
  <si>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</si>
  <si>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</si>
  <si>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</si>
  <si>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</si>
  <si>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</si>
  <si>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</si>
  <si>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</si>
  <si>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</si>
  <si>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</si>
  <si>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</si>
  <si>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</si>
  <si>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</si>
  <si>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</si>
  <si>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</si>
  <si>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</si>
  <si>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</si>
  <si>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</si>
  <si>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</si>
  <si>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</si>
  <si>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</si>
  <si>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</si>
  <si>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</si>
  <si>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</si>
  <si>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</si>
  <si>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</si>
  <si>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</si>
  <si>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</si>
  <si>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</si>
  <si>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</si>
  <si>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</si>
  <si>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</si>
  <si>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</si>
  <si>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</si>
  <si>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</si>
  <si>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</si>
  <si>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</si>
  <si>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</si>
  <si>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</si>
  <si>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</si>
  <si>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</si>
  <si>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</si>
  <si>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</si>
  <si>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</si>
  <si>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</si>
  <si>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</si>
  <si>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</si>
  <si>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</si>
  <si>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</si>
  <si>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</si>
  <si>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</si>
  <si>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</si>
  <si>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</si>
  <si>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</si>
  <si>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</si>
  <si>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</si>
  <si>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</si>
  <si>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</si>
  <si>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</si>
  <si>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</si>
  <si>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</si>
  <si>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</si>
  <si>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</si>
  <si>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</si>
  <si>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</si>
  <si>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</si>
  <si>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</si>
  <si>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</si>
  <si>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</si>
  <si>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</si>
  <si>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</si>
  <si>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</si>
  <si>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</si>
  <si>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</si>
  <si>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</si>
  <si>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</si>
  <si>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</si>
  <si>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</si>
  <si>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</si>
  <si>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</si>
  <si>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</si>
  <si>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</si>
  <si>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</si>
  <si>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</si>
  <si>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</si>
  <si>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</si>
  <si>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</si>
  <si>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</si>
  <si>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</si>
  <si>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</si>
  <si>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</si>
  <si>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</si>
  <si>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</si>
  <si>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</si>
  <si>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</si>
  <si>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</si>
  <si>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</si>
  <si>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</si>
  <si>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</si>
  <si>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</si>
  <si>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</si>
  <si>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</si>
  <si>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</si>
  <si>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</si>
  <si>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</si>
  <si>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</si>
  <si>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</si>
  <si>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</si>
  <si>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</si>
  <si>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</si>
  <si>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</si>
  <si>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</si>
  <si>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</si>
  <si>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</si>
  <si>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</si>
  <si>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</si>
  <si>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</si>
  <si>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</si>
  <si>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</si>
  <si>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</si>
  <si>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</si>
  <si>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</si>
  <si>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</si>
  <si>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</si>
  <si>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</si>
  <si>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</si>
  <si>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</si>
  <si>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</si>
  <si>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</si>
  <si>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</si>
  <si>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</si>
  <si>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</si>
  <si>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</si>
  <si>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</si>
  <si>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</si>
  <si>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</si>
  <si>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</si>
  <si>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</si>
  <si>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</si>
  <si>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</si>
  <si>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</si>
  <si>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</si>
  <si>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</si>
  <si>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</si>
  <si>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</si>
  <si>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</si>
  <si>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</si>
  <si>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</si>
  <si>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</si>
  <si>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</si>
  <si>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</si>
  <si>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</si>
  <si>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</si>
  <si>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</si>
  <si>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</si>
  <si>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</si>
  <si>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</si>
  <si>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</si>
  <si>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</si>
  <si>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</si>
  <si>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</si>
  <si>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</si>
  <si>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</si>
  <si>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</si>
  <si>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</si>
  <si>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</si>
  <si>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</si>
  <si>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</si>
  <si>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</si>
  <si>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</si>
  <si>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</si>
  <si>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</si>
  <si>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</si>
  <si>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</si>
  <si>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</si>
  <si>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</si>
  <si>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</si>
  <si>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</si>
  <si>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</si>
  <si>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</si>
  <si>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</si>
  <si>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</si>
  <si>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</si>
  <si>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</si>
  <si>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</si>
  <si>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</si>
  <si>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</si>
  <si>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</si>
  <si>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</si>
  <si>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</si>
  <si>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</si>
  <si>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</si>
  <si>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</si>
  <si>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</si>
  <si>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</si>
  <si>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</si>
  <si>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</si>
  <si>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</si>
  <si>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</si>
  <si>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</si>
  <si>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</si>
  <si>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</si>
  <si>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</si>
  <si>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</si>
  <si>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</si>
  <si>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</si>
  <si>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</si>
  <si>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</si>
  <si>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</si>
  <si>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</si>
  <si>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</si>
  <si>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</si>
  <si>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</si>
  <si>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</si>
  <si>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</si>
  <si>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</si>
  <si>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</si>
  <si>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</si>
  <si>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</si>
  <si>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</si>
  <si>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</si>
  <si>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</si>
  <si>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</si>
  <si>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</si>
  <si>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</si>
  <si>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</si>
  <si>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</si>
  <si>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</si>
  <si>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</si>
  <si>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</si>
  <si>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</si>
  <si>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</si>
  <si>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</si>
  <si>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</si>
  <si>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</si>
  <si>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</si>
  <si>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</si>
  <si>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</si>
  <si>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</si>
  <si>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</si>
  <si>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</si>
  <si>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</si>
  <si>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</si>
  <si>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</si>
  <si>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</si>
  <si>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</si>
  <si>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</si>
  <si>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</si>
  <si>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</si>
  <si>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</si>
  <si>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</si>
  <si>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</si>
  <si>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</si>
  <si>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</si>
  <si>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</si>
  <si>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</si>
  <si>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</si>
  <si>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</si>
  <si>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</si>
  <si>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</si>
  <si>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</si>
  <si>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</si>
  <si>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</si>
  <si>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</si>
  <si>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</si>
  <si>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</si>
  <si>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</si>
  <si>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</si>
  <si>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</si>
  <si>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</si>
  <si>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</si>
  <si>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</si>
  <si>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</si>
  <si>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</si>
  <si>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</si>
  <si>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</si>
  <si>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</si>
  <si>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</si>
  <si>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</si>
  <si>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</si>
  <si>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</si>
  <si>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</si>
  <si>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</si>
  <si>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</si>
  <si>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</si>
  <si>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</si>
  <si>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</si>
  <si>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</si>
  <si>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</si>
  <si>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</si>
  <si>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</si>
  <si>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</si>
  <si>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</si>
  <si>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</si>
  <si>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</si>
  <si>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</si>
  <si>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</si>
  <si>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</si>
  <si>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</si>
  <si>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</si>
  <si>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</si>
  <si>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</si>
  <si>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</si>
  <si>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</si>
  <si>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</si>
  <si>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</si>
  <si>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</si>
  <si>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</si>
  <si>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</si>
  <si>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</si>
  <si>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</si>
  <si>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</si>
  <si>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</si>
  <si>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</si>
  <si>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</si>
  <si>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</si>
  <si>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</si>
  <si>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</si>
  <si>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</si>
  <si>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</si>
  <si>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</si>
  <si>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</si>
  <si>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</si>
  <si>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</si>
  <si>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</si>
  <si>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</si>
  <si>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</si>
  <si>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</si>
  <si>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</si>
  <si>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</si>
  <si>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</si>
  <si>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</si>
  <si>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</si>
  <si>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</si>
  <si>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</si>
  <si>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</si>
  <si>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</si>
  <si>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</si>
  <si>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</si>
  <si>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</si>
  <si>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</si>
  <si>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</si>
  <si>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</si>
  <si>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</si>
  <si>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</si>
  <si>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</si>
  <si>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</si>
  <si>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</si>
  <si>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</si>
  <si>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</si>
  <si>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</si>
  <si>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</si>
  <si>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</si>
  <si>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</si>
  <si>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</si>
  <si>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</si>
  <si>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</si>
  <si>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</si>
  <si>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</si>
  <si>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</si>
  <si>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</si>
  <si>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</si>
  <si>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</si>
  <si>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</si>
  <si>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</si>
  <si>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</si>
  <si>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</si>
  <si>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</si>
  <si>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</si>
  <si>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</si>
  <si>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</si>
  <si>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</si>
  <si>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</si>
  <si>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</si>
  <si>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</si>
  <si>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</si>
  <si>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</si>
  <si>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</si>
  <si>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</si>
  <si>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</si>
  <si>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</si>
  <si>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</si>
  <si>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</si>
  <si>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</si>
  <si>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</si>
  <si>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</si>
  <si>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</si>
  <si>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</si>
  <si>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</si>
  <si>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</si>
  <si>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</si>
  <si>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</si>
  <si>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</si>
  <si>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</si>
  <si>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</si>
  <si>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</si>
  <si>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</si>
  <si>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</si>
  <si>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</si>
  <si>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</si>
  <si>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</si>
  <si>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</si>
  <si>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</si>
  <si>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</si>
  <si>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</si>
  <si>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</si>
  <si>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</si>
  <si>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</si>
  <si>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</si>
  <si>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</si>
  <si>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</si>
  <si>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</si>
  <si>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</si>
  <si>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</si>
  <si>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</si>
  <si>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</si>
  <si>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</si>
  <si>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</si>
  <si>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</si>
  <si>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</si>
  <si>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</si>
  <si>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</si>
  <si>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</si>
  <si>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</si>
  <si>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</si>
  <si>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</si>
  <si>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</si>
  <si>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</si>
  <si>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</si>
  <si>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</si>
  <si>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</si>
  <si>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</si>
  <si>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</si>
  <si>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</si>
  <si>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</si>
  <si>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</si>
  <si>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</si>
  <si>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</si>
  <si>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</si>
  <si>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</si>
  <si>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</si>
  <si>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"ČAJAVEC SERVIS I PROMET" AD BANJA LUKA</t>
  </si>
  <si>
    <t>Veselina Masleše 1/IX, Banja Luka</t>
  </si>
  <si>
    <t>Banjoj Luci</t>
  </si>
  <si>
    <t>Dragana Barac, SR-1652/17</t>
  </si>
  <si>
    <t>Dragana Garača</t>
  </si>
  <si>
    <t>SR-1652/17</t>
  </si>
  <si>
    <t>Jovana Dučića 23a, Banja Luka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</si>
</sst>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6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</cellStyleXfs>
  <cellXfs count="53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170" fontId="5" fillId="4" borderId="15" xfId="0" applyNumberFormat="1" applyFont="1" applyFill="1" applyBorder="1" applyAlignment="1" applyProtection="1">
      <alignment horizontal="right" vertical="center"/>
      <protection hidden="1"/>
    </xf>
    <xf numFmtId="170" fontId="5" fillId="4" borderId="38" xfId="0" applyNumberFormat="1" applyFont="1" applyFill="1" applyBorder="1" applyAlignment="1" applyProtection="1">
      <alignment horizontal="right" vertical="center"/>
      <protection hidden="1"/>
    </xf>
    <xf numFmtId="170" fontId="5" fillId="0" borderId="74" xfId="0" applyNumberFormat="1" applyFont="1" applyFill="1" applyBorder="1" applyAlignment="1" applyProtection="1">
      <alignment horizontal="right" vertical="center"/>
      <protection hidden="1"/>
    </xf>
    <xf numFmtId="170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5" fillId="9" borderId="2" xfId="6" applyProtection="1">
      <alignment horizontal="center" vertical="center"/>
      <protection locked="0"/>
    </xf>
    <xf numFmtId="0" fontId="15" fillId="9" borderId="28" xfId="6" applyBorder="1" applyProtection="1">
      <alignment horizontal="center" vertical="center"/>
      <protection locked="0"/>
    </xf>
    <xf numFmtId="0" fontId="15" fillId="9" borderId="5" xfId="6" applyBorder="1" applyProtection="1">
      <alignment horizontal="center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/>
      <protection locked="0"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 applyProtection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15" fillId="9" borderId="4" xfId="8">
      <alignment horizontal="left" vertical="center"/>
      <protection locked="0"/>
    </xf>
    <xf numFmtId="0" fontId="15" fillId="9" borderId="4" xfId="8" applyProtection="1">
      <alignment horizontal="left" vertical="center"/>
      <protection locked="0"/>
    </xf>
    <xf numFmtId="0" fontId="1" fillId="9" borderId="4" xfId="8" applyFont="1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49" fontId="6" fillId="0" borderId="4" xfId="9" applyFont="1">
      <alignment horizontal="left" inden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83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3190" y="47625"/>
          <a:ext cx="7346840" cy="597447"/>
          <a:chOff x="7343769" y="3810006"/>
          <a:chExt cx="7258049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69" y="3810006"/>
                <a:ext cx="7258049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71849" cy="586038"/>
          <a:chOff x="7343770" y="3809976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976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975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975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975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78952" y="47625"/>
          <a:ext cx="7365385" cy="596388"/>
          <a:chOff x="7343768" y="3809980"/>
          <a:chExt cx="7258050" cy="590548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68" y="3809980"/>
                <a:ext cx="7258050" cy="59054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C50" sqref="C5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9" t="s">
        <v>247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79"/>
      <c r="S5" s="379"/>
      <c r="T5" s="379"/>
      <c r="U5" s="379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>
        <f>IF( AND( ID_Izvjestaj = 4, VLOOKUP( 63, Lookup_BS, 5, 0) = 0),--( VLOOKUP( 299, Lookup_BUa, 3, 0) = VLOOKUP( 121, Lookup_BS,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>
        <f>IF( AND( ID_Izvjestaj = 4, VLOOKUP( 63, Lookup_BS, 5, 0) = 0),--( VLOOKUP( 300, Lookup_BUa, 3, 0) = VLOOKUP( 125, Lookup_BS,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82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01.01.2015. god.</v>
      </c>
      <c r="G393" s="162" t="str">
        <f>CONCATENATE("Stanje na dan ", Podesavanja!$W$6, " god.")</f>
        <v>Stanje na dan 01.01.2015. god.</v>
      </c>
      <c r="H393" s="162" t="str">
        <f>CONCATENATE("Стaњe нa дaн ",  Podesavanja!$W$6, " гoд.")</f>
        <v>Стaњe нa дaн 01.01.2015. гoд.</v>
      </c>
      <c r="I393" s="162" t="str">
        <f>CONCATENATE("Value on day ", Podesavanja!$X$6)</f>
        <v>Value on day 01.01.2015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01.01.2015. god. (901 ± 902 ± 903)</v>
      </c>
      <c r="G396" s="162" t="str">
        <f>CONCATENATE("Ponovo iskazano stanje na dan ", Podesavanja!$W$6, " god. (901 ± 902 ± 903)")</f>
        <v>Ponovo iskazano stanje na dan 01.01.2015. god. (901 ± 902 ± 903)</v>
      </c>
      <c r="H396" s="162" t="str">
        <f>CONCATENATE("Пoнoвo искaзaнo стaњe нa дaн ",  Podesavanja!$W$6, " гoд. (901 ± 902 ± 903)")</f>
        <v>Пoнoвo искaзaнo стaњe нa дaн 01.01.2015. гoд. (901 ± 902 ± 903)</v>
      </c>
      <c r="I396" s="162" t="str">
        <f>CONCATENATE("New value on day ",  Podesavanja!$X$6, " (901 ± 902 ± 903)")</f>
        <v>New value on day 01.01.2015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31.12.2015. god. / 01.01.2016.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31.12.2015. god. / 01.01.2016.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31.12.2015. гoд. / 01.01.2016.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31.12.2015 / 01.01.2016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01.01.2016. god. (912 ± 913 ± 914)</v>
      </c>
      <c r="G407" s="162" t="str">
        <f>CONCATENATE("Ponovo iskazano stanje na dan ", Podesavanja!$W$4, " god. (912 ± 913 ± 914)")</f>
        <v>Ponovo iskazano stanje na dan 01.01.2016. god. (912 ± 913 ± 914)</v>
      </c>
      <c r="H407" s="162" t="str">
        <f>CONCATENATE("Пoнoвo искaзaнo стaњe нa дaн ", Podesavanja!$W$4, " гoд. (912 ± 913 ± 914)")</f>
        <v>Пoнoвo искaзaнo стaњe нa дaн 01.01.2016. гoд. (912 ± 913 ± 914)</v>
      </c>
      <c r="I407" s="162" t="str">
        <f>CONCATENATE("New value on day ",  Podesavanja!$X$4," (912 ± 913 ± 914)")</f>
        <v>New value on day 01.01.2016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31.12.2016. god. (915 ± 916 ± 917 ± 918 ± 919 ± 920 - 921 + 922)</v>
      </c>
      <c r="G415" s="162" t="str">
        <f>CONCATENATE("Stanje na dan ",Datum_Format," god. (915 ± 916 ± 917 ± 918 ± 919 ± 920 - 921 + 922)")</f>
        <v>Stanje na dan 31.12.2016. god. (915 ± 916 ± 917 ± 918 ± 919 ± 920 - 921 + 922)</v>
      </c>
      <c r="H415" s="162" t="str">
        <f>CONCATENATE("Стaњe нa дaн ",Datum_Format," гoд. (915 ± 916 ± 917 ± 918 ± 919 ± 920 - 921 + 922)")</f>
        <v>Стaњe нa дaн 31.12.2016. гoд. (915 ± 916 ± 917 ± 918 ± 919 ± 920 - 921 + 922)</v>
      </c>
      <c r="I415" s="162" t="str">
        <f>CONCATENATE("Value on day ",  Podesavanja!$X$3," (915 ± 916 ± 917 ± 918 ± 919 ± 920 - 921 + 922)")</f>
        <v>Value on day 31.12.2016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42735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2016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31.12.2016.</v>
      </c>
      <c r="X1" s="6" t="str">
        <f>TEXT( DATE( Godina, Period_Kraj_Mjesec, Period_Kraj_Dan), "dd.mm.yyyy")</f>
        <v>31.12.2016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42460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42735</v>
      </c>
      <c r="W3" t="str">
        <f>TEXT(V3, "dd.mm.yyyy.")</f>
        <v>31.12.2016.</v>
      </c>
      <c r="X3" t="str">
        <f>TEXT(V3, "dd.mm.yyyy")</f>
        <v>31.12.2016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42551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42370</v>
      </c>
      <c r="W4" t="str">
        <f>TEXT(V4, "dd.mm.yyyy.")</f>
        <v>01.01.2016.</v>
      </c>
      <c r="X4" t="str">
        <f>TEXT(V4, "dd.mm.yyyy")</f>
        <v>01.01.2016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42643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42369</v>
      </c>
      <c r="W5" t="str">
        <f>TEXT(V5, "dd.mm.yyyy.")</f>
        <v>31.12.2015.</v>
      </c>
      <c r="X5" t="str">
        <f>TEXT(V5, "dd.mm.yyyy")</f>
        <v>31.12.2015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42735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42005</v>
      </c>
      <c r="W6" t="str">
        <f>TEXT(V6, "dd.mm.yyyy.")</f>
        <v>01.01.2015.</v>
      </c>
      <c r="X6" t="str">
        <f>TEXT(V6, "dd.mm.yyyy")</f>
        <v>01.01.2015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11189511</v>
      </c>
      <c r="E2" s="146" t="str">
        <f>Podatak_JIB</f>
        <v>4400893570007</v>
      </c>
      <c r="F2" s="146" t="b">
        <f t="shared" ref="F2:F65" si="2">Konsolidovan_izvjestaj</f>
        <v>0</v>
      </c>
      <c r="G2" s="190">
        <f t="shared" ref="G2:G65" si="3">Datum_Broj</f>
        <v>42735</v>
      </c>
      <c r="H2" s="146">
        <f>VLOOKUP( $A2, Aop!$A$2:$N$415, 4, 0)</f>
        <v>1</v>
      </c>
      <c r="I2" s="146">
        <f t="shared" ref="I2:I65" si="4">Godina</f>
        <v>2016</v>
      </c>
      <c r="J2" s="79">
        <f t="shared" ref="J2:J65" ca="1" si="5">IF(VLOOKUP($H2,INDIRECT("Lookup_"&amp;$B2),IF($B2="BS",P$2,P$1),0)="","",VLOOKUP($H2,INDIRECT("Lookup_"&amp;$B2),IF($B2="BS",P$2,P$1),0))</f>
        <v>4592025</v>
      </c>
      <c r="K2" s="79">
        <f t="shared" ref="K2:K65" ca="1" si="6">IF(VLOOKUP($H2,INDIRECT("Lookup_"&amp;$B2),IF($B2="BS",Q$2,Q$1),0)="","",VLOOKUP($H2,INDIRECT("Lookup_"&amp;$B2),IF($B2="BS",Q$2,Q$1),0))</f>
        <v>1774490</v>
      </c>
      <c r="L2" s="79">
        <f t="shared" ref="L2:L65" ca="1" si="7">IF(VLOOKUP($H2,INDIRECT("Lookup_"&amp;$B2),IF($B2="BS",R$2,R$1),0)="","",VLOOKUP($H2,INDIRECT("Lookup_"&amp;$B2),IF($B2="BS",R$2,R$1),0))</f>
        <v>2817535</v>
      </c>
      <c r="M2" s="79">
        <f t="shared" ref="M2:M65" ca="1" si="8">IF(VLOOKUP($H2,INDIRECT("Lookup_"&amp;$B2),IF($B2="BS",S$2,S$1),0)="","",VLOOKUP($H2,INDIRECT("Lookup_"&amp;$B2),IF($B2="BS",S$2,S$1),0))</f>
        <v>2803496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11189511</v>
      </c>
      <c r="E3" s="146" t="str">
        <f t="shared" ref="E3:E65" si="9">Podatak_JIB</f>
        <v>4400893570007</v>
      </c>
      <c r="F3" s="146" t="b">
        <f t="shared" si="2"/>
        <v>0</v>
      </c>
      <c r="G3" s="190">
        <f t="shared" si="3"/>
        <v>42735</v>
      </c>
      <c r="H3" s="146">
        <f>VLOOKUP( $A3, Aop!$A$2:$N$415, 4, 0)</f>
        <v>2</v>
      </c>
      <c r="I3" s="146">
        <f t="shared" si="4"/>
        <v>2016</v>
      </c>
      <c r="J3" s="79">
        <f t="shared" ca="1" si="5"/>
        <v>1367377</v>
      </c>
      <c r="K3" s="79">
        <f t="shared" ca="1" si="6"/>
        <v>0</v>
      </c>
      <c r="L3" s="79">
        <f t="shared" ca="1" si="7"/>
        <v>1367377</v>
      </c>
      <c r="M3" s="79">
        <f t="shared" ca="1" si="8"/>
        <v>1367377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11189511</v>
      </c>
      <c r="E4" s="146" t="str">
        <f t="shared" si="9"/>
        <v>4400893570007</v>
      </c>
      <c r="F4" s="146" t="b">
        <f t="shared" si="2"/>
        <v>0</v>
      </c>
      <c r="G4" s="190">
        <f t="shared" si="3"/>
        <v>42735</v>
      </c>
      <c r="H4" s="146">
        <f>VLOOKUP( $A4, Aop!$A$2:$N$415, 4, 0)</f>
        <v>3</v>
      </c>
      <c r="I4" s="146">
        <f t="shared" si="4"/>
        <v>2016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11189511</v>
      </c>
      <c r="E5" s="146" t="str">
        <f t="shared" si="9"/>
        <v>4400893570007</v>
      </c>
      <c r="F5" s="146" t="b">
        <f t="shared" si="2"/>
        <v>0</v>
      </c>
      <c r="G5" s="190">
        <f t="shared" si="3"/>
        <v>42735</v>
      </c>
      <c r="H5" s="146">
        <f>VLOOKUP( $A5, Aop!$A$2:$N$415, 4, 0)</f>
        <v>4</v>
      </c>
      <c r="I5" s="146">
        <f t="shared" si="4"/>
        <v>2016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11189511</v>
      </c>
      <c r="E6" s="146" t="str">
        <f t="shared" si="9"/>
        <v>4400893570007</v>
      </c>
      <c r="F6" s="146" t="b">
        <f t="shared" si="2"/>
        <v>0</v>
      </c>
      <c r="G6" s="190">
        <f t="shared" si="3"/>
        <v>42735</v>
      </c>
      <c r="H6" s="146">
        <f>VLOOKUP( $A6, Aop!$A$2:$N$415, 4, 0)</f>
        <v>5</v>
      </c>
      <c r="I6" s="146">
        <f t="shared" si="4"/>
        <v>2016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11189511</v>
      </c>
      <c r="E7" s="146" t="str">
        <f t="shared" si="9"/>
        <v>4400893570007</v>
      </c>
      <c r="F7" s="146" t="b">
        <f t="shared" si="2"/>
        <v>0</v>
      </c>
      <c r="G7" s="190">
        <f t="shared" si="3"/>
        <v>42735</v>
      </c>
      <c r="H7" s="146">
        <f>VLOOKUP( $A7, Aop!$A$2:$N$415, 4, 0)</f>
        <v>6</v>
      </c>
      <c r="I7" s="146">
        <f t="shared" si="4"/>
        <v>2016</v>
      </c>
      <c r="J7" s="79">
        <f t="shared" ca="1" si="5"/>
        <v>1367377</v>
      </c>
      <c r="K7" s="79" t="str">
        <f t="shared" ca="1" si="6"/>
        <v/>
      </c>
      <c r="L7" s="79">
        <f t="shared" ca="1" si="7"/>
        <v>1367377</v>
      </c>
      <c r="M7" s="79">
        <f t="shared" ca="1" si="8"/>
        <v>1367377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11189511</v>
      </c>
      <c r="E8" s="146" t="str">
        <f t="shared" si="9"/>
        <v>4400893570007</v>
      </c>
      <c r="F8" s="146" t="b">
        <f t="shared" si="2"/>
        <v>0</v>
      </c>
      <c r="G8" s="190">
        <f t="shared" si="3"/>
        <v>42735</v>
      </c>
      <c r="H8" s="146">
        <f>VLOOKUP( $A8, Aop!$A$2:$N$415, 4, 0)</f>
        <v>7</v>
      </c>
      <c r="I8" s="146">
        <f t="shared" si="4"/>
        <v>2016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11189511</v>
      </c>
      <c r="E9" s="146" t="str">
        <f t="shared" si="9"/>
        <v>4400893570007</v>
      </c>
      <c r="F9" s="146" t="b">
        <f t="shared" si="2"/>
        <v>0</v>
      </c>
      <c r="G9" s="190">
        <f t="shared" si="3"/>
        <v>42735</v>
      </c>
      <c r="H9" s="146">
        <f>VLOOKUP( $A9, Aop!$A$2:$N$415, 4, 0)</f>
        <v>8</v>
      </c>
      <c r="I9" s="146">
        <f t="shared" si="4"/>
        <v>2016</v>
      </c>
      <c r="J9" s="79">
        <f t="shared" ca="1" si="5"/>
        <v>3107096</v>
      </c>
      <c r="K9" s="79">
        <f t="shared" ca="1" si="6"/>
        <v>1774490</v>
      </c>
      <c r="L9" s="79">
        <f t="shared" ca="1" si="7"/>
        <v>1332606</v>
      </c>
      <c r="M9" s="79">
        <f t="shared" ca="1" si="8"/>
        <v>1318567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11189511</v>
      </c>
      <c r="E10" s="146" t="str">
        <f t="shared" si="9"/>
        <v>4400893570007</v>
      </c>
      <c r="F10" s="146" t="b">
        <f t="shared" si="2"/>
        <v>0</v>
      </c>
      <c r="G10" s="190">
        <f t="shared" si="3"/>
        <v>42735</v>
      </c>
      <c r="H10" s="146">
        <f>VLOOKUP( $A10, Aop!$A$2:$N$415, 4, 0)</f>
        <v>9</v>
      </c>
      <c r="I10" s="146">
        <f t="shared" si="4"/>
        <v>2016</v>
      </c>
      <c r="J10" s="79" t="str">
        <f t="shared" ca="1" si="5"/>
        <v/>
      </c>
      <c r="K10" s="79" t="str">
        <f t="shared" ca="1" si="6"/>
        <v/>
      </c>
      <c r="L10" s="79">
        <f t="shared" ca="1" si="7"/>
        <v>0</v>
      </c>
      <c r="M10" s="79" t="str">
        <f t="shared" ca="1" si="8"/>
        <v/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11189511</v>
      </c>
      <c r="E11" s="146" t="str">
        <f t="shared" si="9"/>
        <v>4400893570007</v>
      </c>
      <c r="F11" s="146" t="b">
        <f t="shared" si="2"/>
        <v>0</v>
      </c>
      <c r="G11" s="190">
        <f t="shared" si="3"/>
        <v>42735</v>
      </c>
      <c r="H11" s="146">
        <f>VLOOKUP( $A11, Aop!$A$2:$N$415, 4, 0)</f>
        <v>10</v>
      </c>
      <c r="I11" s="146">
        <f t="shared" si="4"/>
        <v>2016</v>
      </c>
      <c r="J11" s="79">
        <f t="shared" ca="1" si="5"/>
        <v>3030386</v>
      </c>
      <c r="K11" s="79">
        <f t="shared" ca="1" si="6"/>
        <v>1731658</v>
      </c>
      <c r="L11" s="79">
        <f t="shared" ca="1" si="7"/>
        <v>1298728</v>
      </c>
      <c r="M11" s="79">
        <f t="shared" ca="1" si="8"/>
        <v>1262330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11189511</v>
      </c>
      <c r="E12" s="146" t="str">
        <f t="shared" si="9"/>
        <v>4400893570007</v>
      </c>
      <c r="F12" s="146" t="b">
        <f t="shared" si="2"/>
        <v>0</v>
      </c>
      <c r="G12" s="190">
        <f t="shared" si="3"/>
        <v>42735</v>
      </c>
      <c r="H12" s="146">
        <f>VLOOKUP( $A12, Aop!$A$2:$N$415, 4, 0)</f>
        <v>11</v>
      </c>
      <c r="I12" s="146">
        <f t="shared" si="4"/>
        <v>2016</v>
      </c>
      <c r="J12" s="79">
        <f t="shared" ca="1" si="5"/>
        <v>76154</v>
      </c>
      <c r="K12" s="79">
        <f t="shared" ca="1" si="6"/>
        <v>42832</v>
      </c>
      <c r="L12" s="79">
        <f t="shared" ca="1" si="7"/>
        <v>33322</v>
      </c>
      <c r="M12" s="79">
        <f t="shared" ca="1" si="8"/>
        <v>43417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11189511</v>
      </c>
      <c r="E13" s="146" t="str">
        <f t="shared" si="9"/>
        <v>4400893570007</v>
      </c>
      <c r="F13" s="146" t="b">
        <f t="shared" si="2"/>
        <v>0</v>
      </c>
      <c r="G13" s="190">
        <f t="shared" si="3"/>
        <v>42735</v>
      </c>
      <c r="H13" s="146">
        <f>VLOOKUP( $A13, Aop!$A$2:$N$415, 4, 0)</f>
        <v>12</v>
      </c>
      <c r="I13" s="146">
        <f t="shared" si="4"/>
        <v>2016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11189511</v>
      </c>
      <c r="E14" s="146" t="str">
        <f t="shared" si="9"/>
        <v>4400893570007</v>
      </c>
      <c r="F14" s="146" t="b">
        <f t="shared" si="2"/>
        <v>0</v>
      </c>
      <c r="G14" s="190">
        <f t="shared" si="3"/>
        <v>42735</v>
      </c>
      <c r="H14" s="146">
        <f>VLOOKUP( $A14, Aop!$A$2:$N$415, 4, 0)</f>
        <v>13</v>
      </c>
      <c r="I14" s="146">
        <f t="shared" si="4"/>
        <v>2016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11189511</v>
      </c>
      <c r="E15" s="146" t="str">
        <f t="shared" si="9"/>
        <v>4400893570007</v>
      </c>
      <c r="F15" s="146" t="b">
        <f t="shared" si="2"/>
        <v>0</v>
      </c>
      <c r="G15" s="190">
        <f t="shared" si="3"/>
        <v>42735</v>
      </c>
      <c r="H15" s="146">
        <f>VLOOKUP( $A15, Aop!$A$2:$N$415, 4, 0)</f>
        <v>14</v>
      </c>
      <c r="I15" s="146">
        <f t="shared" si="4"/>
        <v>2016</v>
      </c>
      <c r="J15" s="79">
        <f t="shared" ca="1" si="5"/>
        <v>556</v>
      </c>
      <c r="K15" s="79" t="str">
        <f t="shared" ca="1" si="6"/>
        <v/>
      </c>
      <c r="L15" s="79">
        <f t="shared" ca="1" si="7"/>
        <v>556</v>
      </c>
      <c r="M15" s="79">
        <f t="shared" ca="1" si="8"/>
        <v>12820</v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11189511</v>
      </c>
      <c r="E16" s="146" t="str">
        <f t="shared" si="9"/>
        <v>4400893570007</v>
      </c>
      <c r="F16" s="146" t="b">
        <f t="shared" si="2"/>
        <v>0</v>
      </c>
      <c r="G16" s="190">
        <f t="shared" si="3"/>
        <v>42735</v>
      </c>
      <c r="H16" s="146">
        <f>VLOOKUP( $A16, Aop!$A$2:$N$415, 4, 0)</f>
        <v>15</v>
      </c>
      <c r="I16" s="146">
        <f t="shared" si="4"/>
        <v>2016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11189511</v>
      </c>
      <c r="E17" s="146" t="str">
        <f t="shared" si="9"/>
        <v>4400893570007</v>
      </c>
      <c r="F17" s="146" t="b">
        <f t="shared" si="2"/>
        <v>0</v>
      </c>
      <c r="G17" s="190">
        <f t="shared" si="3"/>
        <v>42735</v>
      </c>
      <c r="H17" s="146">
        <f>VLOOKUP( $A17, Aop!$A$2:$N$415, 4, 0)</f>
        <v>16</v>
      </c>
      <c r="I17" s="146">
        <f t="shared" si="4"/>
        <v>2016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11189511</v>
      </c>
      <c r="E18" s="146" t="str">
        <f t="shared" si="9"/>
        <v>4400893570007</v>
      </c>
      <c r="F18" s="146" t="b">
        <f t="shared" si="2"/>
        <v>0</v>
      </c>
      <c r="G18" s="190">
        <f t="shared" si="3"/>
        <v>42735</v>
      </c>
      <c r="H18" s="146">
        <f>VLOOKUP( $A18, Aop!$A$2:$N$415, 4, 0)</f>
        <v>17</v>
      </c>
      <c r="I18" s="146">
        <f t="shared" si="4"/>
        <v>2016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11189511</v>
      </c>
      <c r="E19" s="146" t="str">
        <f t="shared" si="9"/>
        <v>4400893570007</v>
      </c>
      <c r="F19" s="146" t="b">
        <f t="shared" si="2"/>
        <v>0</v>
      </c>
      <c r="G19" s="190">
        <f t="shared" si="3"/>
        <v>42735</v>
      </c>
      <c r="H19" s="146">
        <f>VLOOKUP( $A19, Aop!$A$2:$N$415, 4, 0)</f>
        <v>18</v>
      </c>
      <c r="I19" s="146">
        <f t="shared" si="4"/>
        <v>2016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11189511</v>
      </c>
      <c r="E20" s="146" t="str">
        <f t="shared" si="9"/>
        <v>4400893570007</v>
      </c>
      <c r="F20" s="146" t="b">
        <f t="shared" si="2"/>
        <v>0</v>
      </c>
      <c r="G20" s="190">
        <f t="shared" si="3"/>
        <v>42735</v>
      </c>
      <c r="H20" s="146">
        <f>VLOOKUP( $A20, Aop!$A$2:$N$415, 4, 0)</f>
        <v>19</v>
      </c>
      <c r="I20" s="146">
        <f t="shared" si="4"/>
        <v>2016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11189511</v>
      </c>
      <c r="E21" s="146" t="str">
        <f t="shared" si="9"/>
        <v>4400893570007</v>
      </c>
      <c r="F21" s="146" t="b">
        <f t="shared" si="2"/>
        <v>0</v>
      </c>
      <c r="G21" s="190">
        <f t="shared" si="3"/>
        <v>42735</v>
      </c>
      <c r="H21" s="146">
        <f>VLOOKUP( $A21, Aop!$A$2:$N$415, 4, 0)</f>
        <v>20</v>
      </c>
      <c r="I21" s="146">
        <f t="shared" si="4"/>
        <v>2016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11189511</v>
      </c>
      <c r="E22" s="146" t="str">
        <f t="shared" si="9"/>
        <v>4400893570007</v>
      </c>
      <c r="F22" s="146" t="b">
        <f t="shared" si="2"/>
        <v>0</v>
      </c>
      <c r="G22" s="190">
        <f t="shared" si="3"/>
        <v>42735</v>
      </c>
      <c r="H22" s="146">
        <f>VLOOKUP( $A22, Aop!$A$2:$N$415, 4, 0)</f>
        <v>21</v>
      </c>
      <c r="I22" s="146">
        <f t="shared" si="4"/>
        <v>2016</v>
      </c>
      <c r="J22" s="79">
        <f t="shared" ca="1" si="5"/>
        <v>117552</v>
      </c>
      <c r="K22" s="79">
        <f t="shared" ca="1" si="6"/>
        <v>0</v>
      </c>
      <c r="L22" s="79">
        <f t="shared" ca="1" si="7"/>
        <v>117552</v>
      </c>
      <c r="M22" s="79">
        <f t="shared" ca="1" si="8"/>
        <v>117552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11189511</v>
      </c>
      <c r="E23" s="146" t="str">
        <f t="shared" si="9"/>
        <v>4400893570007</v>
      </c>
      <c r="F23" s="146" t="b">
        <f t="shared" si="2"/>
        <v>0</v>
      </c>
      <c r="G23" s="190">
        <f t="shared" si="3"/>
        <v>42735</v>
      </c>
      <c r="H23" s="146">
        <f>VLOOKUP( $A23, Aop!$A$2:$N$415, 4, 0)</f>
        <v>22</v>
      </c>
      <c r="I23" s="146">
        <f t="shared" si="4"/>
        <v>2016</v>
      </c>
      <c r="J23" s="79">
        <f t="shared" ca="1" si="5"/>
        <v>117552</v>
      </c>
      <c r="K23" s="79" t="str">
        <f t="shared" ca="1" si="6"/>
        <v/>
      </c>
      <c r="L23" s="79">
        <f t="shared" ca="1" si="7"/>
        <v>117552</v>
      </c>
      <c r="M23" s="79">
        <f t="shared" ca="1" si="8"/>
        <v>117552</v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11189511</v>
      </c>
      <c r="E24" s="146" t="str">
        <f t="shared" si="9"/>
        <v>4400893570007</v>
      </c>
      <c r="F24" s="146" t="b">
        <f t="shared" si="2"/>
        <v>0</v>
      </c>
      <c r="G24" s="190">
        <f t="shared" si="3"/>
        <v>42735</v>
      </c>
      <c r="H24" s="146">
        <f>VLOOKUP( $A24, Aop!$A$2:$N$415, 4, 0)</f>
        <v>23</v>
      </c>
      <c r="I24" s="146">
        <f t="shared" si="4"/>
        <v>2016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11189511</v>
      </c>
      <c r="E25" s="146" t="str">
        <f t="shared" si="9"/>
        <v>4400893570007</v>
      </c>
      <c r="F25" s="146" t="b">
        <f t="shared" si="2"/>
        <v>0</v>
      </c>
      <c r="G25" s="190">
        <f t="shared" si="3"/>
        <v>42735</v>
      </c>
      <c r="H25" s="146">
        <f>VLOOKUP( $A25, Aop!$A$2:$N$415, 4, 0)</f>
        <v>24</v>
      </c>
      <c r="I25" s="146">
        <f t="shared" si="4"/>
        <v>2016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11189511</v>
      </c>
      <c r="E26" s="146" t="str">
        <f t="shared" si="9"/>
        <v>4400893570007</v>
      </c>
      <c r="F26" s="146" t="b">
        <f t="shared" si="2"/>
        <v>0</v>
      </c>
      <c r="G26" s="190">
        <f t="shared" si="3"/>
        <v>42735</v>
      </c>
      <c r="H26" s="146">
        <f>VLOOKUP( $A26, Aop!$A$2:$N$415, 4, 0)</f>
        <v>25</v>
      </c>
      <c r="I26" s="146">
        <f t="shared" si="4"/>
        <v>2016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11189511</v>
      </c>
      <c r="E27" s="146" t="str">
        <f t="shared" si="9"/>
        <v>4400893570007</v>
      </c>
      <c r="F27" s="146" t="b">
        <f t="shared" si="2"/>
        <v>0</v>
      </c>
      <c r="G27" s="190">
        <f t="shared" si="3"/>
        <v>42735</v>
      </c>
      <c r="H27" s="146">
        <f>VLOOKUP( $A27, Aop!$A$2:$N$415, 4, 0)</f>
        <v>26</v>
      </c>
      <c r="I27" s="146">
        <f t="shared" si="4"/>
        <v>2016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11189511</v>
      </c>
      <c r="E28" s="146" t="str">
        <f t="shared" si="9"/>
        <v>4400893570007</v>
      </c>
      <c r="F28" s="146" t="b">
        <f t="shared" si="2"/>
        <v>0</v>
      </c>
      <c r="G28" s="190">
        <f t="shared" si="3"/>
        <v>42735</v>
      </c>
      <c r="H28" s="146">
        <f>VLOOKUP( $A28, Aop!$A$2:$N$415, 4, 0)</f>
        <v>27</v>
      </c>
      <c r="I28" s="146">
        <f t="shared" si="4"/>
        <v>2016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11189511</v>
      </c>
      <c r="E29" s="146" t="str">
        <f t="shared" si="9"/>
        <v>4400893570007</v>
      </c>
      <c r="F29" s="146" t="b">
        <f t="shared" si="2"/>
        <v>0</v>
      </c>
      <c r="G29" s="190">
        <f t="shared" si="3"/>
        <v>42735</v>
      </c>
      <c r="H29" s="146">
        <f>VLOOKUP( $A29, Aop!$A$2:$N$415, 4, 0)</f>
        <v>28</v>
      </c>
      <c r="I29" s="146">
        <f t="shared" si="4"/>
        <v>2016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11189511</v>
      </c>
      <c r="E30" s="146" t="str">
        <f t="shared" si="9"/>
        <v>4400893570007</v>
      </c>
      <c r="F30" s="146" t="b">
        <f t="shared" si="2"/>
        <v>0</v>
      </c>
      <c r="G30" s="190">
        <f t="shared" si="3"/>
        <v>42735</v>
      </c>
      <c r="H30" s="146">
        <f>VLOOKUP( $A30, Aop!$A$2:$N$415, 4, 0)</f>
        <v>29</v>
      </c>
      <c r="I30" s="146">
        <f t="shared" si="4"/>
        <v>2016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11189511</v>
      </c>
      <c r="E31" s="146" t="str">
        <f t="shared" si="9"/>
        <v>4400893570007</v>
      </c>
      <c r="F31" s="146" t="b">
        <f t="shared" si="2"/>
        <v>0</v>
      </c>
      <c r="G31" s="190">
        <f t="shared" si="3"/>
        <v>42735</v>
      </c>
      <c r="H31" s="146">
        <f>VLOOKUP( $A31, Aop!$A$2:$N$415, 4, 0)</f>
        <v>30</v>
      </c>
      <c r="I31" s="146">
        <f t="shared" si="4"/>
        <v>2016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11189511</v>
      </c>
      <c r="E32" s="146" t="str">
        <f t="shared" si="9"/>
        <v>4400893570007</v>
      </c>
      <c r="F32" s="146" t="b">
        <f t="shared" si="2"/>
        <v>0</v>
      </c>
      <c r="G32" s="190">
        <f t="shared" si="3"/>
        <v>42735</v>
      </c>
      <c r="H32" s="146">
        <f>VLOOKUP( $A32, Aop!$A$2:$N$415, 4, 0)</f>
        <v>31</v>
      </c>
      <c r="I32" s="146">
        <f t="shared" si="4"/>
        <v>2016</v>
      </c>
      <c r="J32" s="79">
        <f t="shared" ca="1" si="5"/>
        <v>428121</v>
      </c>
      <c r="K32" s="79">
        <f t="shared" ca="1" si="6"/>
        <v>308278</v>
      </c>
      <c r="L32" s="79">
        <f t="shared" ca="1" si="7"/>
        <v>119843</v>
      </c>
      <c r="M32" s="79">
        <f t="shared" ca="1" si="8"/>
        <v>131552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11189511</v>
      </c>
      <c r="E33" s="146" t="str">
        <f t="shared" si="9"/>
        <v>4400893570007</v>
      </c>
      <c r="F33" s="146" t="b">
        <f t="shared" si="2"/>
        <v>0</v>
      </c>
      <c r="G33" s="190">
        <f t="shared" si="3"/>
        <v>42735</v>
      </c>
      <c r="H33" s="146">
        <f>VLOOKUP( $A33, Aop!$A$2:$N$415, 4, 0)</f>
        <v>32</v>
      </c>
      <c r="I33" s="146">
        <f t="shared" si="4"/>
        <v>2016</v>
      </c>
      <c r="J33" s="79">
        <f t="shared" ca="1" si="5"/>
        <v>0</v>
      </c>
      <c r="K33" s="79">
        <f t="shared" ca="1" si="6"/>
        <v>0</v>
      </c>
      <c r="L33" s="79">
        <f t="shared" ca="1" si="7"/>
        <v>0</v>
      </c>
      <c r="M33" s="79">
        <f t="shared" ca="1" si="8"/>
        <v>2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11189511</v>
      </c>
      <c r="E34" s="146" t="str">
        <f t="shared" si="9"/>
        <v>4400893570007</v>
      </c>
      <c r="F34" s="146" t="b">
        <f t="shared" si="2"/>
        <v>0</v>
      </c>
      <c r="G34" s="190">
        <f t="shared" si="3"/>
        <v>42735</v>
      </c>
      <c r="H34" s="146">
        <f>VLOOKUP( $A34, Aop!$A$2:$N$415, 4, 0)</f>
        <v>33</v>
      </c>
      <c r="I34" s="146">
        <f t="shared" si="4"/>
        <v>2016</v>
      </c>
      <c r="J34" s="79" t="str">
        <f t="shared" ca="1" si="5"/>
        <v/>
      </c>
      <c r="K34" s="79" t="str">
        <f t="shared" ca="1" si="6"/>
        <v/>
      </c>
      <c r="L34" s="79">
        <f t="shared" ca="1" si="7"/>
        <v>0</v>
      </c>
      <c r="M34" s="79" t="str">
        <f t="shared" ca="1" si="8"/>
        <v/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11189511</v>
      </c>
      <c r="E35" s="146" t="str">
        <f t="shared" si="9"/>
        <v>4400893570007</v>
      </c>
      <c r="F35" s="146" t="b">
        <f t="shared" si="2"/>
        <v>0</v>
      </c>
      <c r="G35" s="190">
        <f t="shared" si="3"/>
        <v>42735</v>
      </c>
      <c r="H35" s="146">
        <f>VLOOKUP( $A35, Aop!$A$2:$N$415, 4, 0)</f>
        <v>34</v>
      </c>
      <c r="I35" s="146">
        <f t="shared" si="4"/>
        <v>2016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11189511</v>
      </c>
      <c r="E36" s="146" t="str">
        <f t="shared" si="9"/>
        <v>4400893570007</v>
      </c>
      <c r="F36" s="146" t="b">
        <f t="shared" si="2"/>
        <v>0</v>
      </c>
      <c r="G36" s="190">
        <f t="shared" si="3"/>
        <v>42735</v>
      </c>
      <c r="H36" s="146">
        <f>VLOOKUP( $A36, Aop!$A$2:$N$415, 4, 0)</f>
        <v>35</v>
      </c>
      <c r="I36" s="146">
        <f t="shared" si="4"/>
        <v>2016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11189511</v>
      </c>
      <c r="E37" s="146" t="str">
        <f t="shared" si="9"/>
        <v>4400893570007</v>
      </c>
      <c r="F37" s="146" t="b">
        <f t="shared" si="2"/>
        <v>0</v>
      </c>
      <c r="G37" s="190">
        <f t="shared" si="3"/>
        <v>42735</v>
      </c>
      <c r="H37" s="146">
        <f>VLOOKUP( $A37, Aop!$A$2:$N$415, 4, 0)</f>
        <v>36</v>
      </c>
      <c r="I37" s="146">
        <f t="shared" si="4"/>
        <v>2016</v>
      </c>
      <c r="J37" s="79" t="str">
        <f t="shared" ca="1" si="5"/>
        <v/>
      </c>
      <c r="K37" s="79" t="str">
        <f t="shared" ca="1" si="6"/>
        <v/>
      </c>
      <c r="L37" s="79">
        <f t="shared" ca="1" si="7"/>
        <v>0</v>
      </c>
      <c r="M37" s="79" t="str">
        <f t="shared" ca="1" si="8"/>
        <v/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11189511</v>
      </c>
      <c r="E38" s="146" t="str">
        <f t="shared" si="9"/>
        <v>4400893570007</v>
      </c>
      <c r="F38" s="146" t="b">
        <f t="shared" si="2"/>
        <v>0</v>
      </c>
      <c r="G38" s="190">
        <f t="shared" si="3"/>
        <v>42735</v>
      </c>
      <c r="H38" s="146">
        <f>VLOOKUP( $A38, Aop!$A$2:$N$415, 4, 0)</f>
        <v>37</v>
      </c>
      <c r="I38" s="146">
        <f t="shared" si="4"/>
        <v>2016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11189511</v>
      </c>
      <c r="E39" s="146" t="str">
        <f t="shared" si="9"/>
        <v>4400893570007</v>
      </c>
      <c r="F39" s="146" t="b">
        <f t="shared" si="2"/>
        <v>0</v>
      </c>
      <c r="G39" s="190">
        <f t="shared" si="3"/>
        <v>42735</v>
      </c>
      <c r="H39" s="146">
        <f>VLOOKUP( $A39, Aop!$A$2:$N$415, 4, 0)</f>
        <v>38</v>
      </c>
      <c r="I39" s="146">
        <f t="shared" si="4"/>
        <v>2016</v>
      </c>
      <c r="J39" s="79" t="str">
        <f t="shared" ca="1" si="5"/>
        <v/>
      </c>
      <c r="K39" s="79" t="str">
        <f t="shared" ca="1" si="6"/>
        <v/>
      </c>
      <c r="L39" s="79">
        <f t="shared" ca="1" si="7"/>
        <v>0</v>
      </c>
      <c r="M39" s="79">
        <f t="shared" ca="1" si="8"/>
        <v>2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11189511</v>
      </c>
      <c r="E40" s="146" t="str">
        <f t="shared" si="9"/>
        <v>4400893570007</v>
      </c>
      <c r="F40" s="146" t="b">
        <f t="shared" si="2"/>
        <v>0</v>
      </c>
      <c r="G40" s="190">
        <f t="shared" si="3"/>
        <v>42735</v>
      </c>
      <c r="H40" s="146">
        <f>VLOOKUP( $A40, Aop!$A$2:$N$415, 4, 0)</f>
        <v>39</v>
      </c>
      <c r="I40" s="146">
        <f t="shared" si="4"/>
        <v>2016</v>
      </c>
      <c r="J40" s="79">
        <f t="shared" ca="1" si="5"/>
        <v>428121</v>
      </c>
      <c r="K40" s="79">
        <f t="shared" ca="1" si="6"/>
        <v>308278</v>
      </c>
      <c r="L40" s="79">
        <f t="shared" ca="1" si="7"/>
        <v>119843</v>
      </c>
      <c r="M40" s="79">
        <f t="shared" ca="1" si="8"/>
        <v>131550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11189511</v>
      </c>
      <c r="E41" s="146" t="str">
        <f t="shared" si="9"/>
        <v>4400893570007</v>
      </c>
      <c r="F41" s="146" t="b">
        <f t="shared" si="2"/>
        <v>0</v>
      </c>
      <c r="G41" s="190">
        <f t="shared" si="3"/>
        <v>42735</v>
      </c>
      <c r="H41" s="146">
        <f>VLOOKUP( $A41, Aop!$A$2:$N$415, 4, 0)</f>
        <v>40</v>
      </c>
      <c r="I41" s="146">
        <f t="shared" si="4"/>
        <v>2016</v>
      </c>
      <c r="J41" s="79">
        <f t="shared" ca="1" si="5"/>
        <v>328142</v>
      </c>
      <c r="K41" s="79">
        <f t="shared" ca="1" si="6"/>
        <v>308278</v>
      </c>
      <c r="L41" s="79">
        <f t="shared" ca="1" si="7"/>
        <v>19864</v>
      </c>
      <c r="M41" s="79">
        <f t="shared" ca="1" si="8"/>
        <v>16792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11189511</v>
      </c>
      <c r="E42" s="146" t="str">
        <f t="shared" si="9"/>
        <v>4400893570007</v>
      </c>
      <c r="F42" s="146" t="b">
        <f t="shared" si="2"/>
        <v>0</v>
      </c>
      <c r="G42" s="190">
        <f t="shared" si="3"/>
        <v>42735</v>
      </c>
      <c r="H42" s="146">
        <f>VLOOKUP( $A42, Aop!$A$2:$N$415, 4, 0)</f>
        <v>41</v>
      </c>
      <c r="I42" s="146">
        <f t="shared" si="4"/>
        <v>2016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11189511</v>
      </c>
      <c r="E43" s="146" t="str">
        <f t="shared" si="9"/>
        <v>4400893570007</v>
      </c>
      <c r="F43" s="146" t="b">
        <f t="shared" si="2"/>
        <v>0</v>
      </c>
      <c r="G43" s="190">
        <f t="shared" si="3"/>
        <v>42735</v>
      </c>
      <c r="H43" s="146">
        <f>VLOOKUP( $A43, Aop!$A$2:$N$415, 4, 0)</f>
        <v>42</v>
      </c>
      <c r="I43" s="146">
        <f t="shared" si="4"/>
        <v>2016</v>
      </c>
      <c r="J43" s="79">
        <f t="shared" ca="1" si="5"/>
        <v>120509</v>
      </c>
      <c r="K43" s="79">
        <f t="shared" ca="1" si="6"/>
        <v>105173</v>
      </c>
      <c r="L43" s="79">
        <f t="shared" ca="1" si="7"/>
        <v>15336</v>
      </c>
      <c r="M43" s="79">
        <f t="shared" ca="1" si="8"/>
        <v>12009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11189511</v>
      </c>
      <c r="E44" s="146" t="str">
        <f t="shared" si="9"/>
        <v>4400893570007</v>
      </c>
      <c r="F44" s="146" t="b">
        <f t="shared" si="2"/>
        <v>0</v>
      </c>
      <c r="G44" s="190">
        <f t="shared" si="3"/>
        <v>42735</v>
      </c>
      <c r="H44" s="146">
        <f>VLOOKUP( $A44, Aop!$A$2:$N$415, 4, 0)</f>
        <v>43</v>
      </c>
      <c r="I44" s="146">
        <f t="shared" si="4"/>
        <v>2016</v>
      </c>
      <c r="J44" s="79">
        <f t="shared" ca="1" si="5"/>
        <v>31608</v>
      </c>
      <c r="K44" s="79">
        <f t="shared" ca="1" si="6"/>
        <v>27080</v>
      </c>
      <c r="L44" s="79">
        <f t="shared" ca="1" si="7"/>
        <v>4528</v>
      </c>
      <c r="M44" s="79">
        <f t="shared" ca="1" si="8"/>
        <v>4641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11189511</v>
      </c>
      <c r="E45" s="146" t="str">
        <f t="shared" si="9"/>
        <v>4400893570007</v>
      </c>
      <c r="F45" s="146" t="b">
        <f t="shared" si="2"/>
        <v>0</v>
      </c>
      <c r="G45" s="190">
        <f t="shared" si="3"/>
        <v>42735</v>
      </c>
      <c r="H45" s="146">
        <f>VLOOKUP( $A45, Aop!$A$2:$N$415, 4, 0)</f>
        <v>44</v>
      </c>
      <c r="I45" s="146">
        <f t="shared" si="4"/>
        <v>2016</v>
      </c>
      <c r="J45" s="79">
        <f t="shared" ca="1" si="5"/>
        <v>176025</v>
      </c>
      <c r="K45" s="79">
        <f t="shared" ca="1" si="6"/>
        <v>176025</v>
      </c>
      <c r="L45" s="79">
        <f t="shared" ca="1" si="7"/>
        <v>0</v>
      </c>
      <c r="M45" s="79">
        <f t="shared" ca="1" si="8"/>
        <v>0</v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11189511</v>
      </c>
      <c r="E46" s="146" t="str">
        <f t="shared" si="9"/>
        <v>4400893570007</v>
      </c>
      <c r="F46" s="146" t="b">
        <f t="shared" si="2"/>
        <v>0</v>
      </c>
      <c r="G46" s="190">
        <f t="shared" si="3"/>
        <v>42735</v>
      </c>
      <c r="H46" s="146">
        <f>VLOOKUP( $A46, Aop!$A$2:$N$415, 4, 0)</f>
        <v>45</v>
      </c>
      <c r="I46" s="146">
        <f t="shared" si="4"/>
        <v>2016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11189511</v>
      </c>
      <c r="E47" s="146" t="str">
        <f t="shared" si="9"/>
        <v>4400893570007</v>
      </c>
      <c r="F47" s="146" t="b">
        <f t="shared" si="2"/>
        <v>0</v>
      </c>
      <c r="G47" s="190">
        <f t="shared" si="3"/>
        <v>42735</v>
      </c>
      <c r="H47" s="146">
        <f>VLOOKUP( $A47, Aop!$A$2:$N$415, 4, 0)</f>
        <v>46</v>
      </c>
      <c r="I47" s="146">
        <f t="shared" si="4"/>
        <v>2016</v>
      </c>
      <c r="J47" s="79" t="str">
        <f t="shared" ca="1" si="5"/>
        <v/>
      </c>
      <c r="K47" s="79" t="str">
        <f t="shared" ca="1" si="6"/>
        <v/>
      </c>
      <c r="L47" s="79">
        <f t="shared" ca="1" si="7"/>
        <v>0</v>
      </c>
      <c r="M47" s="79">
        <f t="shared" ca="1" si="8"/>
        <v>142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11189511</v>
      </c>
      <c r="E48" s="146" t="str">
        <f t="shared" si="9"/>
        <v>4400893570007</v>
      </c>
      <c r="F48" s="146" t="b">
        <f t="shared" si="2"/>
        <v>0</v>
      </c>
      <c r="G48" s="190">
        <f t="shared" si="3"/>
        <v>42735</v>
      </c>
      <c r="H48" s="146">
        <f>VLOOKUP( $A48, Aop!$A$2:$N$415, 4, 0)</f>
        <v>47</v>
      </c>
      <c r="I48" s="146">
        <f t="shared" si="4"/>
        <v>2016</v>
      </c>
      <c r="J48" s="79">
        <f t="shared" ca="1" si="5"/>
        <v>47924</v>
      </c>
      <c r="K48" s="79">
        <f t="shared" ca="1" si="6"/>
        <v>0</v>
      </c>
      <c r="L48" s="79">
        <f t="shared" ca="1" si="7"/>
        <v>47924</v>
      </c>
      <c r="M48" s="79">
        <f t="shared" ca="1" si="8"/>
        <v>61200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11189511</v>
      </c>
      <c r="E49" s="146" t="str">
        <f t="shared" si="9"/>
        <v>4400893570007</v>
      </c>
      <c r="F49" s="146" t="b">
        <f t="shared" si="2"/>
        <v>0</v>
      </c>
      <c r="G49" s="190">
        <f t="shared" si="3"/>
        <v>42735</v>
      </c>
      <c r="H49" s="146">
        <f>VLOOKUP( $A49, Aop!$A$2:$N$415, 4, 0)</f>
        <v>48</v>
      </c>
      <c r="I49" s="146">
        <f t="shared" si="4"/>
        <v>2016</v>
      </c>
      <c r="J49" s="79">
        <f t="shared" ca="1" si="5"/>
        <v>47924</v>
      </c>
      <c r="K49" s="79" t="str">
        <f t="shared" ca="1" si="6"/>
        <v/>
      </c>
      <c r="L49" s="79">
        <f t="shared" ca="1" si="7"/>
        <v>47924</v>
      </c>
      <c r="M49" s="79">
        <f t="shared" ca="1" si="8"/>
        <v>61200</v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11189511</v>
      </c>
      <c r="E50" s="146" t="str">
        <f t="shared" si="9"/>
        <v>4400893570007</v>
      </c>
      <c r="F50" s="146" t="b">
        <f t="shared" si="2"/>
        <v>0</v>
      </c>
      <c r="G50" s="190">
        <f t="shared" si="3"/>
        <v>42735</v>
      </c>
      <c r="H50" s="146">
        <f>VLOOKUP( $A50, Aop!$A$2:$N$415, 4, 0)</f>
        <v>49</v>
      </c>
      <c r="I50" s="146">
        <f t="shared" si="4"/>
        <v>2016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11189511</v>
      </c>
      <c r="E51" s="146" t="str">
        <f t="shared" si="9"/>
        <v>4400893570007</v>
      </c>
      <c r="F51" s="146" t="b">
        <f t="shared" si="2"/>
        <v>0</v>
      </c>
      <c r="G51" s="190">
        <f t="shared" si="3"/>
        <v>42735</v>
      </c>
      <c r="H51" s="146">
        <f>VLOOKUP( $A51, Aop!$A$2:$N$415, 4, 0)</f>
        <v>50</v>
      </c>
      <c r="I51" s="146">
        <f t="shared" si="4"/>
        <v>2016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11189511</v>
      </c>
      <c r="E52" s="146" t="str">
        <f t="shared" si="9"/>
        <v>4400893570007</v>
      </c>
      <c r="F52" s="146" t="b">
        <f t="shared" si="2"/>
        <v>0</v>
      </c>
      <c r="G52" s="190">
        <f t="shared" si="3"/>
        <v>42735</v>
      </c>
      <c r="H52" s="146">
        <f>VLOOKUP( $A52, Aop!$A$2:$N$415, 4, 0)</f>
        <v>51</v>
      </c>
      <c r="I52" s="146">
        <f t="shared" si="4"/>
        <v>2016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11189511</v>
      </c>
      <c r="E53" s="146" t="str">
        <f t="shared" si="9"/>
        <v>4400893570007</v>
      </c>
      <c r="F53" s="146" t="b">
        <f t="shared" si="2"/>
        <v>0</v>
      </c>
      <c r="G53" s="190">
        <f t="shared" si="3"/>
        <v>42735</v>
      </c>
      <c r="H53" s="146">
        <f>VLOOKUP( $A53, Aop!$A$2:$N$415, 4, 0)</f>
        <v>52</v>
      </c>
      <c r="I53" s="146">
        <f t="shared" si="4"/>
        <v>2016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11189511</v>
      </c>
      <c r="E54" s="146" t="str">
        <f t="shared" si="9"/>
        <v>4400893570007</v>
      </c>
      <c r="F54" s="146" t="b">
        <f t="shared" si="2"/>
        <v>0</v>
      </c>
      <c r="G54" s="190">
        <f t="shared" si="3"/>
        <v>42735</v>
      </c>
      <c r="H54" s="146">
        <f>VLOOKUP( $A54, Aop!$A$2:$N$415, 4, 0)</f>
        <v>53</v>
      </c>
      <c r="I54" s="146">
        <f t="shared" si="4"/>
        <v>2016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11189511</v>
      </c>
      <c r="E55" s="146" t="str">
        <f t="shared" si="9"/>
        <v>4400893570007</v>
      </c>
      <c r="F55" s="146" t="b">
        <f t="shared" si="2"/>
        <v>0</v>
      </c>
      <c r="G55" s="190">
        <f t="shared" si="3"/>
        <v>42735</v>
      </c>
      <c r="H55" s="146">
        <f>VLOOKUP( $A55, Aop!$A$2:$N$415, 4, 0)</f>
        <v>54</v>
      </c>
      <c r="I55" s="146">
        <f t="shared" si="4"/>
        <v>2016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11189511</v>
      </c>
      <c r="E56" s="146" t="str">
        <f t="shared" si="9"/>
        <v>4400893570007</v>
      </c>
      <c r="F56" s="146" t="b">
        <f t="shared" si="2"/>
        <v>0</v>
      </c>
      <c r="G56" s="190">
        <f t="shared" si="3"/>
        <v>42735</v>
      </c>
      <c r="H56" s="146">
        <f>VLOOKUP( $A56, Aop!$A$2:$N$415, 4, 0)</f>
        <v>55</v>
      </c>
      <c r="I56" s="146">
        <f t="shared" si="4"/>
        <v>2016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11189511</v>
      </c>
      <c r="E57" s="146" t="str">
        <f t="shared" si="9"/>
        <v>4400893570007</v>
      </c>
      <c r="F57" s="146" t="b">
        <f t="shared" si="2"/>
        <v>0</v>
      </c>
      <c r="G57" s="190">
        <f t="shared" si="3"/>
        <v>42735</v>
      </c>
      <c r="H57" s="146">
        <f>VLOOKUP( $A57, Aop!$A$2:$N$415, 4, 0)</f>
        <v>56</v>
      </c>
      <c r="I57" s="146">
        <f t="shared" si="4"/>
        <v>2016</v>
      </c>
      <c r="J57" s="79">
        <f t="shared" ca="1" si="5"/>
        <v>52055</v>
      </c>
      <c r="K57" s="79">
        <f t="shared" ca="1" si="6"/>
        <v>0</v>
      </c>
      <c r="L57" s="79">
        <f t="shared" ca="1" si="7"/>
        <v>52055</v>
      </c>
      <c r="M57" s="79">
        <f t="shared" ca="1" si="8"/>
        <v>53558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11189511</v>
      </c>
      <c r="E58" s="146" t="str">
        <f t="shared" si="9"/>
        <v>4400893570007</v>
      </c>
      <c r="F58" s="146" t="b">
        <f t="shared" si="2"/>
        <v>0</v>
      </c>
      <c r="G58" s="190">
        <f t="shared" si="3"/>
        <v>42735</v>
      </c>
      <c r="H58" s="146">
        <f>VLOOKUP( $A58, Aop!$A$2:$N$415, 4, 0)</f>
        <v>57</v>
      </c>
      <c r="I58" s="146">
        <f t="shared" si="4"/>
        <v>2016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11189511</v>
      </c>
      <c r="E59" s="146" t="str">
        <f t="shared" si="9"/>
        <v>4400893570007</v>
      </c>
      <c r="F59" s="146" t="b">
        <f t="shared" si="2"/>
        <v>0</v>
      </c>
      <c r="G59" s="190">
        <f t="shared" si="3"/>
        <v>42735</v>
      </c>
      <c r="H59" s="146">
        <f>VLOOKUP( $A59, Aop!$A$2:$N$415, 4, 0)</f>
        <v>58</v>
      </c>
      <c r="I59" s="146">
        <f t="shared" si="4"/>
        <v>2016</v>
      </c>
      <c r="J59" s="79">
        <f t="shared" ca="1" si="5"/>
        <v>52055</v>
      </c>
      <c r="K59" s="79" t="str">
        <f t="shared" ca="1" si="6"/>
        <v/>
      </c>
      <c r="L59" s="79">
        <f t="shared" ca="1" si="7"/>
        <v>52055</v>
      </c>
      <c r="M59" s="79">
        <f t="shared" ca="1" si="8"/>
        <v>53558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11189511</v>
      </c>
      <c r="E60" s="146" t="str">
        <f t="shared" si="9"/>
        <v>4400893570007</v>
      </c>
      <c r="F60" s="146" t="b">
        <f t="shared" si="2"/>
        <v>0</v>
      </c>
      <c r="G60" s="190">
        <f t="shared" si="3"/>
        <v>42735</v>
      </c>
      <c r="H60" s="146">
        <f>VLOOKUP( $A60, Aop!$A$2:$N$415, 4, 0)</f>
        <v>59</v>
      </c>
      <c r="I60" s="146">
        <f t="shared" si="4"/>
        <v>2016</v>
      </c>
      <c r="J60" s="79" t="str">
        <f t="shared" ca="1" si="5"/>
        <v/>
      </c>
      <c r="K60" s="79" t="str">
        <f t="shared" ca="1" si="6"/>
        <v/>
      </c>
      <c r="L60" s="79">
        <f t="shared" ca="1" si="7"/>
        <v>0</v>
      </c>
      <c r="M60" s="79" t="str">
        <f t="shared" ca="1" si="8"/>
        <v/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11189511</v>
      </c>
      <c r="E61" s="146" t="str">
        <f t="shared" si="9"/>
        <v>4400893570007</v>
      </c>
      <c r="F61" s="146" t="b">
        <f t="shared" si="2"/>
        <v>0</v>
      </c>
      <c r="G61" s="190">
        <f t="shared" si="3"/>
        <v>42735</v>
      </c>
      <c r="H61" s="146">
        <f>VLOOKUP( $A61, Aop!$A$2:$N$415, 4, 0)</f>
        <v>60</v>
      </c>
      <c r="I61" s="146">
        <f t="shared" si="4"/>
        <v>2016</v>
      </c>
      <c r="J61" s="79" t="str">
        <f t="shared" ca="1" si="5"/>
        <v/>
      </c>
      <c r="K61" s="79" t="str">
        <f t="shared" ca="1" si="6"/>
        <v/>
      </c>
      <c r="L61" s="79">
        <f t="shared" ca="1" si="7"/>
        <v>0</v>
      </c>
      <c r="M61" s="79" t="str">
        <f t="shared" ca="1" si="8"/>
        <v/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11189511</v>
      </c>
      <c r="E62" s="146" t="str">
        <f t="shared" si="9"/>
        <v>4400893570007</v>
      </c>
      <c r="F62" s="146" t="b">
        <f t="shared" si="2"/>
        <v>0</v>
      </c>
      <c r="G62" s="190">
        <f t="shared" si="3"/>
        <v>42735</v>
      </c>
      <c r="H62" s="146">
        <f>VLOOKUP( $A62, Aop!$A$2:$N$415, 4, 0)</f>
        <v>61</v>
      </c>
      <c r="I62" s="146">
        <f t="shared" si="4"/>
        <v>2016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11189511</v>
      </c>
      <c r="E63" s="146" t="str">
        <f t="shared" si="9"/>
        <v>4400893570007</v>
      </c>
      <c r="F63" s="146" t="b">
        <f t="shared" si="2"/>
        <v>0</v>
      </c>
      <c r="G63" s="190">
        <f t="shared" si="3"/>
        <v>42735</v>
      </c>
      <c r="H63" s="146">
        <f>VLOOKUP( $A63, Aop!$A$2:$N$415, 4, 0)</f>
        <v>62</v>
      </c>
      <c r="I63" s="146">
        <f t="shared" si="4"/>
        <v>2016</v>
      </c>
      <c r="J63" s="79">
        <f t="shared" ca="1" si="5"/>
        <v>5020146</v>
      </c>
      <c r="K63" s="79">
        <f t="shared" ca="1" si="6"/>
        <v>2082768</v>
      </c>
      <c r="L63" s="79">
        <f t="shared" ca="1" si="7"/>
        <v>2937378</v>
      </c>
      <c r="M63" s="79">
        <f t="shared" ca="1" si="8"/>
        <v>2935048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11189511</v>
      </c>
      <c r="E64" s="146" t="str">
        <f t="shared" si="9"/>
        <v>4400893570007</v>
      </c>
      <c r="F64" s="146" t="b">
        <f t="shared" si="2"/>
        <v>0</v>
      </c>
      <c r="G64" s="190">
        <f t="shared" si="3"/>
        <v>42735</v>
      </c>
      <c r="H64" s="146">
        <f>VLOOKUP( $A64, Aop!$A$2:$N$415, 4, 0)</f>
        <v>63</v>
      </c>
      <c r="I64" s="146">
        <f t="shared" si="4"/>
        <v>2016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11189511</v>
      </c>
      <c r="E65" s="146" t="str">
        <f t="shared" si="9"/>
        <v>4400893570007</v>
      </c>
      <c r="F65" s="146" t="b">
        <f t="shared" si="2"/>
        <v>0</v>
      </c>
      <c r="G65" s="190">
        <f t="shared" si="3"/>
        <v>42735</v>
      </c>
      <c r="H65" s="146">
        <f>VLOOKUP( $A65, Aop!$A$2:$N$415, 4, 0)</f>
        <v>64</v>
      </c>
      <c r="I65" s="146">
        <f t="shared" si="4"/>
        <v>2016</v>
      </c>
      <c r="J65" s="79">
        <f t="shared" ca="1" si="5"/>
        <v>5020146</v>
      </c>
      <c r="K65" s="79">
        <f t="shared" ca="1" si="6"/>
        <v>2082768</v>
      </c>
      <c r="L65" s="79">
        <f t="shared" ca="1" si="7"/>
        <v>2937378</v>
      </c>
      <c r="M65" s="79">
        <f t="shared" ca="1" si="8"/>
        <v>2935048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11189511</v>
      </c>
      <c r="E66" s="79" t="str">
        <f>Podatak_JIB</f>
        <v>4400893570007</v>
      </c>
      <c r="F66" s="79" t="b">
        <f>Konsolidovan_izvjestaj</f>
        <v>0</v>
      </c>
      <c r="G66" s="190">
        <f>Datum_Broj</f>
        <v>42735</v>
      </c>
      <c r="H66" s="79">
        <f>VLOOKUP( $A66, Aop!$A$2:$N$415, 4, 0)</f>
        <v>65</v>
      </c>
      <c r="I66" s="79">
        <f>Godina</f>
        <v>2016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11189511</v>
      </c>
      <c r="E67" s="146" t="str">
        <f t="shared" ref="E67:E127" si="12">Podatak_JIB</f>
        <v>4400893570007</v>
      </c>
      <c r="F67" s="146" t="b">
        <f t="shared" ref="F67:F129" si="13">Konsolidovan_izvjestaj</f>
        <v>0</v>
      </c>
      <c r="G67" s="190">
        <f t="shared" ref="G67:G129" si="14">Datum_Broj</f>
        <v>42735</v>
      </c>
      <c r="H67" s="146">
        <f>VLOOKUP( $A67, Aop!$A$2:$N$415, 4, 0)</f>
        <v>66</v>
      </c>
      <c r="I67" s="146">
        <f t="shared" ref="I67:I127" si="15">Godina</f>
        <v>2016</v>
      </c>
      <c r="J67" s="79">
        <f ca="1">IF(VLOOKUP($H67,INDIRECT("Lookup_"&amp;$B67),IF($B67="BS",P$2,P$1),0)="","",VLOOKUP($H67,INDIRECT("Lookup_"&amp;$B67),IF($B67="BS",P$2,P$1),0))</f>
        <v>5020146</v>
      </c>
      <c r="K67" s="79">
        <f ca="1">IF(VLOOKUP($H67,INDIRECT("Lookup_"&amp;$B67),IF($B67="BS",Q$2,Q$1),0)="","",VLOOKUP($H67,INDIRECT("Lookup_"&amp;$B67),IF($B67="BS",Q$2,Q$1),0))</f>
        <v>2082768</v>
      </c>
      <c r="L67" s="79">
        <f t="shared" ref="L67:L129" ca="1" si="16">IF(VLOOKUP($H67,INDIRECT("Lookup_"&amp;$B67),IF($B67="BS",R$2,R$1),0)="","",VLOOKUP($H67,INDIRECT("Lookup_"&amp;$B67),IF($B67="BS",R$2,R$1),0))</f>
        <v>2937378</v>
      </c>
      <c r="M67" s="79">
        <f t="shared" ref="M67:M129" ca="1" si="17">IF(VLOOKUP($H67,INDIRECT("Lookup_"&amp;$B67),IF($B67="BS",S$2,S$1),0)="","",VLOOKUP($H67,INDIRECT("Lookup_"&amp;$B67),IF($B67="BS",S$2,S$1),0))</f>
        <v>2935048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11189511</v>
      </c>
      <c r="E68" s="146" t="str">
        <f t="shared" si="12"/>
        <v>4400893570007</v>
      </c>
      <c r="F68" s="146" t="b">
        <f t="shared" si="13"/>
        <v>0</v>
      </c>
      <c r="G68" s="190">
        <f t="shared" si="14"/>
        <v>42735</v>
      </c>
      <c r="H68" s="146">
        <f>VLOOKUP( $A68, Aop!$A$2:$N$415, 4, 0)</f>
        <v>101</v>
      </c>
      <c r="I68" s="146">
        <f t="shared" si="15"/>
        <v>2016</v>
      </c>
      <c r="J68" s="79"/>
      <c r="K68" s="79"/>
      <c r="L68" s="79">
        <f t="shared" ca="1" si="16"/>
        <v>2246552</v>
      </c>
      <c r="M68" s="79">
        <f t="shared" ca="1" si="17"/>
        <v>2156790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11189511</v>
      </c>
      <c r="E69" s="146" t="str">
        <f t="shared" si="12"/>
        <v>4400893570007</v>
      </c>
      <c r="F69" s="146" t="b">
        <f t="shared" si="13"/>
        <v>0</v>
      </c>
      <c r="G69" s="190">
        <f t="shared" si="14"/>
        <v>42735</v>
      </c>
      <c r="H69" s="146">
        <f>VLOOKUP( $A69, Aop!$A$2:$N$415, 4, 0)</f>
        <v>102</v>
      </c>
      <c r="I69" s="146">
        <f t="shared" si="15"/>
        <v>2016</v>
      </c>
      <c r="J69" s="79"/>
      <c r="K69" s="79"/>
      <c r="L69" s="79">
        <f t="shared" ca="1" si="16"/>
        <v>1945000</v>
      </c>
      <c r="M69" s="79">
        <f t="shared" ca="1" si="17"/>
        <v>1945000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11189511</v>
      </c>
      <c r="E70" s="146" t="str">
        <f t="shared" si="12"/>
        <v>4400893570007</v>
      </c>
      <c r="F70" s="146" t="b">
        <f t="shared" si="13"/>
        <v>0</v>
      </c>
      <c r="G70" s="190">
        <f t="shared" si="14"/>
        <v>42735</v>
      </c>
      <c r="H70" s="146">
        <f>VLOOKUP( $A70, Aop!$A$2:$N$415, 4, 0)</f>
        <v>103</v>
      </c>
      <c r="I70" s="146">
        <f t="shared" si="15"/>
        <v>2016</v>
      </c>
      <c r="J70" s="79"/>
      <c r="K70" s="79"/>
      <c r="L70" s="79">
        <f t="shared" ca="1" si="16"/>
        <v>1945000</v>
      </c>
      <c r="M70" s="79">
        <f t="shared" ca="1" si="17"/>
        <v>1945000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11189511</v>
      </c>
      <c r="E71" s="146" t="str">
        <f t="shared" si="12"/>
        <v>4400893570007</v>
      </c>
      <c r="F71" s="146" t="b">
        <f t="shared" si="13"/>
        <v>0</v>
      </c>
      <c r="G71" s="190">
        <f t="shared" si="14"/>
        <v>42735</v>
      </c>
      <c r="H71" s="146">
        <f>VLOOKUP( $A71, Aop!$A$2:$N$415, 4, 0)</f>
        <v>104</v>
      </c>
      <c r="I71" s="146">
        <f t="shared" si="15"/>
        <v>2016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11189511</v>
      </c>
      <c r="E72" s="146" t="str">
        <f t="shared" si="12"/>
        <v>4400893570007</v>
      </c>
      <c r="F72" s="146" t="b">
        <f t="shared" si="13"/>
        <v>0</v>
      </c>
      <c r="G72" s="190">
        <f t="shared" si="14"/>
        <v>42735</v>
      </c>
      <c r="H72" s="146">
        <f>VLOOKUP( $A72, Aop!$A$2:$N$415, 4, 0)</f>
        <v>105</v>
      </c>
      <c r="I72" s="146">
        <f t="shared" si="15"/>
        <v>2016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11189511</v>
      </c>
      <c r="E73" s="146" t="str">
        <f t="shared" si="12"/>
        <v>4400893570007</v>
      </c>
      <c r="F73" s="146" t="b">
        <f t="shared" si="13"/>
        <v>0</v>
      </c>
      <c r="G73" s="190">
        <f t="shared" si="14"/>
        <v>42735</v>
      </c>
      <c r="H73" s="146">
        <f>VLOOKUP( $A73, Aop!$A$2:$N$415, 4, 0)</f>
        <v>106</v>
      </c>
      <c r="I73" s="146">
        <f t="shared" si="15"/>
        <v>2016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11189511</v>
      </c>
      <c r="E74" s="146" t="str">
        <f t="shared" si="12"/>
        <v>4400893570007</v>
      </c>
      <c r="F74" s="146" t="b">
        <f t="shared" si="13"/>
        <v>0</v>
      </c>
      <c r="G74" s="190">
        <f t="shared" si="14"/>
        <v>42735</v>
      </c>
      <c r="H74" s="146">
        <f>VLOOKUP( $A74, Aop!$A$2:$N$415, 4, 0)</f>
        <v>107</v>
      </c>
      <c r="I74" s="146">
        <f t="shared" si="15"/>
        <v>2016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11189511</v>
      </c>
      <c r="E75" s="146" t="str">
        <f t="shared" si="12"/>
        <v>4400893570007</v>
      </c>
      <c r="F75" s="146" t="b">
        <f t="shared" si="13"/>
        <v>0</v>
      </c>
      <c r="G75" s="190">
        <f t="shared" si="14"/>
        <v>42735</v>
      </c>
      <c r="H75" s="146">
        <f>VLOOKUP( $A75, Aop!$A$2:$N$415, 4, 0)</f>
        <v>108</v>
      </c>
      <c r="I75" s="146">
        <f t="shared" si="15"/>
        <v>2016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11189511</v>
      </c>
      <c r="E76" s="146" t="str">
        <f t="shared" si="12"/>
        <v>4400893570007</v>
      </c>
      <c r="F76" s="146" t="b">
        <f t="shared" si="13"/>
        <v>0</v>
      </c>
      <c r="G76" s="190">
        <f t="shared" si="14"/>
        <v>42735</v>
      </c>
      <c r="H76" s="146">
        <f>VLOOKUP( $A76, Aop!$A$2:$N$415, 4, 0)</f>
        <v>109</v>
      </c>
      <c r="I76" s="146">
        <f t="shared" si="15"/>
        <v>2016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11189511</v>
      </c>
      <c r="E77" s="146" t="str">
        <f t="shared" si="12"/>
        <v>4400893570007</v>
      </c>
      <c r="F77" s="146" t="b">
        <f t="shared" si="13"/>
        <v>0</v>
      </c>
      <c r="G77" s="190">
        <f t="shared" si="14"/>
        <v>42735</v>
      </c>
      <c r="H77" s="146">
        <f>VLOOKUP( $A77, Aop!$A$2:$N$415, 4, 0)</f>
        <v>110</v>
      </c>
      <c r="I77" s="146">
        <f t="shared" si="15"/>
        <v>2016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11189511</v>
      </c>
      <c r="E78" s="146" t="str">
        <f t="shared" si="12"/>
        <v>4400893570007</v>
      </c>
      <c r="F78" s="146" t="b">
        <f t="shared" si="13"/>
        <v>0</v>
      </c>
      <c r="G78" s="190">
        <f t="shared" si="14"/>
        <v>42735</v>
      </c>
      <c r="H78" s="146">
        <f>VLOOKUP( $A78, Aop!$A$2:$N$415, 4, 0)</f>
        <v>111</v>
      </c>
      <c r="I78" s="146">
        <f t="shared" si="15"/>
        <v>2016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11189511</v>
      </c>
      <c r="E79" s="146" t="str">
        <f t="shared" si="12"/>
        <v>4400893570007</v>
      </c>
      <c r="F79" s="146" t="b">
        <f t="shared" si="13"/>
        <v>0</v>
      </c>
      <c r="G79" s="190">
        <f t="shared" si="14"/>
        <v>42735</v>
      </c>
      <c r="H79" s="146">
        <f>VLOOKUP( $A79, Aop!$A$2:$N$415, 4, 0)</f>
        <v>112</v>
      </c>
      <c r="I79" s="146">
        <f t="shared" si="15"/>
        <v>2016</v>
      </c>
      <c r="J79" s="79"/>
      <c r="K79" s="79"/>
      <c r="L79" s="79">
        <f t="shared" ca="1" si="16"/>
        <v>194249</v>
      </c>
      <c r="M79" s="79">
        <f t="shared" ca="1" si="17"/>
        <v>194249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11189511</v>
      </c>
      <c r="E80" s="146" t="str">
        <f t="shared" si="12"/>
        <v>4400893570007</v>
      </c>
      <c r="F80" s="146" t="b">
        <f t="shared" si="13"/>
        <v>0</v>
      </c>
      <c r="G80" s="190">
        <f t="shared" si="14"/>
        <v>42735</v>
      </c>
      <c r="H80" s="146">
        <f>VLOOKUP( $A80, Aop!$A$2:$N$415, 4, 0)</f>
        <v>113</v>
      </c>
      <c r="I80" s="146">
        <f t="shared" si="15"/>
        <v>2016</v>
      </c>
      <c r="J80" s="79"/>
      <c r="K80" s="79"/>
      <c r="L80" s="79">
        <f t="shared" ca="1" si="16"/>
        <v>194249</v>
      </c>
      <c r="M80" s="79">
        <f t="shared" ca="1" si="17"/>
        <v>194249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11189511</v>
      </c>
      <c r="E81" s="146" t="str">
        <f t="shared" si="12"/>
        <v>4400893570007</v>
      </c>
      <c r="F81" s="146" t="b">
        <f t="shared" si="13"/>
        <v>0</v>
      </c>
      <c r="G81" s="190">
        <f t="shared" si="14"/>
        <v>42735</v>
      </c>
      <c r="H81" s="146">
        <f>VLOOKUP( $A81, Aop!$A$2:$N$415, 4, 0)</f>
        <v>114</v>
      </c>
      <c r="I81" s="146">
        <f t="shared" si="15"/>
        <v>2016</v>
      </c>
      <c r="J81" s="79"/>
      <c r="K81" s="79"/>
      <c r="L81" s="79" t="str">
        <f t="shared" ca="1" si="16"/>
        <v/>
      </c>
      <c r="M81" s="79" t="str">
        <f t="shared" ca="1" si="17"/>
        <v/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11189511</v>
      </c>
      <c r="E82" s="146" t="str">
        <f t="shared" si="12"/>
        <v>4400893570007</v>
      </c>
      <c r="F82" s="146" t="b">
        <f t="shared" si="13"/>
        <v>0</v>
      </c>
      <c r="G82" s="190">
        <f t="shared" si="14"/>
        <v>42735</v>
      </c>
      <c r="H82" s="146">
        <f>VLOOKUP( $A82, Aop!$A$2:$N$415, 4, 0)</f>
        <v>115</v>
      </c>
      <c r="I82" s="146">
        <f t="shared" si="15"/>
        <v>2016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11189511</v>
      </c>
      <c r="E83" s="146" t="str">
        <f t="shared" si="12"/>
        <v>4400893570007</v>
      </c>
      <c r="F83" s="146" t="b">
        <f t="shared" si="13"/>
        <v>0</v>
      </c>
      <c r="G83" s="190">
        <f t="shared" si="14"/>
        <v>42735</v>
      </c>
      <c r="H83" s="146">
        <f>VLOOKUP( $A83, Aop!$A$2:$N$415, 4, 0)</f>
        <v>116</v>
      </c>
      <c r="I83" s="146">
        <f t="shared" si="15"/>
        <v>2016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11189511</v>
      </c>
      <c r="E84" s="146" t="str">
        <f t="shared" si="12"/>
        <v>4400893570007</v>
      </c>
      <c r="F84" s="146" t="b">
        <f t="shared" si="13"/>
        <v>0</v>
      </c>
      <c r="G84" s="190">
        <f t="shared" si="14"/>
        <v>42735</v>
      </c>
      <c r="H84" s="146">
        <f>VLOOKUP( $A84, Aop!$A$2:$N$415, 4, 0)</f>
        <v>117</v>
      </c>
      <c r="I84" s="146">
        <f t="shared" si="15"/>
        <v>2016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11189511</v>
      </c>
      <c r="E85" s="146" t="str">
        <f t="shared" si="12"/>
        <v>4400893570007</v>
      </c>
      <c r="F85" s="146" t="b">
        <f t="shared" si="13"/>
        <v>0</v>
      </c>
      <c r="G85" s="190">
        <f t="shared" si="14"/>
        <v>42735</v>
      </c>
      <c r="H85" s="146">
        <f>VLOOKUP( $A85, Aop!$A$2:$N$415, 4, 0)</f>
        <v>118</v>
      </c>
      <c r="I85" s="146">
        <f t="shared" si="15"/>
        <v>2016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11189511</v>
      </c>
      <c r="E86" s="146" t="str">
        <f t="shared" si="12"/>
        <v>4400893570007</v>
      </c>
      <c r="F86" s="146" t="b">
        <f t="shared" si="13"/>
        <v>0</v>
      </c>
      <c r="G86" s="190">
        <f t="shared" si="14"/>
        <v>42735</v>
      </c>
      <c r="H86" s="146">
        <f>VLOOKUP( $A86, Aop!$A$2:$N$415, 4, 0)</f>
        <v>119</v>
      </c>
      <c r="I86" s="146">
        <f t="shared" si="15"/>
        <v>2016</v>
      </c>
      <c r="J86" s="79"/>
      <c r="K86" s="79"/>
      <c r="L86" s="79">
        <f t="shared" ca="1" si="16"/>
        <v>107303</v>
      </c>
      <c r="M86" s="79">
        <f t="shared" ca="1" si="17"/>
        <v>161826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11189511</v>
      </c>
      <c r="E87" s="146" t="str">
        <f t="shared" si="12"/>
        <v>4400893570007</v>
      </c>
      <c r="F87" s="146" t="b">
        <f t="shared" si="13"/>
        <v>0</v>
      </c>
      <c r="G87" s="190">
        <f t="shared" si="14"/>
        <v>42735</v>
      </c>
      <c r="H87" s="146">
        <f>VLOOKUP( $A87, Aop!$A$2:$N$415, 4, 0)</f>
        <v>120</v>
      </c>
      <c r="I87" s="146">
        <f t="shared" si="15"/>
        <v>2016</v>
      </c>
      <c r="J87" s="79"/>
      <c r="K87" s="79"/>
      <c r="L87" s="79">
        <f t="shared" ca="1" si="16"/>
        <v>17541</v>
      </c>
      <c r="M87" s="79" t="str">
        <f t="shared" ca="1" si="17"/>
        <v/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11189511</v>
      </c>
      <c r="E88" s="146" t="str">
        <f t="shared" si="12"/>
        <v>4400893570007</v>
      </c>
      <c r="F88" s="146" t="b">
        <f t="shared" si="13"/>
        <v>0</v>
      </c>
      <c r="G88" s="190">
        <f t="shared" si="14"/>
        <v>42735</v>
      </c>
      <c r="H88" s="146">
        <f>VLOOKUP( $A88, Aop!$A$2:$N$415, 4, 0)</f>
        <v>121</v>
      </c>
      <c r="I88" s="146">
        <f t="shared" si="15"/>
        <v>2016</v>
      </c>
      <c r="J88" s="79"/>
      <c r="K88" s="79"/>
      <c r="L88" s="79">
        <f t="shared" ca="1" si="16"/>
        <v>89762</v>
      </c>
      <c r="M88" s="79">
        <f t="shared" ca="1" si="17"/>
        <v>161826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11189511</v>
      </c>
      <c r="E89" s="146" t="str">
        <f t="shared" si="12"/>
        <v>4400893570007</v>
      </c>
      <c r="F89" s="146" t="b">
        <f t="shared" si="13"/>
        <v>0</v>
      </c>
      <c r="G89" s="190">
        <f t="shared" si="14"/>
        <v>42735</v>
      </c>
      <c r="H89" s="146">
        <f>VLOOKUP( $A89, Aop!$A$2:$N$415, 4, 0)</f>
        <v>122</v>
      </c>
      <c r="I89" s="146">
        <f t="shared" si="15"/>
        <v>2016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11189511</v>
      </c>
      <c r="E90" s="146" t="str">
        <f t="shared" si="12"/>
        <v>4400893570007</v>
      </c>
      <c r="F90" s="146" t="b">
        <f t="shared" si="13"/>
        <v>0</v>
      </c>
      <c r="G90" s="190">
        <f t="shared" si="14"/>
        <v>42735</v>
      </c>
      <c r="H90" s="146">
        <f>VLOOKUP( $A90, Aop!$A$2:$N$415, 4, 0)</f>
        <v>123</v>
      </c>
      <c r="I90" s="146">
        <f t="shared" si="15"/>
        <v>2016</v>
      </c>
      <c r="J90" s="79"/>
      <c r="K90" s="79"/>
      <c r="L90" s="79">
        <f t="shared" ca="1" si="16"/>
        <v>0</v>
      </c>
      <c r="M90" s="79">
        <f t="shared" ca="1" si="17"/>
        <v>144285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11189511</v>
      </c>
      <c r="E91" s="146" t="str">
        <f t="shared" si="12"/>
        <v>4400893570007</v>
      </c>
      <c r="F91" s="146" t="b">
        <f t="shared" si="13"/>
        <v>0</v>
      </c>
      <c r="G91" s="190">
        <f t="shared" si="14"/>
        <v>42735</v>
      </c>
      <c r="H91" s="146">
        <f>VLOOKUP( $A91, Aop!$A$2:$N$415, 4, 0)</f>
        <v>124</v>
      </c>
      <c r="I91" s="146">
        <f t="shared" si="15"/>
        <v>2016</v>
      </c>
      <c r="J91" s="79"/>
      <c r="K91" s="79"/>
      <c r="L91" s="79" t="str">
        <f t="shared" ca="1" si="16"/>
        <v/>
      </c>
      <c r="M91" s="79">
        <f t="shared" ca="1" si="17"/>
        <v>144285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11189511</v>
      </c>
      <c r="E92" s="146" t="str">
        <f t="shared" si="12"/>
        <v>4400893570007</v>
      </c>
      <c r="F92" s="146" t="b">
        <f t="shared" si="13"/>
        <v>0</v>
      </c>
      <c r="G92" s="190">
        <f t="shared" si="14"/>
        <v>42735</v>
      </c>
      <c r="H92" s="146">
        <f>VLOOKUP( $A92, Aop!$A$2:$N$415, 4, 0)</f>
        <v>125</v>
      </c>
      <c r="I92" s="146">
        <f t="shared" si="15"/>
        <v>2016</v>
      </c>
      <c r="J92" s="79"/>
      <c r="K92" s="79"/>
      <c r="L92" s="79" t="str">
        <f t="shared" ca="1" si="16"/>
        <v/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11189511</v>
      </c>
      <c r="E93" s="146" t="str">
        <f t="shared" si="12"/>
        <v>4400893570007</v>
      </c>
      <c r="F93" s="146" t="b">
        <f t="shared" si="13"/>
        <v>0</v>
      </c>
      <c r="G93" s="190">
        <f t="shared" si="14"/>
        <v>42735</v>
      </c>
      <c r="H93" s="146">
        <f>VLOOKUP( $A93, Aop!$A$2:$N$415, 4, 0)</f>
        <v>126</v>
      </c>
      <c r="I93" s="146">
        <f t="shared" si="15"/>
        <v>2016</v>
      </c>
      <c r="J93" s="79"/>
      <c r="K93" s="79"/>
      <c r="L93" s="79">
        <f t="shared" ca="1" si="16"/>
        <v>0</v>
      </c>
      <c r="M93" s="79">
        <f t="shared" ca="1" si="17"/>
        <v>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11189511</v>
      </c>
      <c r="E94" s="146" t="str">
        <f t="shared" si="12"/>
        <v>4400893570007</v>
      </c>
      <c r="F94" s="146" t="b">
        <f t="shared" si="13"/>
        <v>0</v>
      </c>
      <c r="G94" s="190">
        <f t="shared" si="14"/>
        <v>42735</v>
      </c>
      <c r="H94" s="146">
        <f>VLOOKUP( $A94, Aop!$A$2:$N$415, 4, 0)</f>
        <v>127</v>
      </c>
      <c r="I94" s="146">
        <f t="shared" si="15"/>
        <v>2016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11189511</v>
      </c>
      <c r="E95" s="146" t="str">
        <f t="shared" si="12"/>
        <v>4400893570007</v>
      </c>
      <c r="F95" s="146" t="b">
        <f t="shared" si="13"/>
        <v>0</v>
      </c>
      <c r="G95" s="190">
        <f t="shared" si="14"/>
        <v>42735</v>
      </c>
      <c r="H95" s="146">
        <f>VLOOKUP( $A95, Aop!$A$2:$N$415, 4, 0)</f>
        <v>128</v>
      </c>
      <c r="I95" s="146">
        <f t="shared" si="15"/>
        <v>2016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11189511</v>
      </c>
      <c r="E96" s="146" t="str">
        <f t="shared" si="12"/>
        <v>4400893570007</v>
      </c>
      <c r="F96" s="146" t="b">
        <f t="shared" si="13"/>
        <v>0</v>
      </c>
      <c r="G96" s="190">
        <f t="shared" si="14"/>
        <v>42735</v>
      </c>
      <c r="H96" s="146">
        <f>VLOOKUP( $A96, Aop!$A$2:$N$415, 4, 0)</f>
        <v>129</v>
      </c>
      <c r="I96" s="146">
        <f t="shared" si="15"/>
        <v>2016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11189511</v>
      </c>
      <c r="E97" s="146" t="str">
        <f t="shared" si="12"/>
        <v>4400893570007</v>
      </c>
      <c r="F97" s="146" t="b">
        <f t="shared" si="13"/>
        <v>0</v>
      </c>
      <c r="G97" s="190">
        <f t="shared" si="14"/>
        <v>42735</v>
      </c>
      <c r="H97" s="146">
        <f>VLOOKUP( $A97, Aop!$A$2:$N$415, 4, 0)</f>
        <v>130</v>
      </c>
      <c r="I97" s="146">
        <f t="shared" si="15"/>
        <v>2016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11189511</v>
      </c>
      <c r="E98" s="146" t="str">
        <f t="shared" si="12"/>
        <v>4400893570007</v>
      </c>
      <c r="F98" s="146" t="b">
        <f t="shared" si="13"/>
        <v>0</v>
      </c>
      <c r="G98" s="190">
        <f t="shared" si="14"/>
        <v>42735</v>
      </c>
      <c r="H98" s="146">
        <f>VLOOKUP( $A98, Aop!$A$2:$N$415, 4, 0)</f>
        <v>131</v>
      </c>
      <c r="I98" s="146">
        <f t="shared" si="15"/>
        <v>2016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11189511</v>
      </c>
      <c r="E99" s="146" t="str">
        <f t="shared" si="12"/>
        <v>4400893570007</v>
      </c>
      <c r="F99" s="146" t="b">
        <f t="shared" si="13"/>
        <v>0</v>
      </c>
      <c r="G99" s="190">
        <f t="shared" si="14"/>
        <v>42735</v>
      </c>
      <c r="H99" s="146">
        <f>VLOOKUP( $A99, Aop!$A$2:$N$415, 4, 0)</f>
        <v>132</v>
      </c>
      <c r="I99" s="146">
        <f t="shared" si="15"/>
        <v>2016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11189511</v>
      </c>
      <c r="E100" s="146" t="str">
        <f t="shared" si="12"/>
        <v>4400893570007</v>
      </c>
      <c r="F100" s="146" t="b">
        <f t="shared" si="13"/>
        <v>0</v>
      </c>
      <c r="G100" s="190">
        <f t="shared" si="14"/>
        <v>42735</v>
      </c>
      <c r="H100" s="146">
        <f>VLOOKUP( $A100, Aop!$A$2:$N$415, 4, 0)</f>
        <v>133</v>
      </c>
      <c r="I100" s="146">
        <f t="shared" si="15"/>
        <v>2016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11189511</v>
      </c>
      <c r="E101" s="146" t="str">
        <f t="shared" si="12"/>
        <v>4400893570007</v>
      </c>
      <c r="F101" s="146" t="b">
        <f t="shared" si="13"/>
        <v>0</v>
      </c>
      <c r="G101" s="190">
        <f t="shared" si="14"/>
        <v>42735</v>
      </c>
      <c r="H101" s="146">
        <f>VLOOKUP( $A101, Aop!$A$2:$N$415, 4, 0)</f>
        <v>134</v>
      </c>
      <c r="I101" s="146">
        <f t="shared" si="15"/>
        <v>2016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11189511</v>
      </c>
      <c r="E102" s="146" t="str">
        <f t="shared" si="12"/>
        <v>4400893570007</v>
      </c>
      <c r="F102" s="146" t="b">
        <f t="shared" si="13"/>
        <v>0</v>
      </c>
      <c r="G102" s="190">
        <f t="shared" si="14"/>
        <v>42735</v>
      </c>
      <c r="H102" s="146">
        <f>VLOOKUP( $A102, Aop!$A$2:$N$415, 4, 0)</f>
        <v>135</v>
      </c>
      <c r="I102" s="146">
        <f t="shared" si="15"/>
        <v>2016</v>
      </c>
      <c r="J102" s="79"/>
      <c r="K102" s="79"/>
      <c r="L102" s="79">
        <f t="shared" ca="1" si="16"/>
        <v>690826</v>
      </c>
      <c r="M102" s="79">
        <f t="shared" ca="1" si="17"/>
        <v>778258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11189511</v>
      </c>
      <c r="E103" s="146" t="str">
        <f t="shared" si="12"/>
        <v>4400893570007</v>
      </c>
      <c r="F103" s="146" t="b">
        <f t="shared" si="13"/>
        <v>0</v>
      </c>
      <c r="G103" s="190">
        <f t="shared" si="14"/>
        <v>42735</v>
      </c>
      <c r="H103" s="146">
        <f>VLOOKUP( $A103, Aop!$A$2:$N$415, 4, 0)</f>
        <v>136</v>
      </c>
      <c r="I103" s="146">
        <f t="shared" si="15"/>
        <v>2016</v>
      </c>
      <c r="J103" s="79"/>
      <c r="K103" s="79"/>
      <c r="L103" s="79">
        <f t="shared" ca="1" si="16"/>
        <v>295594</v>
      </c>
      <c r="M103" s="79">
        <f t="shared" ca="1" si="17"/>
        <v>171408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11189511</v>
      </c>
      <c r="E104" s="146" t="str">
        <f t="shared" si="12"/>
        <v>4400893570007</v>
      </c>
      <c r="F104" s="146" t="b">
        <f t="shared" si="13"/>
        <v>0</v>
      </c>
      <c r="G104" s="190">
        <f t="shared" si="14"/>
        <v>42735</v>
      </c>
      <c r="H104" s="146">
        <f>VLOOKUP( $A104, Aop!$A$2:$N$415, 4, 0)</f>
        <v>137</v>
      </c>
      <c r="I104" s="146">
        <f t="shared" si="15"/>
        <v>2016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11189511</v>
      </c>
      <c r="E105" s="146" t="str">
        <f t="shared" si="12"/>
        <v>4400893570007</v>
      </c>
      <c r="F105" s="146" t="b">
        <f t="shared" si="13"/>
        <v>0</v>
      </c>
      <c r="G105" s="190">
        <f t="shared" si="14"/>
        <v>42735</v>
      </c>
      <c r="H105" s="146">
        <f>VLOOKUP( $A105, Aop!$A$2:$N$415, 4, 0)</f>
        <v>138</v>
      </c>
      <c r="I105" s="146">
        <f t="shared" si="15"/>
        <v>2016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11189511</v>
      </c>
      <c r="E106" s="146" t="str">
        <f t="shared" si="12"/>
        <v>4400893570007</v>
      </c>
      <c r="F106" s="146" t="b">
        <f t="shared" si="13"/>
        <v>0</v>
      </c>
      <c r="G106" s="190">
        <f t="shared" si="14"/>
        <v>42735</v>
      </c>
      <c r="H106" s="146">
        <f>VLOOKUP( $A106, Aop!$A$2:$N$415, 4, 0)</f>
        <v>139</v>
      </c>
      <c r="I106" s="146">
        <f t="shared" si="15"/>
        <v>2016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11189511</v>
      </c>
      <c r="E107" s="146" t="str">
        <f t="shared" si="12"/>
        <v>4400893570007</v>
      </c>
      <c r="F107" s="146" t="b">
        <f t="shared" si="13"/>
        <v>0</v>
      </c>
      <c r="G107" s="190">
        <f t="shared" si="14"/>
        <v>42735</v>
      </c>
      <c r="H107" s="146">
        <f>VLOOKUP( $A107, Aop!$A$2:$N$415, 4, 0)</f>
        <v>140</v>
      </c>
      <c r="I107" s="146">
        <f t="shared" si="15"/>
        <v>2016</v>
      </c>
      <c r="J107" s="79"/>
      <c r="K107" s="79"/>
      <c r="L107" s="79">
        <f t="shared" ca="1" si="16"/>
        <v>295594</v>
      </c>
      <c r="M107" s="79">
        <f t="shared" ca="1" si="17"/>
        <v>171408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11189511</v>
      </c>
      <c r="E108" s="146" t="str">
        <f t="shared" si="12"/>
        <v>4400893570007</v>
      </c>
      <c r="F108" s="146" t="b">
        <f t="shared" si="13"/>
        <v>0</v>
      </c>
      <c r="G108" s="190">
        <f t="shared" si="14"/>
        <v>42735</v>
      </c>
      <c r="H108" s="146">
        <f>VLOOKUP( $A108, Aop!$A$2:$N$415, 4, 0)</f>
        <v>141</v>
      </c>
      <c r="I108" s="146">
        <f t="shared" si="15"/>
        <v>2016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11189511</v>
      </c>
      <c r="E109" s="146" t="str">
        <f t="shared" si="12"/>
        <v>4400893570007</v>
      </c>
      <c r="F109" s="146" t="b">
        <f t="shared" si="13"/>
        <v>0</v>
      </c>
      <c r="G109" s="190">
        <f t="shared" si="14"/>
        <v>42735</v>
      </c>
      <c r="H109" s="146">
        <f>VLOOKUP( $A109, Aop!$A$2:$N$415, 4, 0)</f>
        <v>142</v>
      </c>
      <c r="I109" s="146">
        <f t="shared" si="15"/>
        <v>2016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11189511</v>
      </c>
      <c r="E110" s="146" t="str">
        <f t="shared" si="12"/>
        <v>4400893570007</v>
      </c>
      <c r="F110" s="146" t="b">
        <f t="shared" si="13"/>
        <v>0</v>
      </c>
      <c r="G110" s="190">
        <f t="shared" si="14"/>
        <v>42735</v>
      </c>
      <c r="H110" s="146">
        <f>VLOOKUP( $A110, Aop!$A$2:$N$415, 4, 0)</f>
        <v>143</v>
      </c>
      <c r="I110" s="146">
        <f t="shared" si="15"/>
        <v>2016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11189511</v>
      </c>
      <c r="E111" s="146" t="str">
        <f t="shared" si="12"/>
        <v>4400893570007</v>
      </c>
      <c r="F111" s="146" t="b">
        <f t="shared" si="13"/>
        <v>0</v>
      </c>
      <c r="G111" s="190">
        <f t="shared" si="14"/>
        <v>42735</v>
      </c>
      <c r="H111" s="146">
        <f>VLOOKUP( $A111, Aop!$A$2:$N$415, 4, 0)</f>
        <v>144</v>
      </c>
      <c r="I111" s="146">
        <f t="shared" si="15"/>
        <v>2016</v>
      </c>
      <c r="J111" s="79"/>
      <c r="K111" s="79"/>
      <c r="L111" s="79">
        <f t="shared" ca="1" si="16"/>
        <v>395232</v>
      </c>
      <c r="M111" s="79">
        <f t="shared" ca="1" si="17"/>
        <v>606850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11189511</v>
      </c>
      <c r="E112" s="146" t="str">
        <f t="shared" si="12"/>
        <v>4400893570007</v>
      </c>
      <c r="F112" s="146" t="b">
        <f t="shared" si="13"/>
        <v>0</v>
      </c>
      <c r="G112" s="190">
        <f t="shared" si="14"/>
        <v>42735</v>
      </c>
      <c r="H112" s="146">
        <f>VLOOKUP( $A112, Aop!$A$2:$N$415, 4, 0)</f>
        <v>145</v>
      </c>
      <c r="I112" s="146">
        <f t="shared" si="15"/>
        <v>2016</v>
      </c>
      <c r="J112" s="79"/>
      <c r="K112" s="79"/>
      <c r="L112" s="79">
        <f t="shared" ca="1" si="16"/>
        <v>232202</v>
      </c>
      <c r="M112" s="79">
        <f t="shared" ca="1" si="17"/>
        <v>393201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11189511</v>
      </c>
      <c r="E113" s="146" t="str">
        <f t="shared" si="12"/>
        <v>4400893570007</v>
      </c>
      <c r="F113" s="146" t="b">
        <f t="shared" si="13"/>
        <v>0</v>
      </c>
      <c r="G113" s="190">
        <f t="shared" si="14"/>
        <v>42735</v>
      </c>
      <c r="H113" s="146">
        <f>VLOOKUP( $A113, Aop!$A$2:$N$415, 4, 0)</f>
        <v>146</v>
      </c>
      <c r="I113" s="146">
        <f t="shared" si="15"/>
        <v>2016</v>
      </c>
      <c r="J113" s="79"/>
      <c r="K113" s="79"/>
      <c r="L113" s="79">
        <f t="shared" ca="1" si="16"/>
        <v>12202</v>
      </c>
      <c r="M113" s="79">
        <f t="shared" ca="1" si="17"/>
        <v>71201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11189511</v>
      </c>
      <c r="E114" s="146" t="str">
        <f t="shared" si="12"/>
        <v>4400893570007</v>
      </c>
      <c r="F114" s="146" t="b">
        <f t="shared" si="13"/>
        <v>0</v>
      </c>
      <c r="G114" s="190">
        <f t="shared" si="14"/>
        <v>42735</v>
      </c>
      <c r="H114" s="146">
        <f>VLOOKUP( $A114, Aop!$A$2:$N$415, 4, 0)</f>
        <v>147</v>
      </c>
      <c r="I114" s="146">
        <f t="shared" si="15"/>
        <v>2016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11189511</v>
      </c>
      <c r="E115" s="146" t="str">
        <f t="shared" si="12"/>
        <v>4400893570007</v>
      </c>
      <c r="F115" s="146" t="b">
        <f t="shared" si="13"/>
        <v>0</v>
      </c>
      <c r="G115" s="190">
        <f t="shared" si="14"/>
        <v>42735</v>
      </c>
      <c r="H115" s="146">
        <f>VLOOKUP( $A115, Aop!$A$2:$N$415, 4, 0)</f>
        <v>148</v>
      </c>
      <c r="I115" s="146">
        <f t="shared" si="15"/>
        <v>2016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11189511</v>
      </c>
      <c r="E116" s="146" t="str">
        <f t="shared" si="12"/>
        <v>4400893570007</v>
      </c>
      <c r="F116" s="146" t="b">
        <f t="shared" si="13"/>
        <v>0</v>
      </c>
      <c r="G116" s="190">
        <f t="shared" si="14"/>
        <v>42735</v>
      </c>
      <c r="H116" s="146">
        <f>VLOOKUP( $A116, Aop!$A$2:$N$415, 4, 0)</f>
        <v>149</v>
      </c>
      <c r="I116" s="146">
        <f t="shared" si="15"/>
        <v>2016</v>
      </c>
      <c r="J116" s="79"/>
      <c r="K116" s="79"/>
      <c r="L116" s="79">
        <f t="shared" ca="1" si="16"/>
        <v>220000</v>
      </c>
      <c r="M116" s="79">
        <f t="shared" ca="1" si="17"/>
        <v>322000</v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11189511</v>
      </c>
      <c r="E117" s="146" t="str">
        <f t="shared" si="12"/>
        <v>4400893570007</v>
      </c>
      <c r="F117" s="146" t="b">
        <f t="shared" si="13"/>
        <v>0</v>
      </c>
      <c r="G117" s="190">
        <f t="shared" si="14"/>
        <v>42735</v>
      </c>
      <c r="H117" s="146">
        <f>VLOOKUP( $A117, Aop!$A$2:$N$415, 4, 0)</f>
        <v>150</v>
      </c>
      <c r="I117" s="146">
        <f t="shared" si="15"/>
        <v>2016</v>
      </c>
      <c r="J117" s="79"/>
      <c r="K117" s="79"/>
      <c r="L117" s="79">
        <f t="shared" ca="1" si="16"/>
        <v>86636</v>
      </c>
      <c r="M117" s="79">
        <f t="shared" ca="1" si="17"/>
        <v>106946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11189511</v>
      </c>
      <c r="E118" s="146" t="str">
        <f t="shared" si="12"/>
        <v>4400893570007</v>
      </c>
      <c r="F118" s="146" t="b">
        <f t="shared" si="13"/>
        <v>0</v>
      </c>
      <c r="G118" s="190">
        <f t="shared" si="14"/>
        <v>42735</v>
      </c>
      <c r="H118" s="146">
        <f>VLOOKUP( $A118, Aop!$A$2:$N$415, 4, 0)</f>
        <v>151</v>
      </c>
      <c r="I118" s="146">
        <f t="shared" si="15"/>
        <v>2016</v>
      </c>
      <c r="J118" s="79"/>
      <c r="K118" s="79"/>
      <c r="L118" s="79">
        <f t="shared" ca="1" si="16"/>
        <v>0</v>
      </c>
      <c r="M118" s="79">
        <f t="shared" ca="1" si="17"/>
        <v>1364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11189511</v>
      </c>
      <c r="E119" s="146" t="str">
        <f t="shared" si="12"/>
        <v>4400893570007</v>
      </c>
      <c r="F119" s="146" t="b">
        <f t="shared" si="13"/>
        <v>0</v>
      </c>
      <c r="G119" s="190">
        <f t="shared" si="14"/>
        <v>42735</v>
      </c>
      <c r="H119" s="146">
        <f>VLOOKUP( $A119, Aop!$A$2:$N$415, 4, 0)</f>
        <v>152</v>
      </c>
      <c r="I119" s="146">
        <f t="shared" si="15"/>
        <v>2016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11189511</v>
      </c>
      <c r="E120" s="146" t="str">
        <f t="shared" si="12"/>
        <v>4400893570007</v>
      </c>
      <c r="F120" s="146" t="b">
        <f t="shared" si="13"/>
        <v>0</v>
      </c>
      <c r="G120" s="190">
        <f t="shared" si="14"/>
        <v>42735</v>
      </c>
      <c r="H120" s="146">
        <f>VLOOKUP( $A120, Aop!$A$2:$N$415, 4, 0)</f>
        <v>153</v>
      </c>
      <c r="I120" s="146">
        <f t="shared" si="15"/>
        <v>2016</v>
      </c>
      <c r="J120" s="79"/>
      <c r="K120" s="79"/>
      <c r="L120" s="79">
        <f t="shared" ca="1" si="16"/>
        <v>84560</v>
      </c>
      <c r="M120" s="79">
        <f t="shared" ca="1" si="17"/>
        <v>105130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11189511</v>
      </c>
      <c r="E121" s="146" t="str">
        <f t="shared" si="12"/>
        <v>4400893570007</v>
      </c>
      <c r="F121" s="146" t="b">
        <f t="shared" si="13"/>
        <v>0</v>
      </c>
      <c r="G121" s="190">
        <f t="shared" si="14"/>
        <v>42735</v>
      </c>
      <c r="H121" s="146">
        <f>VLOOKUP( $A121, Aop!$A$2:$N$415, 4, 0)</f>
        <v>154</v>
      </c>
      <c r="I121" s="146">
        <f t="shared" si="15"/>
        <v>2016</v>
      </c>
      <c r="J121" s="79"/>
      <c r="K121" s="79"/>
      <c r="L121" s="79">
        <f t="shared" ca="1" si="16"/>
        <v>2076</v>
      </c>
      <c r="M121" s="79">
        <f t="shared" ca="1" si="17"/>
        <v>452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11189511</v>
      </c>
      <c r="E122" s="146" t="str">
        <f t="shared" si="12"/>
        <v>4400893570007</v>
      </c>
      <c r="F122" s="146" t="b">
        <f t="shared" si="13"/>
        <v>0</v>
      </c>
      <c r="G122" s="190">
        <f t="shared" si="14"/>
        <v>42735</v>
      </c>
      <c r="H122" s="146">
        <f>VLOOKUP( $A122, Aop!$A$2:$N$415, 4, 0)</f>
        <v>155</v>
      </c>
      <c r="I122" s="146">
        <f t="shared" si="15"/>
        <v>2016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11189511</v>
      </c>
      <c r="E123" s="146" t="str">
        <f t="shared" si="12"/>
        <v>4400893570007</v>
      </c>
      <c r="F123" s="146" t="b">
        <f t="shared" si="13"/>
        <v>0</v>
      </c>
      <c r="G123" s="190">
        <f t="shared" si="14"/>
        <v>42735</v>
      </c>
      <c r="H123" s="146">
        <f>VLOOKUP( $A123, Aop!$A$2:$N$415, 4, 0)</f>
        <v>156</v>
      </c>
      <c r="I123" s="146">
        <f t="shared" si="15"/>
        <v>2016</v>
      </c>
      <c r="J123" s="79"/>
      <c r="K123" s="79"/>
      <c r="L123" s="79">
        <f t="shared" ca="1" si="16"/>
        <v>49074</v>
      </c>
      <c r="M123" s="79">
        <f t="shared" ca="1" si="17"/>
        <v>72393</v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11189511</v>
      </c>
      <c r="E124" s="146" t="str">
        <f t="shared" si="12"/>
        <v>4400893570007</v>
      </c>
      <c r="F124" s="146" t="b">
        <f t="shared" si="13"/>
        <v>0</v>
      </c>
      <c r="G124" s="190">
        <f t="shared" si="14"/>
        <v>42735</v>
      </c>
      <c r="H124" s="146">
        <f>VLOOKUP( $A124, Aop!$A$2:$N$415, 4, 0)</f>
        <v>157</v>
      </c>
      <c r="I124" s="146">
        <f t="shared" si="15"/>
        <v>2016</v>
      </c>
      <c r="J124" s="79"/>
      <c r="K124" s="79"/>
      <c r="L124" s="79" t="str">
        <f t="shared" ca="1" si="16"/>
        <v/>
      </c>
      <c r="M124" s="79">
        <f t="shared" ca="1" si="17"/>
        <v>951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11189511</v>
      </c>
      <c r="E125" s="146" t="str">
        <f t="shared" si="12"/>
        <v>4400893570007</v>
      </c>
      <c r="F125" s="146" t="b">
        <f t="shared" si="13"/>
        <v>0</v>
      </c>
      <c r="G125" s="190">
        <f t="shared" si="14"/>
        <v>42735</v>
      </c>
      <c r="H125" s="146">
        <f>VLOOKUP( $A125, Aop!$A$2:$N$415, 4, 0)</f>
        <v>158</v>
      </c>
      <c r="I125" s="146">
        <f t="shared" si="15"/>
        <v>2016</v>
      </c>
      <c r="J125" s="79"/>
      <c r="K125" s="79"/>
      <c r="L125" s="79">
        <f t="shared" ca="1" si="16"/>
        <v>14011</v>
      </c>
      <c r="M125" s="79">
        <f t="shared" ca="1" si="17"/>
        <v>19114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11189511</v>
      </c>
      <c r="E126" s="146" t="str">
        <f t="shared" si="12"/>
        <v>4400893570007</v>
      </c>
      <c r="F126" s="146" t="b">
        <f t="shared" si="13"/>
        <v>0</v>
      </c>
      <c r="G126" s="190">
        <f t="shared" si="14"/>
        <v>42735</v>
      </c>
      <c r="H126" s="146">
        <f>VLOOKUP( $A126, Aop!$A$2:$N$415, 4, 0)</f>
        <v>159</v>
      </c>
      <c r="I126" s="146">
        <f t="shared" si="15"/>
        <v>2016</v>
      </c>
      <c r="J126" s="79"/>
      <c r="K126" s="79"/>
      <c r="L126" s="79">
        <f t="shared" ca="1" si="16"/>
        <v>2946</v>
      </c>
      <c r="M126" s="79">
        <f t="shared" ca="1" si="17"/>
        <v>809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11189511</v>
      </c>
      <c r="E127" s="146" t="str">
        <f t="shared" si="12"/>
        <v>4400893570007</v>
      </c>
      <c r="F127" s="146" t="b">
        <f t="shared" si="13"/>
        <v>0</v>
      </c>
      <c r="G127" s="190">
        <f t="shared" si="14"/>
        <v>42735</v>
      </c>
      <c r="H127" s="146">
        <f>VLOOKUP( $A127, Aop!$A$2:$N$415, 4, 0)</f>
        <v>160</v>
      </c>
      <c r="I127" s="146">
        <f t="shared" si="15"/>
        <v>2016</v>
      </c>
      <c r="J127" s="79"/>
      <c r="K127" s="79"/>
      <c r="L127" s="79">
        <f t="shared" ca="1" si="16"/>
        <v>3687</v>
      </c>
      <c r="M127" s="79">
        <f t="shared" ca="1" si="17"/>
        <v>13436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11189511</v>
      </c>
      <c r="E128" s="79" t="str">
        <f>Podatak_JIB</f>
        <v>4400893570007</v>
      </c>
      <c r="F128" s="79" t="b">
        <f>Konsolidovan_izvjestaj</f>
        <v>0</v>
      </c>
      <c r="G128" s="190">
        <f>Datum_Broj</f>
        <v>42735</v>
      </c>
      <c r="H128" s="79">
        <f>VLOOKUP( $A128, Aop!$A$2:$N$415, 4, 0)</f>
        <v>161</v>
      </c>
      <c r="I128" s="79">
        <f>Godina</f>
        <v>2016</v>
      </c>
      <c r="J128" s="79"/>
      <c r="K128" s="79"/>
      <c r="L128" s="79">
        <f ca="1">IF(VLOOKUP($H128,INDIRECT("Lookup_"&amp;$B128),IF($B128="BS",R$2,R$1),0)="","",VLOOKUP($H128,INDIRECT("Lookup_"&amp;$B128),IF($B128="BS",R$2,R$1),0))</f>
        <v>6676</v>
      </c>
      <c r="M128" s="79">
        <f ca="1">IF(VLOOKUP($H128,INDIRECT("Lookup_"&amp;$B128),IF($B128="BS",S$2,S$1),0)="","",VLOOKUP($H128,INDIRECT("Lookup_"&amp;$B128),IF($B128="BS",S$2,S$1),0))</f>
        <v>0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11189511</v>
      </c>
      <c r="E129" s="79" t="str">
        <f t="shared" ref="E129:E188" si="19">Podatak_JIB</f>
        <v>4400893570007</v>
      </c>
      <c r="F129" s="79" t="b">
        <f t="shared" si="13"/>
        <v>0</v>
      </c>
      <c r="G129" s="190">
        <f t="shared" si="14"/>
        <v>42735</v>
      </c>
      <c r="H129" s="146">
        <f>VLOOKUP( $A129, Aop!$A$2:$N$415, 4, 0)</f>
        <v>162</v>
      </c>
      <c r="I129" s="79">
        <f t="shared" ref="I129:I188" si="20">Godina</f>
        <v>2016</v>
      </c>
      <c r="J129" s="79"/>
      <c r="K129" s="79"/>
      <c r="L129" s="79" t="str">
        <f t="shared" ca="1" si="16"/>
        <v/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11189511</v>
      </c>
      <c r="E130" s="79" t="str">
        <f t="shared" si="19"/>
        <v>4400893570007</v>
      </c>
      <c r="F130" s="79" t="b">
        <f t="shared" ref="F130:F189" si="22">Konsolidovan_izvjestaj</f>
        <v>0</v>
      </c>
      <c r="G130" s="190">
        <f t="shared" ref="G130:G189" si="23">Datum_Broj</f>
        <v>42735</v>
      </c>
      <c r="H130" s="146">
        <f>VLOOKUP( $A130, Aop!$A$2:$N$415, 4, 0)</f>
        <v>163</v>
      </c>
      <c r="I130" s="79">
        <f t="shared" si="20"/>
        <v>2016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11189511</v>
      </c>
      <c r="E131" s="79" t="str">
        <f t="shared" si="19"/>
        <v>4400893570007</v>
      </c>
      <c r="F131" s="79" t="b">
        <f t="shared" si="22"/>
        <v>0</v>
      </c>
      <c r="G131" s="190">
        <f t="shared" si="23"/>
        <v>42735</v>
      </c>
      <c r="H131" s="146">
        <f>VLOOKUP( $A131, Aop!$A$2:$N$415, 4, 0)</f>
        <v>164</v>
      </c>
      <c r="I131" s="79">
        <f t="shared" si="20"/>
        <v>2016</v>
      </c>
      <c r="J131" s="79"/>
      <c r="K131" s="79"/>
      <c r="L131" s="79">
        <f t="shared" ca="1" si="24"/>
        <v>2937378</v>
      </c>
      <c r="M131" s="79">
        <f t="shared" ca="1" si="25"/>
        <v>2935048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11189511</v>
      </c>
      <c r="E132" s="79" t="str">
        <f t="shared" si="19"/>
        <v>4400893570007</v>
      </c>
      <c r="F132" s="79" t="b">
        <f t="shared" si="22"/>
        <v>0</v>
      </c>
      <c r="G132" s="190">
        <f t="shared" si="23"/>
        <v>42735</v>
      </c>
      <c r="H132" s="146">
        <f>VLOOKUP( $A132, Aop!$A$2:$N$415, 4, 0)</f>
        <v>165</v>
      </c>
      <c r="I132" s="79">
        <f t="shared" si="20"/>
        <v>2016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11189511</v>
      </c>
      <c r="E133" s="79" t="str">
        <f t="shared" si="19"/>
        <v>4400893570007</v>
      </c>
      <c r="F133" s="79" t="b">
        <f t="shared" si="22"/>
        <v>0</v>
      </c>
      <c r="G133" s="190">
        <f t="shared" si="23"/>
        <v>42735</v>
      </c>
      <c r="H133" s="146">
        <f>VLOOKUP( $A133, Aop!$A$2:$N$415, 4, 0)</f>
        <v>166</v>
      </c>
      <c r="I133" s="79">
        <f t="shared" si="20"/>
        <v>2016</v>
      </c>
      <c r="J133" s="79"/>
      <c r="K133" s="79"/>
      <c r="L133" s="79">
        <f t="shared" ca="1" si="24"/>
        <v>2937378</v>
      </c>
      <c r="M133" s="79">
        <f t="shared" ca="1" si="25"/>
        <v>2935048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11189511</v>
      </c>
      <c r="E134" s="79" t="str">
        <f t="shared" si="19"/>
        <v>4400893570007</v>
      </c>
      <c r="F134" s="79" t="b">
        <f t="shared" si="22"/>
        <v>0</v>
      </c>
      <c r="G134" s="190">
        <f t="shared" si="23"/>
        <v>42735</v>
      </c>
      <c r="H134" s="146">
        <f>VLOOKUP( $A134, Aop!$A$2:$N$415, 4, 0)</f>
        <v>201</v>
      </c>
      <c r="I134" s="79">
        <f t="shared" si="20"/>
        <v>2016</v>
      </c>
      <c r="J134" s="79"/>
      <c r="K134" s="79"/>
      <c r="L134" s="79">
        <f t="shared" ca="1" si="24"/>
        <v>265145</v>
      </c>
      <c r="M134" s="79">
        <f t="shared" ca="1" si="25"/>
        <v>246854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11189511</v>
      </c>
      <c r="E135" s="79" t="str">
        <f t="shared" si="19"/>
        <v>4400893570007</v>
      </c>
      <c r="F135" s="79" t="b">
        <f t="shared" si="22"/>
        <v>0</v>
      </c>
      <c r="G135" s="190">
        <f t="shared" si="23"/>
        <v>42735</v>
      </c>
      <c r="H135" s="146">
        <f>VLOOKUP( $A135, Aop!$A$2:$N$415, 4, 0)</f>
        <v>202</v>
      </c>
      <c r="I135" s="79">
        <f t="shared" si="20"/>
        <v>2016</v>
      </c>
      <c r="J135" s="79"/>
      <c r="K135" s="79"/>
      <c r="L135" s="79">
        <f t="shared" ca="1" si="24"/>
        <v>0</v>
      </c>
      <c r="M135" s="79">
        <f t="shared" ca="1" si="25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11189511</v>
      </c>
      <c r="E136" s="79" t="str">
        <f t="shared" si="19"/>
        <v>4400893570007</v>
      </c>
      <c r="F136" s="79" t="b">
        <f t="shared" si="22"/>
        <v>0</v>
      </c>
      <c r="G136" s="190">
        <f t="shared" si="23"/>
        <v>42735</v>
      </c>
      <c r="H136" s="146">
        <f>VLOOKUP( $A136, Aop!$A$2:$N$415, 4, 0)</f>
        <v>203</v>
      </c>
      <c r="I136" s="79">
        <f t="shared" si="20"/>
        <v>2016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11189511</v>
      </c>
      <c r="E137" s="79" t="str">
        <f t="shared" si="19"/>
        <v>4400893570007</v>
      </c>
      <c r="F137" s="79" t="b">
        <f t="shared" si="22"/>
        <v>0</v>
      </c>
      <c r="G137" s="190">
        <f t="shared" si="23"/>
        <v>42735</v>
      </c>
      <c r="H137" s="146">
        <f>VLOOKUP( $A137, Aop!$A$2:$N$415, 4, 0)</f>
        <v>204</v>
      </c>
      <c r="I137" s="79">
        <f t="shared" si="20"/>
        <v>2016</v>
      </c>
      <c r="J137" s="79"/>
      <c r="K137" s="79"/>
      <c r="L137" s="79" t="str">
        <f t="shared" ca="1" si="24"/>
        <v/>
      </c>
      <c r="M137" s="79" t="str">
        <f t="shared" ca="1" si="25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11189511</v>
      </c>
      <c r="E138" s="79" t="str">
        <f t="shared" si="19"/>
        <v>4400893570007</v>
      </c>
      <c r="F138" s="79" t="b">
        <f t="shared" si="22"/>
        <v>0</v>
      </c>
      <c r="G138" s="190">
        <f t="shared" si="23"/>
        <v>42735</v>
      </c>
      <c r="H138" s="146">
        <f>VLOOKUP( $A138, Aop!$A$2:$N$415, 4, 0)</f>
        <v>205</v>
      </c>
      <c r="I138" s="79">
        <f t="shared" si="20"/>
        <v>2016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11189511</v>
      </c>
      <c r="E139" s="79" t="str">
        <f t="shared" si="19"/>
        <v>4400893570007</v>
      </c>
      <c r="F139" s="79" t="b">
        <f t="shared" si="22"/>
        <v>0</v>
      </c>
      <c r="G139" s="190">
        <f t="shared" si="23"/>
        <v>42735</v>
      </c>
      <c r="H139" s="146">
        <f>VLOOKUP( $A139, Aop!$A$2:$N$415, 4, 0)</f>
        <v>206</v>
      </c>
      <c r="I139" s="79">
        <f t="shared" si="20"/>
        <v>2016</v>
      </c>
      <c r="J139" s="79"/>
      <c r="K139" s="79"/>
      <c r="L139" s="79">
        <f t="shared" ca="1" si="24"/>
        <v>0</v>
      </c>
      <c r="M139" s="79">
        <f t="shared" ca="1" si="25"/>
        <v>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11189511</v>
      </c>
      <c r="E140" s="79" t="str">
        <f t="shared" si="19"/>
        <v>4400893570007</v>
      </c>
      <c r="F140" s="79" t="b">
        <f t="shared" si="22"/>
        <v>0</v>
      </c>
      <c r="G140" s="190">
        <f t="shared" si="23"/>
        <v>42735</v>
      </c>
      <c r="H140" s="146">
        <f>VLOOKUP( $A140, Aop!$A$2:$N$415, 4, 0)</f>
        <v>207</v>
      </c>
      <c r="I140" s="79">
        <f t="shared" si="20"/>
        <v>2016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11189511</v>
      </c>
      <c r="E141" s="79" t="str">
        <f t="shared" si="19"/>
        <v>4400893570007</v>
      </c>
      <c r="F141" s="79" t="b">
        <f t="shared" si="22"/>
        <v>0</v>
      </c>
      <c r="G141" s="190">
        <f t="shared" si="23"/>
        <v>42735</v>
      </c>
      <c r="H141" s="146">
        <f>VLOOKUP( $A141, Aop!$A$2:$N$415, 4, 0)</f>
        <v>208</v>
      </c>
      <c r="I141" s="79">
        <f t="shared" si="20"/>
        <v>2016</v>
      </c>
      <c r="J141" s="79"/>
      <c r="K141" s="79"/>
      <c r="L141" s="79" t="str">
        <f t="shared" ca="1" si="24"/>
        <v/>
      </c>
      <c r="M141" s="79" t="str">
        <f t="shared" ca="1" si="25"/>
        <v/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11189511</v>
      </c>
      <c r="E142" s="79" t="str">
        <f t="shared" si="19"/>
        <v>4400893570007</v>
      </c>
      <c r="F142" s="79" t="b">
        <f t="shared" si="22"/>
        <v>0</v>
      </c>
      <c r="G142" s="190">
        <f t="shared" si="23"/>
        <v>42735</v>
      </c>
      <c r="H142" s="146">
        <f>VLOOKUP( $A142, Aop!$A$2:$N$415, 4, 0)</f>
        <v>209</v>
      </c>
      <c r="I142" s="79">
        <f t="shared" si="20"/>
        <v>2016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11189511</v>
      </c>
      <c r="E143" s="79" t="str">
        <f t="shared" si="19"/>
        <v>4400893570007</v>
      </c>
      <c r="F143" s="79" t="b">
        <f t="shared" si="22"/>
        <v>0</v>
      </c>
      <c r="G143" s="190">
        <f t="shared" si="23"/>
        <v>42735</v>
      </c>
      <c r="H143" s="146">
        <f>VLOOKUP( $A143, Aop!$A$2:$N$415, 4, 0)</f>
        <v>210</v>
      </c>
      <c r="I143" s="79">
        <f t="shared" si="20"/>
        <v>2016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11189511</v>
      </c>
      <c r="E144" s="79" t="str">
        <f t="shared" si="19"/>
        <v>4400893570007</v>
      </c>
      <c r="F144" s="79" t="b">
        <f t="shared" si="22"/>
        <v>0</v>
      </c>
      <c r="G144" s="190">
        <f t="shared" si="23"/>
        <v>42735</v>
      </c>
      <c r="H144" s="146">
        <f>VLOOKUP( $A144, Aop!$A$2:$N$415, 4, 0)</f>
        <v>211</v>
      </c>
      <c r="I144" s="79">
        <f t="shared" si="20"/>
        <v>2016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11189511</v>
      </c>
      <c r="E145" s="79" t="str">
        <f t="shared" si="19"/>
        <v>4400893570007</v>
      </c>
      <c r="F145" s="79" t="b">
        <f t="shared" si="22"/>
        <v>0</v>
      </c>
      <c r="G145" s="190">
        <f t="shared" si="23"/>
        <v>42735</v>
      </c>
      <c r="H145" s="146">
        <f>VLOOKUP( $A145, Aop!$A$2:$N$415, 4, 0)</f>
        <v>212</v>
      </c>
      <c r="I145" s="79">
        <f t="shared" si="20"/>
        <v>2016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11189511</v>
      </c>
      <c r="E146" s="79" t="str">
        <f t="shared" si="19"/>
        <v>4400893570007</v>
      </c>
      <c r="F146" s="79" t="b">
        <f t="shared" si="22"/>
        <v>0</v>
      </c>
      <c r="G146" s="190">
        <f t="shared" si="23"/>
        <v>42735</v>
      </c>
      <c r="H146" s="146">
        <f>VLOOKUP( $A146, Aop!$A$2:$N$415, 4, 0)</f>
        <v>213</v>
      </c>
      <c r="I146" s="79">
        <f t="shared" si="20"/>
        <v>2016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11189511</v>
      </c>
      <c r="E147" s="79" t="str">
        <f t="shared" si="19"/>
        <v>4400893570007</v>
      </c>
      <c r="F147" s="79" t="b">
        <f t="shared" si="22"/>
        <v>0</v>
      </c>
      <c r="G147" s="190">
        <f t="shared" si="23"/>
        <v>42735</v>
      </c>
      <c r="H147" s="146">
        <f>VLOOKUP( $A147, Aop!$A$2:$N$415, 4, 0)</f>
        <v>214</v>
      </c>
      <c r="I147" s="79">
        <f t="shared" si="20"/>
        <v>2016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11189511</v>
      </c>
      <c r="E148" s="79" t="str">
        <f t="shared" si="19"/>
        <v>4400893570007</v>
      </c>
      <c r="F148" s="79" t="b">
        <f t="shared" si="22"/>
        <v>0</v>
      </c>
      <c r="G148" s="190">
        <f t="shared" si="23"/>
        <v>42735</v>
      </c>
      <c r="H148" s="146">
        <f>VLOOKUP( $A148, Aop!$A$2:$N$415, 4, 0)</f>
        <v>215</v>
      </c>
      <c r="I148" s="79">
        <f t="shared" si="20"/>
        <v>2016</v>
      </c>
      <c r="J148" s="79"/>
      <c r="K148" s="79"/>
      <c r="L148" s="79">
        <f t="shared" ca="1" si="24"/>
        <v>265145</v>
      </c>
      <c r="M148" s="79">
        <f t="shared" ca="1" si="25"/>
        <v>246854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11189511</v>
      </c>
      <c r="E149" s="79" t="str">
        <f t="shared" si="19"/>
        <v>4400893570007</v>
      </c>
      <c r="F149" s="79" t="b">
        <f t="shared" si="22"/>
        <v>0</v>
      </c>
      <c r="G149" s="190">
        <f t="shared" si="23"/>
        <v>42735</v>
      </c>
      <c r="H149" s="146">
        <f>VLOOKUP( $A149, Aop!$A$2:$N$415, 4, 0)</f>
        <v>216</v>
      </c>
      <c r="I149" s="79">
        <f t="shared" si="20"/>
        <v>2016</v>
      </c>
      <c r="J149" s="79"/>
      <c r="K149" s="79"/>
      <c r="L149" s="79">
        <f t="shared" ca="1" si="24"/>
        <v>172985</v>
      </c>
      <c r="M149" s="79">
        <f t="shared" ca="1" si="25"/>
        <v>134329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11189511</v>
      </c>
      <c r="E150" s="79" t="str">
        <f t="shared" si="19"/>
        <v>4400893570007</v>
      </c>
      <c r="F150" s="79" t="b">
        <f t="shared" si="22"/>
        <v>0</v>
      </c>
      <c r="G150" s="190">
        <f t="shared" si="23"/>
        <v>42735</v>
      </c>
      <c r="H150" s="146">
        <f>VLOOKUP( $A150, Aop!$A$2:$N$415, 4, 0)</f>
        <v>217</v>
      </c>
      <c r="I150" s="79">
        <f t="shared" si="20"/>
        <v>2016</v>
      </c>
      <c r="J150" s="79"/>
      <c r="K150" s="79"/>
      <c r="L150" s="79" t="str">
        <f t="shared" ca="1" si="24"/>
        <v/>
      </c>
      <c r="M150" s="79" t="str">
        <f t="shared" ca="1" si="25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11189511</v>
      </c>
      <c r="E151" s="79" t="str">
        <f t="shared" si="19"/>
        <v>4400893570007</v>
      </c>
      <c r="F151" s="79" t="b">
        <f t="shared" si="22"/>
        <v>0</v>
      </c>
      <c r="G151" s="190">
        <f t="shared" si="23"/>
        <v>42735</v>
      </c>
      <c r="H151" s="146">
        <f>VLOOKUP( $A151, Aop!$A$2:$N$415, 4, 0)</f>
        <v>218</v>
      </c>
      <c r="I151" s="79">
        <f t="shared" si="20"/>
        <v>2016</v>
      </c>
      <c r="J151" s="79"/>
      <c r="K151" s="79"/>
      <c r="L151" s="79">
        <f t="shared" ca="1" si="24"/>
        <v>7465</v>
      </c>
      <c r="M151" s="79">
        <f t="shared" ca="1" si="25"/>
        <v>1376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11189511</v>
      </c>
      <c r="E152" s="79" t="str">
        <f t="shared" si="19"/>
        <v>4400893570007</v>
      </c>
      <c r="F152" s="79" t="b">
        <f t="shared" si="22"/>
        <v>0</v>
      </c>
      <c r="G152" s="190">
        <f t="shared" si="23"/>
        <v>42735</v>
      </c>
      <c r="H152" s="146">
        <f>VLOOKUP( $A152, Aop!$A$2:$N$415, 4, 0)</f>
        <v>219</v>
      </c>
      <c r="I152" s="79">
        <f t="shared" si="20"/>
        <v>2016</v>
      </c>
      <c r="J152" s="79"/>
      <c r="K152" s="79"/>
      <c r="L152" s="79">
        <f t="shared" ca="1" si="24"/>
        <v>1859</v>
      </c>
      <c r="M152" s="79">
        <f t="shared" ca="1" si="25"/>
        <v>37050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11189511</v>
      </c>
      <c r="E153" s="79" t="str">
        <f t="shared" si="19"/>
        <v>4400893570007</v>
      </c>
      <c r="F153" s="79" t="b">
        <f t="shared" si="22"/>
        <v>0</v>
      </c>
      <c r="G153" s="190">
        <f t="shared" si="23"/>
        <v>42735</v>
      </c>
      <c r="H153" s="146">
        <f>VLOOKUP( $A153, Aop!$A$2:$N$415, 4, 0)</f>
        <v>220</v>
      </c>
      <c r="I153" s="79">
        <f t="shared" si="20"/>
        <v>2016</v>
      </c>
      <c r="J153" s="79"/>
      <c r="K153" s="79"/>
      <c r="L153" s="79">
        <f t="shared" ca="1" si="24"/>
        <v>0</v>
      </c>
      <c r="M153" s="79">
        <f t="shared" ca="1" si="25"/>
        <v>27112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11189511</v>
      </c>
      <c r="E154" s="79" t="str">
        <f t="shared" si="19"/>
        <v>4400893570007</v>
      </c>
      <c r="F154" s="79" t="b">
        <f t="shared" si="22"/>
        <v>0</v>
      </c>
      <c r="G154" s="190">
        <f t="shared" si="23"/>
        <v>42735</v>
      </c>
      <c r="H154" s="146">
        <f>VLOOKUP( $A154, Aop!$A$2:$N$415, 4, 0)</f>
        <v>221</v>
      </c>
      <c r="I154" s="79">
        <f t="shared" si="20"/>
        <v>2016</v>
      </c>
      <c r="J154" s="79"/>
      <c r="K154" s="79"/>
      <c r="L154" s="79">
        <f t="shared" ca="1" si="24"/>
        <v>1859</v>
      </c>
      <c r="M154" s="79">
        <f t="shared" ca="1" si="25"/>
        <v>9938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11189511</v>
      </c>
      <c r="E155" s="79" t="str">
        <f t="shared" si="19"/>
        <v>4400893570007</v>
      </c>
      <c r="F155" s="79" t="b">
        <f t="shared" si="22"/>
        <v>0</v>
      </c>
      <c r="G155" s="190">
        <f t="shared" si="23"/>
        <v>42735</v>
      </c>
      <c r="H155" s="146">
        <f>VLOOKUP( $A155, Aop!$A$2:$N$415, 4, 0)</f>
        <v>222</v>
      </c>
      <c r="I155" s="79">
        <f t="shared" si="20"/>
        <v>2016</v>
      </c>
      <c r="J155" s="79"/>
      <c r="K155" s="79"/>
      <c r="L155" s="79">
        <f t="shared" ca="1" si="24"/>
        <v>72008</v>
      </c>
      <c r="M155" s="79">
        <f t="shared" ca="1" si="25"/>
        <v>13770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11189511</v>
      </c>
      <c r="E156" s="79" t="str">
        <f t="shared" si="19"/>
        <v>4400893570007</v>
      </c>
      <c r="F156" s="79" t="b">
        <f t="shared" si="22"/>
        <v>0</v>
      </c>
      <c r="G156" s="190">
        <f t="shared" si="23"/>
        <v>42735</v>
      </c>
      <c r="H156" s="146">
        <f>VLOOKUP( $A156, Aop!$A$2:$N$415, 4, 0)</f>
        <v>223</v>
      </c>
      <c r="I156" s="79">
        <f t="shared" si="20"/>
        <v>2016</v>
      </c>
      <c r="J156" s="79"/>
      <c r="K156" s="79"/>
      <c r="L156" s="79">
        <f t="shared" ca="1" si="24"/>
        <v>35329</v>
      </c>
      <c r="M156" s="79">
        <f t="shared" ca="1" si="25"/>
        <v>30280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11189511</v>
      </c>
      <c r="E157" s="79" t="str">
        <f>Podatak_JIB</f>
        <v>4400893570007</v>
      </c>
      <c r="F157" s="79" t="b">
        <f>Konsolidovan_izvjestaj</f>
        <v>0</v>
      </c>
      <c r="G157" s="190">
        <f>Datum_Broj</f>
        <v>42735</v>
      </c>
      <c r="H157" s="79">
        <f>VLOOKUP( $A157, Aop!$A$2:$N$415, 4, 0)</f>
        <v>224</v>
      </c>
      <c r="I157" s="79">
        <f>Godina</f>
        <v>2016</v>
      </c>
      <c r="J157" s="79"/>
      <c r="K157" s="79"/>
      <c r="L157" s="79">
        <f ca="1">IF(VLOOKUP($H157,INDIRECT("Lookup_"&amp;$B157),IF($B157="BS",R$2,R$1),0)="","",VLOOKUP($H157,INDIRECT("Lookup_"&amp;$B157),IF($B157="BS",R$2,R$1),0))</f>
        <v>35329</v>
      </c>
      <c r="M157" s="79">
        <f ca="1">IF(VLOOKUP($H157,INDIRECT("Lookup_"&amp;$B157),IF($B157="BS",S$2,S$1),0)="","",VLOOKUP($H157,INDIRECT("Lookup_"&amp;$B157),IF($B157="BS",S$2,S$1),0))</f>
        <v>30280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11189511</v>
      </c>
      <c r="E158" s="79" t="str">
        <f t="shared" si="19"/>
        <v>4400893570007</v>
      </c>
      <c r="F158" s="79" t="b">
        <f t="shared" si="22"/>
        <v>0</v>
      </c>
      <c r="G158" s="190">
        <f t="shared" si="23"/>
        <v>42735</v>
      </c>
      <c r="H158" s="146">
        <f>VLOOKUP( $A158, Aop!$A$2:$N$415, 4, 0)</f>
        <v>225</v>
      </c>
      <c r="I158" s="79">
        <f t="shared" si="20"/>
        <v>2016</v>
      </c>
      <c r="J158" s="79"/>
      <c r="K158" s="79"/>
      <c r="L158" s="79">
        <f t="shared" ca="1" si="24"/>
        <v>0</v>
      </c>
      <c r="M158" s="79">
        <f t="shared" ca="1" si="25"/>
        <v>0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11189511</v>
      </c>
      <c r="E159" s="79" t="str">
        <f t="shared" si="19"/>
        <v>4400893570007</v>
      </c>
      <c r="F159" s="79" t="b">
        <f t="shared" si="22"/>
        <v>0</v>
      </c>
      <c r="G159" s="190">
        <f t="shared" si="23"/>
        <v>42735</v>
      </c>
      <c r="H159" s="146">
        <f>VLOOKUP( $A159, Aop!$A$2:$N$415, 4, 0)</f>
        <v>226</v>
      </c>
      <c r="I159" s="79">
        <f t="shared" si="20"/>
        <v>2016</v>
      </c>
      <c r="J159" s="79"/>
      <c r="K159" s="79"/>
      <c r="L159" s="79">
        <f t="shared" ca="1" si="24"/>
        <v>46685</v>
      </c>
      <c r="M159" s="79">
        <f t="shared" ca="1" si="25"/>
        <v>43777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11189511</v>
      </c>
      <c r="E160" s="79" t="str">
        <f t="shared" si="19"/>
        <v>4400893570007</v>
      </c>
      <c r="F160" s="79" t="b">
        <f t="shared" si="22"/>
        <v>0</v>
      </c>
      <c r="G160" s="190">
        <f t="shared" si="23"/>
        <v>42735</v>
      </c>
      <c r="H160" s="146">
        <f>VLOOKUP( $A160, Aop!$A$2:$N$415, 4, 0)</f>
        <v>227</v>
      </c>
      <c r="I160" s="79">
        <f t="shared" si="20"/>
        <v>2016</v>
      </c>
      <c r="J160" s="79"/>
      <c r="K160" s="79"/>
      <c r="L160" s="79">
        <f t="shared" ca="1" si="24"/>
        <v>9639</v>
      </c>
      <c r="M160" s="79">
        <f t="shared" ca="1" si="25"/>
        <v>7864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11189511</v>
      </c>
      <c r="E161" s="79" t="str">
        <f t="shared" si="19"/>
        <v>4400893570007</v>
      </c>
      <c r="F161" s="79" t="b">
        <f t="shared" si="22"/>
        <v>0</v>
      </c>
      <c r="G161" s="190">
        <f t="shared" si="23"/>
        <v>42735</v>
      </c>
      <c r="H161" s="146">
        <f>VLOOKUP( $A161, Aop!$A$2:$N$415, 4, 0)</f>
        <v>228</v>
      </c>
      <c r="I161" s="79">
        <f t="shared" si="20"/>
        <v>2016</v>
      </c>
      <c r="J161" s="79"/>
      <c r="K161" s="79"/>
      <c r="L161" s="79">
        <f t="shared" ca="1" si="24"/>
        <v>0</v>
      </c>
      <c r="M161" s="79">
        <f t="shared" ca="1" si="25"/>
        <v>212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11189511</v>
      </c>
      <c r="E162" s="79" t="str">
        <f t="shared" si="19"/>
        <v>4400893570007</v>
      </c>
      <c r="F162" s="79" t="b">
        <f t="shared" si="22"/>
        <v>0</v>
      </c>
      <c r="G162" s="190">
        <f t="shared" si="23"/>
        <v>42735</v>
      </c>
      <c r="H162" s="146">
        <f>VLOOKUP( $A162, Aop!$A$2:$N$415, 4, 0)</f>
        <v>229</v>
      </c>
      <c r="I162" s="79">
        <f t="shared" si="20"/>
        <v>2016</v>
      </c>
      <c r="J162" s="79"/>
      <c r="K162" s="79"/>
      <c r="L162" s="79">
        <f t="shared" ca="1" si="24"/>
        <v>92160</v>
      </c>
      <c r="M162" s="79">
        <f t="shared" ca="1" si="25"/>
        <v>112525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11189511</v>
      </c>
      <c r="E163" s="79" t="str">
        <f t="shared" si="19"/>
        <v>4400893570007</v>
      </c>
      <c r="F163" s="79" t="b">
        <f t="shared" si="22"/>
        <v>0</v>
      </c>
      <c r="G163" s="190">
        <f t="shared" si="23"/>
        <v>42735</v>
      </c>
      <c r="H163" s="146">
        <f>VLOOKUP( $A163, Aop!$A$2:$N$415, 4, 0)</f>
        <v>230</v>
      </c>
      <c r="I163" s="79">
        <f t="shared" si="20"/>
        <v>2016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11189511</v>
      </c>
      <c r="E164" s="79" t="str">
        <f t="shared" si="19"/>
        <v>4400893570007</v>
      </c>
      <c r="F164" s="79" t="b">
        <f t="shared" si="22"/>
        <v>0</v>
      </c>
      <c r="G164" s="190">
        <f t="shared" si="23"/>
        <v>42735</v>
      </c>
      <c r="H164" s="146">
        <f>VLOOKUP( $A164, Aop!$A$2:$N$415, 4, 0)</f>
        <v>231</v>
      </c>
      <c r="I164" s="79">
        <f t="shared" si="20"/>
        <v>2016</v>
      </c>
      <c r="J164" s="79"/>
      <c r="K164" s="79"/>
      <c r="L164" s="79">
        <f t="shared" ca="1" si="24"/>
        <v>51</v>
      </c>
      <c r="M164" s="79">
        <f t="shared" ca="1" si="25"/>
        <v>3670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11189511</v>
      </c>
      <c r="E165" s="79" t="str">
        <f t="shared" si="19"/>
        <v>4400893570007</v>
      </c>
      <c r="F165" s="79" t="b">
        <f t="shared" si="22"/>
        <v>0</v>
      </c>
      <c r="G165" s="190">
        <f t="shared" si="23"/>
        <v>42735</v>
      </c>
      <c r="H165" s="146">
        <f>VLOOKUP( $A165, Aop!$A$2:$N$415, 4, 0)</f>
        <v>232</v>
      </c>
      <c r="I165" s="79">
        <f t="shared" si="20"/>
        <v>2016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11189511</v>
      </c>
      <c r="E166" s="79" t="str">
        <f t="shared" si="19"/>
        <v>4400893570007</v>
      </c>
      <c r="F166" s="79" t="b">
        <f t="shared" si="22"/>
        <v>0</v>
      </c>
      <c r="G166" s="190">
        <f t="shared" si="23"/>
        <v>42735</v>
      </c>
      <c r="H166" s="146">
        <f>VLOOKUP( $A166, Aop!$A$2:$N$415, 4, 0)</f>
        <v>233</v>
      </c>
      <c r="I166" s="79">
        <f t="shared" si="20"/>
        <v>2016</v>
      </c>
      <c r="J166" s="79"/>
      <c r="K166" s="79"/>
      <c r="L166" s="79" t="str">
        <f t="shared" ca="1" si="24"/>
        <v/>
      </c>
      <c r="M166" s="79" t="str">
        <f t="shared" ca="1" si="25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11189511</v>
      </c>
      <c r="E167" s="79" t="str">
        <f t="shared" si="19"/>
        <v>4400893570007</v>
      </c>
      <c r="F167" s="79" t="b">
        <f t="shared" si="22"/>
        <v>0</v>
      </c>
      <c r="G167" s="190">
        <f t="shared" si="23"/>
        <v>42735</v>
      </c>
      <c r="H167" s="146">
        <f>VLOOKUP( $A167, Aop!$A$2:$N$415, 4, 0)</f>
        <v>234</v>
      </c>
      <c r="I167" s="79">
        <f t="shared" si="20"/>
        <v>2016</v>
      </c>
      <c r="J167" s="79"/>
      <c r="K167" s="79"/>
      <c r="L167" s="79">
        <f t="shared" ca="1" si="24"/>
        <v>51</v>
      </c>
      <c r="M167" s="79">
        <f t="shared" ca="1" si="25"/>
        <v>20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11189511</v>
      </c>
      <c r="E168" s="79" t="str">
        <f t="shared" si="19"/>
        <v>4400893570007</v>
      </c>
      <c r="F168" s="79" t="b">
        <f t="shared" si="22"/>
        <v>0</v>
      </c>
      <c r="G168" s="190">
        <f t="shared" si="23"/>
        <v>42735</v>
      </c>
      <c r="H168" s="146">
        <f>VLOOKUP( $A168, Aop!$A$2:$N$415, 4, 0)</f>
        <v>235</v>
      </c>
      <c r="I168" s="79">
        <f t="shared" si="20"/>
        <v>2016</v>
      </c>
      <c r="J168" s="79"/>
      <c r="K168" s="79"/>
      <c r="L168" s="79">
        <f t="shared" ca="1" si="24"/>
        <v>0</v>
      </c>
      <c r="M168" s="79">
        <f t="shared" ca="1" si="25"/>
        <v>3650</v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11189511</v>
      </c>
      <c r="E169" s="79" t="str">
        <f t="shared" si="19"/>
        <v>4400893570007</v>
      </c>
      <c r="F169" s="79" t="b">
        <f t="shared" si="22"/>
        <v>0</v>
      </c>
      <c r="G169" s="190">
        <f t="shared" si="23"/>
        <v>42735</v>
      </c>
      <c r="H169" s="146">
        <f>VLOOKUP( $A169, Aop!$A$2:$N$415, 4, 0)</f>
        <v>236</v>
      </c>
      <c r="I169" s="79">
        <f t="shared" si="20"/>
        <v>2016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11189511</v>
      </c>
      <c r="E170" s="79" t="str">
        <f t="shared" si="19"/>
        <v>4400893570007</v>
      </c>
      <c r="F170" s="79" t="b">
        <f t="shared" si="22"/>
        <v>0</v>
      </c>
      <c r="G170" s="190">
        <f t="shared" si="23"/>
        <v>42735</v>
      </c>
      <c r="H170" s="146">
        <f>VLOOKUP( $A170, Aop!$A$2:$N$415, 4, 0)</f>
        <v>237</v>
      </c>
      <c r="I170" s="79">
        <f t="shared" si="20"/>
        <v>2016</v>
      </c>
      <c r="J170" s="79"/>
      <c r="K170" s="79"/>
      <c r="L170" s="79" t="str">
        <f t="shared" ca="1" si="24"/>
        <v/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11189511</v>
      </c>
      <c r="E171" s="79" t="str">
        <f>Podatak_JIB</f>
        <v>4400893570007</v>
      </c>
      <c r="F171" s="79" t="b">
        <f>Konsolidovan_izvjestaj</f>
        <v>0</v>
      </c>
      <c r="G171" s="190">
        <f>Datum_Broj</f>
        <v>42735</v>
      </c>
      <c r="H171" s="79">
        <f>VLOOKUP( $A171, Aop!$A$2:$N$415, 4, 0)</f>
        <v>238</v>
      </c>
      <c r="I171" s="79">
        <f>Godina</f>
        <v>2016</v>
      </c>
      <c r="J171" s="79"/>
      <c r="K171" s="79"/>
      <c r="L171" s="79">
        <f ca="1">IF(VLOOKUP($H171,INDIRECT("Lookup_"&amp;$B171),IF($B171="BS",R$2,R$1),0)="","",VLOOKUP($H171,INDIRECT("Lookup_"&amp;$B171),IF($B171="BS",R$2,R$1),0))</f>
        <v>22969</v>
      </c>
      <c r="M171" s="79">
        <f ca="1">IF(VLOOKUP($H171,INDIRECT("Lookup_"&amp;$B171),IF($B171="BS",S$2,S$1),0)="","",VLOOKUP($H171,INDIRECT("Lookup_"&amp;$B171),IF($B171="BS",S$2,S$1),0))</f>
        <v>9304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11189511</v>
      </c>
      <c r="E172" s="79" t="str">
        <f t="shared" si="19"/>
        <v>4400893570007</v>
      </c>
      <c r="F172" s="79" t="b">
        <f t="shared" si="22"/>
        <v>0</v>
      </c>
      <c r="G172" s="190">
        <f t="shared" si="23"/>
        <v>42735</v>
      </c>
      <c r="H172" s="146">
        <f>VLOOKUP( $A172, Aop!$A$2:$N$415, 4, 0)</f>
        <v>239</v>
      </c>
      <c r="I172" s="79">
        <f t="shared" si="20"/>
        <v>2016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11189511</v>
      </c>
      <c r="E173" s="79" t="str">
        <f t="shared" si="19"/>
        <v>4400893570007</v>
      </c>
      <c r="F173" s="79" t="b">
        <f t="shared" si="22"/>
        <v>0</v>
      </c>
      <c r="G173" s="190">
        <f t="shared" si="23"/>
        <v>42735</v>
      </c>
      <c r="H173" s="146">
        <f>VLOOKUP( $A173, Aop!$A$2:$N$415, 4, 0)</f>
        <v>240</v>
      </c>
      <c r="I173" s="79">
        <f t="shared" si="20"/>
        <v>2016</v>
      </c>
      <c r="J173" s="79"/>
      <c r="K173" s="79"/>
      <c r="L173" s="79">
        <f t="shared" ca="1" si="24"/>
        <v>22701</v>
      </c>
      <c r="M173" s="79">
        <f t="shared" ca="1" si="25"/>
        <v>9255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11189511</v>
      </c>
      <c r="E174" s="79" t="str">
        <f t="shared" si="19"/>
        <v>4400893570007</v>
      </c>
      <c r="F174" s="79" t="b">
        <f t="shared" si="22"/>
        <v>0</v>
      </c>
      <c r="G174" s="190">
        <f t="shared" si="23"/>
        <v>42735</v>
      </c>
      <c r="H174" s="146">
        <f>VLOOKUP( $A174, Aop!$A$2:$N$415, 4, 0)</f>
        <v>241</v>
      </c>
      <c r="I174" s="79">
        <f t="shared" si="20"/>
        <v>2016</v>
      </c>
      <c r="J174" s="79"/>
      <c r="K174" s="79"/>
      <c r="L174" s="79">
        <f t="shared" ca="1" si="24"/>
        <v>268</v>
      </c>
      <c r="M174" s="79">
        <f t="shared" ca="1" si="25"/>
        <v>49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11189511</v>
      </c>
      <c r="E175" s="79" t="str">
        <f t="shared" si="19"/>
        <v>4400893570007</v>
      </c>
      <c r="F175" s="79" t="b">
        <f t="shared" si="22"/>
        <v>0</v>
      </c>
      <c r="G175" s="190">
        <f t="shared" si="23"/>
        <v>42735</v>
      </c>
      <c r="H175" s="146">
        <f>VLOOKUP( $A175, Aop!$A$2:$N$415, 4, 0)</f>
        <v>242</v>
      </c>
      <c r="I175" s="79">
        <f t="shared" si="20"/>
        <v>2016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11189511</v>
      </c>
      <c r="E176" s="79" t="str">
        <f t="shared" si="19"/>
        <v>4400893570007</v>
      </c>
      <c r="F176" s="79" t="b">
        <f t="shared" si="22"/>
        <v>0</v>
      </c>
      <c r="G176" s="190">
        <f t="shared" si="23"/>
        <v>42735</v>
      </c>
      <c r="H176" s="146">
        <f>VLOOKUP( $A176, Aop!$A$2:$N$415, 4, 0)</f>
        <v>243</v>
      </c>
      <c r="I176" s="79">
        <f t="shared" si="20"/>
        <v>2016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11189511</v>
      </c>
      <c r="E177" s="79" t="str">
        <f t="shared" si="19"/>
        <v>4400893570007</v>
      </c>
      <c r="F177" s="79" t="b">
        <f t="shared" si="22"/>
        <v>0</v>
      </c>
      <c r="G177" s="190">
        <f t="shared" si="23"/>
        <v>42735</v>
      </c>
      <c r="H177" s="146">
        <f>VLOOKUP( $A177, Aop!$A$2:$N$415, 4, 0)</f>
        <v>244</v>
      </c>
      <c r="I177" s="79">
        <f t="shared" si="20"/>
        <v>2016</v>
      </c>
      <c r="J177" s="79"/>
      <c r="K177" s="79"/>
      <c r="L177" s="79">
        <f t="shared" ca="1" si="24"/>
        <v>69242</v>
      </c>
      <c r="M177" s="79">
        <f t="shared" ca="1" si="25"/>
        <v>106891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11189511</v>
      </c>
      <c r="E178" s="79" t="str">
        <f t="shared" si="19"/>
        <v>4400893570007</v>
      </c>
      <c r="F178" s="79" t="b">
        <f t="shared" si="22"/>
        <v>0</v>
      </c>
      <c r="G178" s="190">
        <f t="shared" si="23"/>
        <v>42735</v>
      </c>
      <c r="H178" s="146">
        <f>VLOOKUP( $A178, Aop!$A$2:$N$415, 4, 0)</f>
        <v>245</v>
      </c>
      <c r="I178" s="79">
        <f t="shared" si="20"/>
        <v>2016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11189511</v>
      </c>
      <c r="E179" s="79" t="str">
        <f t="shared" si="19"/>
        <v>4400893570007</v>
      </c>
      <c r="F179" s="79" t="b">
        <f t="shared" si="22"/>
        <v>0</v>
      </c>
      <c r="G179" s="190">
        <f t="shared" si="23"/>
        <v>42735</v>
      </c>
      <c r="H179" s="146">
        <f>VLOOKUP( $A179, Aop!$A$2:$N$415, 4, 0)</f>
        <v>246</v>
      </c>
      <c r="I179" s="79">
        <f t="shared" si="20"/>
        <v>2016</v>
      </c>
      <c r="J179" s="79"/>
      <c r="K179" s="79"/>
      <c r="L179" s="79">
        <f t="shared" ca="1" si="24"/>
        <v>29564</v>
      </c>
      <c r="M179" s="79">
        <f t="shared" ca="1" si="25"/>
        <v>258836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11189511</v>
      </c>
      <c r="E180" s="79" t="str">
        <f t="shared" si="19"/>
        <v>4400893570007</v>
      </c>
      <c r="F180" s="79" t="b">
        <f t="shared" si="22"/>
        <v>0</v>
      </c>
      <c r="G180" s="190">
        <f t="shared" si="23"/>
        <v>42735</v>
      </c>
      <c r="H180" s="146">
        <f>VLOOKUP( $A180, Aop!$A$2:$N$415, 4, 0)</f>
        <v>247</v>
      </c>
      <c r="I180" s="79">
        <f t="shared" si="20"/>
        <v>2016</v>
      </c>
      <c r="J180" s="79"/>
      <c r="K180" s="79"/>
      <c r="L180" s="79">
        <f t="shared" ca="1" si="24"/>
        <v>0</v>
      </c>
      <c r="M180" s="79">
        <f t="shared" ca="1" si="25"/>
        <v>27454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11189511</v>
      </c>
      <c r="E181" s="79" t="str">
        <f t="shared" si="19"/>
        <v>4400893570007</v>
      </c>
      <c r="F181" s="79" t="b">
        <f t="shared" si="22"/>
        <v>0</v>
      </c>
      <c r="G181" s="190">
        <f t="shared" si="23"/>
        <v>42735</v>
      </c>
      <c r="H181" s="146">
        <f>VLOOKUP( $A181, Aop!$A$2:$N$415, 4, 0)</f>
        <v>248</v>
      </c>
      <c r="I181" s="79">
        <f t="shared" si="20"/>
        <v>2016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11189511</v>
      </c>
      <c r="E182" s="79" t="str">
        <f t="shared" si="19"/>
        <v>4400893570007</v>
      </c>
      <c r="F182" s="79" t="b">
        <f t="shared" si="22"/>
        <v>0</v>
      </c>
      <c r="G182" s="190">
        <f t="shared" si="23"/>
        <v>42735</v>
      </c>
      <c r="H182" s="146">
        <f>VLOOKUP( $A182, Aop!$A$2:$N$415, 4, 0)</f>
        <v>249</v>
      </c>
      <c r="I182" s="79">
        <f t="shared" si="20"/>
        <v>2016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11189511</v>
      </c>
      <c r="E183" s="79" t="str">
        <f t="shared" si="19"/>
        <v>4400893570007</v>
      </c>
      <c r="F183" s="79" t="b">
        <f t="shared" si="22"/>
        <v>0</v>
      </c>
      <c r="G183" s="190">
        <f t="shared" si="23"/>
        <v>42735</v>
      </c>
      <c r="H183" s="146">
        <f>VLOOKUP( $A183, Aop!$A$2:$N$415, 4, 0)</f>
        <v>250</v>
      </c>
      <c r="I183" s="79">
        <f t="shared" si="20"/>
        <v>2016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11189511</v>
      </c>
      <c r="E184" s="79" t="str">
        <f t="shared" si="19"/>
        <v>4400893570007</v>
      </c>
      <c r="F184" s="79" t="b">
        <f t="shared" si="22"/>
        <v>0</v>
      </c>
      <c r="G184" s="190">
        <f t="shared" si="23"/>
        <v>42735</v>
      </c>
      <c r="H184" s="146">
        <f>VLOOKUP( $A184, Aop!$A$2:$N$415, 4, 0)</f>
        <v>251</v>
      </c>
      <c r="I184" s="79">
        <f t="shared" si="20"/>
        <v>2016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11189511</v>
      </c>
      <c r="E185" s="79" t="str">
        <f t="shared" si="19"/>
        <v>4400893570007</v>
      </c>
      <c r="F185" s="79" t="b">
        <f t="shared" si="22"/>
        <v>0</v>
      </c>
      <c r="G185" s="190">
        <f t="shared" si="23"/>
        <v>42735</v>
      </c>
      <c r="H185" s="146">
        <f>VLOOKUP( $A185, Aop!$A$2:$N$415, 4, 0)</f>
        <v>252</v>
      </c>
      <c r="I185" s="79">
        <f t="shared" si="20"/>
        <v>2016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11189511</v>
      </c>
      <c r="E186" s="79" t="str">
        <f t="shared" si="19"/>
        <v>4400893570007</v>
      </c>
      <c r="F186" s="79" t="b">
        <f t="shared" si="22"/>
        <v>0</v>
      </c>
      <c r="G186" s="190">
        <f t="shared" si="23"/>
        <v>42735</v>
      </c>
      <c r="H186" s="146">
        <f>VLOOKUP( $A186, Aop!$A$2:$N$415, 4, 0)</f>
        <v>253</v>
      </c>
      <c r="I186" s="79">
        <f t="shared" si="20"/>
        <v>2016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11189511</v>
      </c>
      <c r="E187" s="79" t="str">
        <f t="shared" si="19"/>
        <v>4400893570007</v>
      </c>
      <c r="F187" s="79" t="b">
        <f t="shared" si="22"/>
        <v>0</v>
      </c>
      <c r="G187" s="190">
        <f t="shared" si="23"/>
        <v>42735</v>
      </c>
      <c r="H187" s="146">
        <f>VLOOKUP( $A187, Aop!$A$2:$N$415, 4, 0)</f>
        <v>254</v>
      </c>
      <c r="I187" s="79">
        <f t="shared" si="20"/>
        <v>2016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11189511</v>
      </c>
      <c r="E188" s="79" t="str">
        <f t="shared" si="19"/>
        <v>4400893570007</v>
      </c>
      <c r="F188" s="79" t="b">
        <f t="shared" si="22"/>
        <v>0</v>
      </c>
      <c r="G188" s="190">
        <f t="shared" si="23"/>
        <v>42735</v>
      </c>
      <c r="H188" s="146">
        <f>VLOOKUP( $A188, Aop!$A$2:$N$415, 4, 0)</f>
        <v>255</v>
      </c>
      <c r="I188" s="79">
        <f t="shared" si="20"/>
        <v>2016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11189511</v>
      </c>
      <c r="E189" s="79" t="str">
        <f t="shared" ref="E189:E250" si="27">Podatak_JIB</f>
        <v>4400893570007</v>
      </c>
      <c r="F189" s="79" t="b">
        <f t="shared" si="22"/>
        <v>0</v>
      </c>
      <c r="G189" s="190">
        <f t="shared" si="23"/>
        <v>42735</v>
      </c>
      <c r="H189" s="146">
        <f>VLOOKUP( $A189, Aop!$A$2:$N$415, 4, 0)</f>
        <v>256</v>
      </c>
      <c r="I189" s="79">
        <f t="shared" ref="I189:I250" si="28">Godina</f>
        <v>2016</v>
      </c>
      <c r="J189" s="79"/>
      <c r="K189" s="79"/>
      <c r="L189" s="79">
        <f t="shared" ca="1" si="24"/>
        <v>29564</v>
      </c>
      <c r="M189" s="79">
        <f t="shared" ca="1" si="25"/>
        <v>231382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11189511</v>
      </c>
      <c r="E190" s="79" t="str">
        <f t="shared" si="27"/>
        <v>4400893570007</v>
      </c>
      <c r="F190" s="79" t="b">
        <f t="shared" ref="F190:F251" si="30">Konsolidovan_izvjestaj</f>
        <v>0</v>
      </c>
      <c r="G190" s="190">
        <f t="shared" ref="G190:G251" si="31">Datum_Broj</f>
        <v>42735</v>
      </c>
      <c r="H190" s="146">
        <f>VLOOKUP( $A190, Aop!$A$2:$N$415, 4, 0)</f>
        <v>257</v>
      </c>
      <c r="I190" s="79">
        <f t="shared" si="28"/>
        <v>2016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600</v>
      </c>
      <c r="M190" s="79">
        <f t="shared" ref="M190:M251" ca="1" si="33">IF(VLOOKUP($H190,INDIRECT("Lookup_"&amp;$B190),IF($B190="BS",S$2,S$1),0)="","",VLOOKUP($H190,INDIRECT("Lookup_"&amp;$B190),IF($B190="BS",S$2,S$1),0))</f>
        <v>203901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11189511</v>
      </c>
      <c r="E191" s="79" t="str">
        <f t="shared" si="27"/>
        <v>4400893570007</v>
      </c>
      <c r="F191" s="79" t="b">
        <f t="shared" si="30"/>
        <v>0</v>
      </c>
      <c r="G191" s="190">
        <f t="shared" si="31"/>
        <v>42735</v>
      </c>
      <c r="H191" s="146">
        <f>VLOOKUP( $A191, Aop!$A$2:$N$415, 4, 0)</f>
        <v>258</v>
      </c>
      <c r="I191" s="79">
        <f t="shared" si="28"/>
        <v>2016</v>
      </c>
      <c r="J191" s="79"/>
      <c r="K191" s="79"/>
      <c r="L191" s="79" t="str">
        <f t="shared" ca="1" si="32"/>
        <v/>
      </c>
      <c r="M191" s="79" t="str">
        <f t="shared" ca="1" si="33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11189511</v>
      </c>
      <c r="E192" s="79" t="str">
        <f t="shared" si="27"/>
        <v>4400893570007</v>
      </c>
      <c r="F192" s="79" t="b">
        <f t="shared" si="30"/>
        <v>0</v>
      </c>
      <c r="G192" s="190">
        <f t="shared" si="31"/>
        <v>42735</v>
      </c>
      <c r="H192" s="146">
        <f>VLOOKUP( $A192, Aop!$A$2:$N$415, 4, 0)</f>
        <v>259</v>
      </c>
      <c r="I192" s="79">
        <f t="shared" si="28"/>
        <v>2016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11189511</v>
      </c>
      <c r="E193" s="79" t="str">
        <f t="shared" si="27"/>
        <v>4400893570007</v>
      </c>
      <c r="F193" s="79" t="b">
        <f t="shared" si="30"/>
        <v>0</v>
      </c>
      <c r="G193" s="190">
        <f t="shared" si="31"/>
        <v>42735</v>
      </c>
      <c r="H193" s="146">
        <f>VLOOKUP( $A193, Aop!$A$2:$N$415, 4, 0)</f>
        <v>260</v>
      </c>
      <c r="I193" s="79">
        <f t="shared" si="28"/>
        <v>2016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11189511</v>
      </c>
      <c r="E194" s="79" t="str">
        <f>Podatak_JIB</f>
        <v>4400893570007</v>
      </c>
      <c r="F194" s="79" t="b">
        <f>Konsolidovan_izvjestaj</f>
        <v>0</v>
      </c>
      <c r="G194" s="190">
        <f>Datum_Broj</f>
        <v>42735</v>
      </c>
      <c r="H194" s="79">
        <f>VLOOKUP( $A194, Aop!$A$2:$N$415, 4, 0)</f>
        <v>261</v>
      </c>
      <c r="I194" s="79">
        <f>Godina</f>
        <v>2016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11189511</v>
      </c>
      <c r="E195" s="79" t="str">
        <f t="shared" si="27"/>
        <v>4400893570007</v>
      </c>
      <c r="F195" s="79" t="b">
        <f t="shared" si="30"/>
        <v>0</v>
      </c>
      <c r="G195" s="190">
        <f t="shared" si="31"/>
        <v>42735</v>
      </c>
      <c r="H195" s="146">
        <f>VLOOKUP( $A195, Aop!$A$2:$N$415, 4, 0)</f>
        <v>262</v>
      </c>
      <c r="I195" s="79">
        <f t="shared" si="28"/>
        <v>2016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11189511</v>
      </c>
      <c r="E196" s="79" t="str">
        <f t="shared" si="27"/>
        <v>4400893570007</v>
      </c>
      <c r="F196" s="79" t="b">
        <f t="shared" si="30"/>
        <v>0</v>
      </c>
      <c r="G196" s="190">
        <f t="shared" si="31"/>
        <v>42735</v>
      </c>
      <c r="H196" s="146">
        <f>VLOOKUP( $A196, Aop!$A$2:$N$415, 4, 0)</f>
        <v>263</v>
      </c>
      <c r="I196" s="79">
        <f t="shared" si="28"/>
        <v>2016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11189511</v>
      </c>
      <c r="E197" s="79" t="str">
        <f t="shared" si="27"/>
        <v>4400893570007</v>
      </c>
      <c r="F197" s="79" t="b">
        <f t="shared" si="30"/>
        <v>0</v>
      </c>
      <c r="G197" s="190">
        <f t="shared" si="31"/>
        <v>42735</v>
      </c>
      <c r="H197" s="146">
        <f>VLOOKUP( $A197, Aop!$A$2:$N$415, 4, 0)</f>
        <v>264</v>
      </c>
      <c r="I197" s="79">
        <f t="shared" si="28"/>
        <v>2016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11189511</v>
      </c>
      <c r="E198" s="79" t="str">
        <f t="shared" si="27"/>
        <v>4400893570007</v>
      </c>
      <c r="F198" s="79" t="b">
        <f t="shared" si="30"/>
        <v>0</v>
      </c>
      <c r="G198" s="190">
        <f t="shared" si="31"/>
        <v>42735</v>
      </c>
      <c r="H198" s="146">
        <f>VLOOKUP( $A198, Aop!$A$2:$N$415, 4, 0)</f>
        <v>265</v>
      </c>
      <c r="I198" s="79">
        <f t="shared" si="28"/>
        <v>2016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11189511</v>
      </c>
      <c r="E199" s="79" t="str">
        <f t="shared" si="27"/>
        <v>4400893570007</v>
      </c>
      <c r="F199" s="79" t="b">
        <f t="shared" si="30"/>
        <v>0</v>
      </c>
      <c r="G199" s="190">
        <f t="shared" si="31"/>
        <v>42735</v>
      </c>
      <c r="H199" s="146">
        <f>VLOOKUP( $A199, Aop!$A$2:$N$415, 4, 0)</f>
        <v>266</v>
      </c>
      <c r="I199" s="79">
        <f t="shared" si="28"/>
        <v>2016</v>
      </c>
      <c r="J199" s="79"/>
      <c r="K199" s="79"/>
      <c r="L199" s="79">
        <f t="shared" ca="1" si="32"/>
        <v>0</v>
      </c>
      <c r="M199" s="79">
        <f t="shared" ca="1" si="33"/>
        <v>27876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11189511</v>
      </c>
      <c r="E200" s="79" t="str">
        <f t="shared" si="27"/>
        <v>4400893570007</v>
      </c>
      <c r="F200" s="79" t="b">
        <f t="shared" si="30"/>
        <v>0</v>
      </c>
      <c r="G200" s="190">
        <f t="shared" si="31"/>
        <v>42735</v>
      </c>
      <c r="H200" s="146">
        <f>VLOOKUP( $A200, Aop!$A$2:$N$415, 4, 0)</f>
        <v>267</v>
      </c>
      <c r="I200" s="79">
        <f t="shared" si="28"/>
        <v>2016</v>
      </c>
      <c r="J200" s="79"/>
      <c r="K200" s="79"/>
      <c r="L200" s="79">
        <f t="shared" ca="1" si="32"/>
        <v>600</v>
      </c>
      <c r="M200" s="79">
        <f t="shared" ca="1" si="33"/>
        <v>176025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11189511</v>
      </c>
      <c r="E201" s="79" t="str">
        <f t="shared" si="27"/>
        <v>4400893570007</v>
      </c>
      <c r="F201" s="79" t="b">
        <f t="shared" si="30"/>
        <v>0</v>
      </c>
      <c r="G201" s="190">
        <f t="shared" si="31"/>
        <v>42735</v>
      </c>
      <c r="H201" s="146">
        <f>VLOOKUP( $A201, Aop!$A$2:$N$415, 4, 0)</f>
        <v>268</v>
      </c>
      <c r="I201" s="79">
        <f t="shared" si="28"/>
        <v>2016</v>
      </c>
      <c r="J201" s="79"/>
      <c r="K201" s="79"/>
      <c r="L201" s="79">
        <f t="shared" ca="1" si="32"/>
        <v>28964</v>
      </c>
      <c r="M201" s="79">
        <f t="shared" ca="1" si="33"/>
        <v>54935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11189511</v>
      </c>
      <c r="E202" s="79" t="str">
        <f t="shared" si="27"/>
        <v>4400893570007</v>
      </c>
      <c r="F202" s="79" t="b">
        <f t="shared" si="30"/>
        <v>0</v>
      </c>
      <c r="G202" s="190">
        <f t="shared" si="31"/>
        <v>42735</v>
      </c>
      <c r="H202" s="146">
        <f>VLOOKUP( $A202, Aop!$A$2:$N$415, 4, 0)</f>
        <v>269</v>
      </c>
      <c r="I202" s="79">
        <f t="shared" si="28"/>
        <v>2016</v>
      </c>
      <c r="J202" s="79"/>
      <c r="K202" s="79"/>
      <c r="L202" s="79">
        <f t="shared" ca="1" si="32"/>
        <v>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11189511</v>
      </c>
      <c r="E203" s="79" t="str">
        <f t="shared" si="27"/>
        <v>4400893570007</v>
      </c>
      <c r="F203" s="79" t="b">
        <f t="shared" si="30"/>
        <v>0</v>
      </c>
      <c r="G203" s="190">
        <f t="shared" si="31"/>
        <v>42735</v>
      </c>
      <c r="H203" s="146">
        <f>VLOOKUP( $A203, Aop!$A$2:$N$415, 4, 0)</f>
        <v>270</v>
      </c>
      <c r="I203" s="79">
        <f t="shared" si="28"/>
        <v>2016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11189511</v>
      </c>
      <c r="E204" s="79" t="str">
        <f t="shared" si="27"/>
        <v>4400893570007</v>
      </c>
      <c r="F204" s="79" t="b">
        <f t="shared" si="30"/>
        <v>0</v>
      </c>
      <c r="G204" s="190">
        <f t="shared" si="31"/>
        <v>42735</v>
      </c>
      <c r="H204" s="146">
        <f>VLOOKUP( $A204, Aop!$A$2:$N$415, 4, 0)</f>
        <v>271</v>
      </c>
      <c r="I204" s="79">
        <f t="shared" si="28"/>
        <v>2016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11189511</v>
      </c>
      <c r="E205" s="79" t="str">
        <f t="shared" si="27"/>
        <v>4400893570007</v>
      </c>
      <c r="F205" s="79" t="b">
        <f t="shared" si="30"/>
        <v>0</v>
      </c>
      <c r="G205" s="190">
        <f t="shared" si="31"/>
        <v>42735</v>
      </c>
      <c r="H205" s="146">
        <f>VLOOKUP( $A205, Aop!$A$2:$N$415, 4, 0)</f>
        <v>272</v>
      </c>
      <c r="I205" s="79">
        <f t="shared" si="28"/>
        <v>2016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11189511</v>
      </c>
      <c r="E206" s="79" t="str">
        <f t="shared" si="27"/>
        <v>4400893570007</v>
      </c>
      <c r="F206" s="79" t="b">
        <f t="shared" si="30"/>
        <v>0</v>
      </c>
      <c r="G206" s="190">
        <f t="shared" si="31"/>
        <v>42735</v>
      </c>
      <c r="H206" s="146">
        <f>VLOOKUP( $A206, Aop!$A$2:$N$415, 4, 0)</f>
        <v>273</v>
      </c>
      <c r="I206" s="79">
        <f t="shared" si="28"/>
        <v>2016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11189511</v>
      </c>
      <c r="E207" s="79" t="str">
        <f t="shared" si="27"/>
        <v>4400893570007</v>
      </c>
      <c r="F207" s="79" t="b">
        <f t="shared" si="30"/>
        <v>0</v>
      </c>
      <c r="G207" s="190">
        <f t="shared" si="31"/>
        <v>42735</v>
      </c>
      <c r="H207" s="146">
        <f>VLOOKUP( $A207, Aop!$A$2:$N$415, 4, 0)</f>
        <v>274</v>
      </c>
      <c r="I207" s="79">
        <f t="shared" si="28"/>
        <v>2016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11189511</v>
      </c>
      <c r="E208" s="79" t="str">
        <f t="shared" si="27"/>
        <v>4400893570007</v>
      </c>
      <c r="F208" s="79" t="b">
        <f t="shared" si="30"/>
        <v>0</v>
      </c>
      <c r="G208" s="190">
        <f t="shared" si="31"/>
        <v>42735</v>
      </c>
      <c r="H208" s="146">
        <f>VLOOKUP( $A208, Aop!$A$2:$N$415, 4, 0)</f>
        <v>275</v>
      </c>
      <c r="I208" s="79">
        <f t="shared" si="28"/>
        <v>2016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11189511</v>
      </c>
      <c r="E209" s="79" t="str">
        <f t="shared" si="27"/>
        <v>4400893570007</v>
      </c>
      <c r="F209" s="79" t="b">
        <f t="shared" si="30"/>
        <v>0</v>
      </c>
      <c r="G209" s="190">
        <f t="shared" si="31"/>
        <v>42735</v>
      </c>
      <c r="H209" s="146">
        <f>VLOOKUP( $A209, Aop!$A$2:$N$415, 4, 0)</f>
        <v>276</v>
      </c>
      <c r="I209" s="79">
        <f t="shared" si="28"/>
        <v>2016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11189511</v>
      </c>
      <c r="E210" s="79" t="str">
        <f t="shared" si="27"/>
        <v>4400893570007</v>
      </c>
      <c r="F210" s="79" t="b">
        <f t="shared" si="30"/>
        <v>0</v>
      </c>
      <c r="G210" s="190">
        <f t="shared" si="31"/>
        <v>42735</v>
      </c>
      <c r="H210" s="146">
        <f>VLOOKUP( $A210, Aop!$A$2:$N$415, 4, 0)</f>
        <v>277</v>
      </c>
      <c r="I210" s="79">
        <f t="shared" si="28"/>
        <v>2016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11189511</v>
      </c>
      <c r="E211" s="79" t="str">
        <f t="shared" si="27"/>
        <v>4400893570007</v>
      </c>
      <c r="F211" s="79" t="b">
        <f t="shared" si="30"/>
        <v>0</v>
      </c>
      <c r="G211" s="190">
        <f t="shared" si="31"/>
        <v>42735</v>
      </c>
      <c r="H211" s="146">
        <f>VLOOKUP( $A211, Aop!$A$2:$N$415, 4, 0)</f>
        <v>278</v>
      </c>
      <c r="I211" s="79">
        <f t="shared" si="28"/>
        <v>2016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11189511</v>
      </c>
      <c r="E212" s="79" t="str">
        <f t="shared" si="27"/>
        <v>4400893570007</v>
      </c>
      <c r="F212" s="79" t="b">
        <f t="shared" si="30"/>
        <v>0</v>
      </c>
      <c r="G212" s="190">
        <f t="shared" si="31"/>
        <v>42735</v>
      </c>
      <c r="H212" s="146">
        <f>VLOOKUP( $A212, Aop!$A$2:$N$415, 4, 0)</f>
        <v>279</v>
      </c>
      <c r="I212" s="79">
        <f t="shared" si="28"/>
        <v>2016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11189511</v>
      </c>
      <c r="E213" s="79" t="str">
        <f t="shared" si="27"/>
        <v>4400893570007</v>
      </c>
      <c r="F213" s="79" t="b">
        <f t="shared" si="30"/>
        <v>0</v>
      </c>
      <c r="G213" s="190">
        <f t="shared" si="31"/>
        <v>42735</v>
      </c>
      <c r="H213" s="146">
        <f>VLOOKUP( $A213, Aop!$A$2:$N$415, 4, 0)</f>
        <v>280</v>
      </c>
      <c r="I213" s="79">
        <f t="shared" si="28"/>
        <v>2016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11189511</v>
      </c>
      <c r="E214" s="79" t="str">
        <f t="shared" si="27"/>
        <v>4400893570007</v>
      </c>
      <c r="F214" s="79" t="b">
        <f t="shared" si="30"/>
        <v>0</v>
      </c>
      <c r="G214" s="190">
        <f t="shared" si="31"/>
        <v>42735</v>
      </c>
      <c r="H214" s="146">
        <f>VLOOKUP( $A214, Aop!$A$2:$N$415, 4, 0)</f>
        <v>281</v>
      </c>
      <c r="I214" s="79">
        <f t="shared" si="28"/>
        <v>2016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11189511</v>
      </c>
      <c r="E215" s="79" t="str">
        <f t="shared" si="27"/>
        <v>4400893570007</v>
      </c>
      <c r="F215" s="79" t="b">
        <f t="shared" si="30"/>
        <v>0</v>
      </c>
      <c r="G215" s="190">
        <f t="shared" si="31"/>
        <v>42735</v>
      </c>
      <c r="H215" s="146">
        <f>VLOOKUP( $A215, Aop!$A$2:$N$415, 4, 0)</f>
        <v>282</v>
      </c>
      <c r="I215" s="79">
        <f t="shared" si="28"/>
        <v>2016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11189511</v>
      </c>
      <c r="E216" s="79" t="str">
        <f>Podatak_JIB</f>
        <v>4400893570007</v>
      </c>
      <c r="F216" s="79" t="b">
        <f>Konsolidovan_izvjestaj</f>
        <v>0</v>
      </c>
      <c r="G216" s="190">
        <f>Datum_Broj</f>
        <v>42735</v>
      </c>
      <c r="H216" s="79">
        <f>VLOOKUP( $A216, Aop!$A$2:$N$415, 4, 0)</f>
        <v>283</v>
      </c>
      <c r="I216" s="79">
        <f>Godina</f>
        <v>2016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11189511</v>
      </c>
      <c r="E217" s="79" t="str">
        <f t="shared" si="27"/>
        <v>4400893570007</v>
      </c>
      <c r="F217" s="79" t="b">
        <f t="shared" si="30"/>
        <v>0</v>
      </c>
      <c r="G217" s="190">
        <f t="shared" si="31"/>
        <v>42735</v>
      </c>
      <c r="H217" s="146">
        <f>VLOOKUP( $A217, Aop!$A$2:$N$415, 4, 0)</f>
        <v>284</v>
      </c>
      <c r="I217" s="79">
        <f t="shared" si="28"/>
        <v>2016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11189511</v>
      </c>
      <c r="E218" s="79" t="str">
        <f t="shared" si="27"/>
        <v>4400893570007</v>
      </c>
      <c r="F218" s="79" t="b">
        <f t="shared" si="30"/>
        <v>0</v>
      </c>
      <c r="G218" s="190">
        <f t="shared" si="31"/>
        <v>42735</v>
      </c>
      <c r="H218" s="146">
        <f>VLOOKUP( $A218, Aop!$A$2:$N$415, 4, 0)</f>
        <v>285</v>
      </c>
      <c r="I218" s="79">
        <f t="shared" si="28"/>
        <v>2016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11189511</v>
      </c>
      <c r="E219" s="79" t="str">
        <f>Podatak_JIB</f>
        <v>4400893570007</v>
      </c>
      <c r="F219" s="79" t="b">
        <f>Konsolidovan_izvjestaj</f>
        <v>0</v>
      </c>
      <c r="G219" s="190">
        <f>Datum_Broj</f>
        <v>42735</v>
      </c>
      <c r="H219" s="79">
        <f>VLOOKUP( $A219, Aop!$A$2:$N$415, 4, 0)</f>
        <v>286</v>
      </c>
      <c r="I219" s="79">
        <f>Godina</f>
        <v>2016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11189511</v>
      </c>
      <c r="E220" s="79" t="str">
        <f t="shared" si="27"/>
        <v>4400893570007</v>
      </c>
      <c r="F220" s="79" t="b">
        <f t="shared" si="30"/>
        <v>0</v>
      </c>
      <c r="G220" s="190">
        <f t="shared" si="31"/>
        <v>42735</v>
      </c>
      <c r="H220" s="146">
        <f>VLOOKUP( $A220, Aop!$A$2:$N$415, 4, 0)</f>
        <v>287</v>
      </c>
      <c r="I220" s="79">
        <f t="shared" si="28"/>
        <v>2016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11189511</v>
      </c>
      <c r="E221" s="79" t="str">
        <f t="shared" si="27"/>
        <v>4400893570007</v>
      </c>
      <c r="F221" s="79" t="b">
        <f t="shared" si="30"/>
        <v>0</v>
      </c>
      <c r="G221" s="190">
        <f t="shared" si="31"/>
        <v>42735</v>
      </c>
      <c r="H221" s="146">
        <f>VLOOKUP( $A221, Aop!$A$2:$N$415, 4, 0)</f>
        <v>288</v>
      </c>
      <c r="I221" s="79">
        <f t="shared" si="28"/>
        <v>2016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11189511</v>
      </c>
      <c r="E222" s="79" t="str">
        <f>Podatak_JIB</f>
        <v>4400893570007</v>
      </c>
      <c r="F222" s="79" t="b">
        <f>Konsolidovan_izvjestaj</f>
        <v>0</v>
      </c>
      <c r="G222" s="190">
        <f>Datum_Broj</f>
        <v>42735</v>
      </c>
      <c r="H222" s="79">
        <f>VLOOKUP( $A222, Aop!$A$2:$N$415, 4, 0)</f>
        <v>289</v>
      </c>
      <c r="I222" s="79">
        <f>Godina</f>
        <v>2016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11189511</v>
      </c>
      <c r="E223" s="79" t="str">
        <f t="shared" si="27"/>
        <v>4400893570007</v>
      </c>
      <c r="F223" s="79" t="b">
        <f t="shared" si="30"/>
        <v>0</v>
      </c>
      <c r="G223" s="190">
        <f t="shared" si="31"/>
        <v>42735</v>
      </c>
      <c r="H223" s="146">
        <f>VLOOKUP( $A223, Aop!$A$2:$N$415, 4, 0)</f>
        <v>290</v>
      </c>
      <c r="I223" s="79">
        <f t="shared" si="28"/>
        <v>2016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11189511</v>
      </c>
      <c r="E224" s="79" t="str">
        <f t="shared" si="27"/>
        <v>4400893570007</v>
      </c>
      <c r="F224" s="79" t="b">
        <f t="shared" si="30"/>
        <v>0</v>
      </c>
      <c r="G224" s="190">
        <f t="shared" si="31"/>
        <v>42735</v>
      </c>
      <c r="H224" s="146">
        <f>VLOOKUP( $A224, Aop!$A$2:$N$415, 4, 0)</f>
        <v>291</v>
      </c>
      <c r="I224" s="79">
        <f t="shared" si="28"/>
        <v>2016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11189511</v>
      </c>
      <c r="E225" s="79" t="str">
        <f t="shared" si="27"/>
        <v>4400893570007</v>
      </c>
      <c r="F225" s="79" t="b">
        <f t="shared" si="30"/>
        <v>0</v>
      </c>
      <c r="G225" s="190">
        <f t="shared" si="31"/>
        <v>42735</v>
      </c>
      <c r="H225" s="146">
        <f>VLOOKUP( $A225, Aop!$A$2:$N$415, 4, 0)</f>
        <v>292</v>
      </c>
      <c r="I225" s="79">
        <f t="shared" si="28"/>
        <v>2016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11189511</v>
      </c>
      <c r="E226" s="79" t="str">
        <f t="shared" si="27"/>
        <v>4400893570007</v>
      </c>
      <c r="F226" s="79" t="b">
        <f t="shared" si="30"/>
        <v>0</v>
      </c>
      <c r="G226" s="190">
        <f t="shared" si="31"/>
        <v>42735</v>
      </c>
      <c r="H226" s="146">
        <f>VLOOKUP( $A226, Aop!$A$2:$N$415, 4, 0)</f>
        <v>293</v>
      </c>
      <c r="I226" s="79">
        <f t="shared" si="28"/>
        <v>2016</v>
      </c>
      <c r="J226" s="79"/>
      <c r="K226" s="79"/>
      <c r="L226" s="79">
        <f t="shared" ca="1" si="32"/>
        <v>1768</v>
      </c>
      <c r="M226" s="79">
        <f t="shared" ca="1" si="33"/>
        <v>0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11189511</v>
      </c>
      <c r="E227" s="79" t="str">
        <f t="shared" si="27"/>
        <v>4400893570007</v>
      </c>
      <c r="F227" s="79" t="b">
        <f t="shared" si="30"/>
        <v>0</v>
      </c>
      <c r="G227" s="190">
        <f t="shared" si="31"/>
        <v>42735</v>
      </c>
      <c r="H227" s="146">
        <f>VLOOKUP( $A227, Aop!$A$2:$N$415, 4, 0)</f>
        <v>294</v>
      </c>
      <c r="I227" s="79">
        <f t="shared" si="28"/>
        <v>2016</v>
      </c>
      <c r="J227" s="79"/>
      <c r="K227" s="79"/>
      <c r="L227" s="79">
        <f t="shared" ca="1" si="32"/>
        <v>96438</v>
      </c>
      <c r="M227" s="79">
        <f t="shared" ca="1" si="33"/>
        <v>161826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11189511</v>
      </c>
      <c r="E228" s="79" t="str">
        <f t="shared" si="27"/>
        <v>4400893570007</v>
      </c>
      <c r="F228" s="79" t="b">
        <f t="shared" si="30"/>
        <v>0</v>
      </c>
      <c r="G228" s="190">
        <f t="shared" si="31"/>
        <v>42735</v>
      </c>
      <c r="H228" s="146">
        <f>VLOOKUP( $A228, Aop!$A$2:$N$415, 4, 0)</f>
        <v>295</v>
      </c>
      <c r="I228" s="79">
        <f t="shared" si="28"/>
        <v>2016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11189511</v>
      </c>
      <c r="E229" s="79" t="str">
        <f t="shared" si="27"/>
        <v>4400893570007</v>
      </c>
      <c r="F229" s="79" t="b">
        <f t="shared" si="30"/>
        <v>0</v>
      </c>
      <c r="G229" s="190">
        <f t="shared" si="31"/>
        <v>42735</v>
      </c>
      <c r="H229" s="146">
        <f>VLOOKUP( $A229, Aop!$A$2:$N$415, 4, 0)</f>
        <v>296</v>
      </c>
      <c r="I229" s="79">
        <f t="shared" si="28"/>
        <v>2016</v>
      </c>
      <c r="J229" s="79"/>
      <c r="K229" s="79"/>
      <c r="L229" s="79">
        <f t="shared" ca="1" si="32"/>
        <v>6676</v>
      </c>
      <c r="M229" s="79" t="str">
        <f t="shared" ca="1" si="33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11189511</v>
      </c>
      <c r="E230" s="79" t="str">
        <f t="shared" si="27"/>
        <v>4400893570007</v>
      </c>
      <c r="F230" s="79" t="b">
        <f t="shared" si="30"/>
        <v>0</v>
      </c>
      <c r="G230" s="190">
        <f t="shared" si="31"/>
        <v>42735</v>
      </c>
      <c r="H230" s="146">
        <f>VLOOKUP( $A230, Aop!$A$2:$N$415, 4, 0)</f>
        <v>297</v>
      </c>
      <c r="I230" s="79">
        <f t="shared" si="28"/>
        <v>2016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11189511</v>
      </c>
      <c r="E231" s="79" t="str">
        <f t="shared" si="27"/>
        <v>4400893570007</v>
      </c>
      <c r="F231" s="79" t="b">
        <f t="shared" si="30"/>
        <v>0</v>
      </c>
      <c r="G231" s="190">
        <f t="shared" si="31"/>
        <v>42735</v>
      </c>
      <c r="H231" s="146">
        <f>VLOOKUP( $A231, Aop!$A$2:$N$415, 4, 0)</f>
        <v>298</v>
      </c>
      <c r="I231" s="79">
        <f t="shared" si="28"/>
        <v>2016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11189511</v>
      </c>
      <c r="E232" s="79" t="str">
        <f t="shared" si="27"/>
        <v>4400893570007</v>
      </c>
      <c r="F232" s="79" t="b">
        <f t="shared" si="30"/>
        <v>0</v>
      </c>
      <c r="G232" s="190">
        <f t="shared" si="31"/>
        <v>42735</v>
      </c>
      <c r="H232" s="146">
        <f>VLOOKUP( $A232, Aop!$A$2:$N$415, 4, 0)</f>
        <v>299</v>
      </c>
      <c r="I232" s="79">
        <f t="shared" si="28"/>
        <v>2016</v>
      </c>
      <c r="J232" s="79"/>
      <c r="K232" s="79"/>
      <c r="L232" s="79">
        <f t="shared" ca="1" si="32"/>
        <v>89762</v>
      </c>
      <c r="M232" s="79">
        <f t="shared" ca="1" si="33"/>
        <v>161826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11189511</v>
      </c>
      <c r="E233" s="79" t="str">
        <f t="shared" si="27"/>
        <v>4400893570007</v>
      </c>
      <c r="F233" s="79" t="b">
        <f t="shared" si="30"/>
        <v>0</v>
      </c>
      <c r="G233" s="190">
        <f t="shared" si="31"/>
        <v>42735</v>
      </c>
      <c r="H233" s="146">
        <f>VLOOKUP( $A233, Aop!$A$2:$N$415, 4, 0)</f>
        <v>300</v>
      </c>
      <c r="I233" s="79">
        <f t="shared" si="28"/>
        <v>2016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11189511</v>
      </c>
      <c r="E234" s="79" t="str">
        <f t="shared" si="27"/>
        <v>4400893570007</v>
      </c>
      <c r="F234" s="79" t="b">
        <f t="shared" si="30"/>
        <v>0</v>
      </c>
      <c r="G234" s="190">
        <f t="shared" si="31"/>
        <v>42735</v>
      </c>
      <c r="H234" s="146">
        <f>VLOOKUP( $A234, Aop!$A$2:$N$415, 4, 0)</f>
        <v>301</v>
      </c>
      <c r="I234" s="79">
        <f t="shared" si="28"/>
        <v>2016</v>
      </c>
      <c r="J234" s="79"/>
      <c r="K234" s="79"/>
      <c r="L234" s="79">
        <f t="shared" ca="1" si="32"/>
        <v>294760</v>
      </c>
      <c r="M234" s="79">
        <f t="shared" ca="1" si="33"/>
        <v>509360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11189511</v>
      </c>
      <c r="E235" s="79" t="str">
        <f t="shared" si="27"/>
        <v>4400893570007</v>
      </c>
      <c r="F235" s="79" t="b">
        <f t="shared" si="30"/>
        <v>0</v>
      </c>
      <c r="G235" s="190">
        <f t="shared" si="31"/>
        <v>42735</v>
      </c>
      <c r="H235" s="146">
        <f>VLOOKUP( $A235, Aop!$A$2:$N$415, 4, 0)</f>
        <v>302</v>
      </c>
      <c r="I235" s="79">
        <f t="shared" si="28"/>
        <v>2016</v>
      </c>
      <c r="J235" s="79"/>
      <c r="K235" s="79"/>
      <c r="L235" s="79">
        <f t="shared" ca="1" si="32"/>
        <v>198322</v>
      </c>
      <c r="M235" s="79">
        <f t="shared" ca="1" si="33"/>
        <v>347534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11189511</v>
      </c>
      <c r="E236" s="79" t="str">
        <f t="shared" si="27"/>
        <v>4400893570007</v>
      </c>
      <c r="F236" s="79" t="b">
        <f t="shared" si="30"/>
        <v>0</v>
      </c>
      <c r="G236" s="190">
        <f t="shared" si="31"/>
        <v>42735</v>
      </c>
      <c r="H236" s="146">
        <f>VLOOKUP( $A236, Aop!$A$2:$N$415, 4, 0)</f>
        <v>303</v>
      </c>
      <c r="I236" s="79">
        <f t="shared" si="28"/>
        <v>2016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11189511</v>
      </c>
      <c r="E237" s="79" t="str">
        <f t="shared" si="27"/>
        <v>4400893570007</v>
      </c>
      <c r="F237" s="79" t="b">
        <f t="shared" si="30"/>
        <v>0</v>
      </c>
      <c r="G237" s="190">
        <f t="shared" si="31"/>
        <v>42735</v>
      </c>
      <c r="H237" s="146">
        <f>VLOOKUP( $A237, Aop!$A$2:$N$415, 4, 0)</f>
        <v>304</v>
      </c>
      <c r="I237" s="79">
        <f t="shared" si="28"/>
        <v>2016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11189511</v>
      </c>
      <c r="E238" s="79" t="str">
        <f t="shared" si="27"/>
        <v>4400893570007</v>
      </c>
      <c r="F238" s="79" t="b">
        <f t="shared" si="30"/>
        <v>0</v>
      </c>
      <c r="G238" s="190">
        <f t="shared" si="31"/>
        <v>42735</v>
      </c>
      <c r="H238" s="146">
        <f>VLOOKUP( $A238, Aop!$A$2:$N$415, 4, 0)</f>
        <v>305</v>
      </c>
      <c r="I238" s="79">
        <f t="shared" si="28"/>
        <v>2016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11189511</v>
      </c>
      <c r="E239" s="79" t="str">
        <f t="shared" si="27"/>
        <v>4400893570007</v>
      </c>
      <c r="F239" s="79" t="b">
        <f t="shared" si="30"/>
        <v>0</v>
      </c>
      <c r="G239" s="190">
        <f t="shared" si="31"/>
        <v>42735</v>
      </c>
      <c r="H239" s="146">
        <f>VLOOKUP( $A239, Aop!$A$2:$N$415, 4, 0)</f>
        <v>306</v>
      </c>
      <c r="I239" s="79">
        <f t="shared" si="28"/>
        <v>2016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11189511</v>
      </c>
      <c r="E240" s="79" t="str">
        <f t="shared" si="27"/>
        <v>4400893570007</v>
      </c>
      <c r="F240" s="79" t="b">
        <f t="shared" si="30"/>
        <v>0</v>
      </c>
      <c r="G240" s="190">
        <f t="shared" si="31"/>
        <v>42735</v>
      </c>
      <c r="H240" s="146">
        <f>VLOOKUP( $A240, Aop!$A$2:$N$415, 4, 0)</f>
        <v>307</v>
      </c>
      <c r="I240" s="79">
        <f t="shared" si="28"/>
        <v>2016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11189511</v>
      </c>
      <c r="E241" s="79" t="str">
        <f t="shared" si="27"/>
        <v>4400893570007</v>
      </c>
      <c r="F241" s="79" t="b">
        <f t="shared" si="30"/>
        <v>0</v>
      </c>
      <c r="G241" s="190">
        <f t="shared" si="31"/>
        <v>42735</v>
      </c>
      <c r="H241" s="146">
        <f>VLOOKUP( $A241, Aop!$A$2:$N$415, 4, 0)</f>
        <v>308</v>
      </c>
      <c r="I241" s="79">
        <f t="shared" si="28"/>
        <v>2016</v>
      </c>
      <c r="J241" s="79"/>
      <c r="K241" s="79"/>
      <c r="L241" s="79">
        <f t="shared" ca="1" si="32"/>
        <v>0</v>
      </c>
      <c r="M241" s="79">
        <f t="shared" ca="1" si="33"/>
        <v>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11189511</v>
      </c>
      <c r="E242" s="79" t="str">
        <f t="shared" si="27"/>
        <v>4400893570007</v>
      </c>
      <c r="F242" s="79" t="b">
        <f t="shared" si="30"/>
        <v>0</v>
      </c>
      <c r="G242" s="190">
        <f t="shared" si="31"/>
        <v>42735</v>
      </c>
      <c r="H242" s="146">
        <f>VLOOKUP( $A242, Aop!$A$2:$N$415, 4, 0)</f>
        <v>309</v>
      </c>
      <c r="I242" s="79">
        <f t="shared" si="28"/>
        <v>2016</v>
      </c>
      <c r="J242" s="79"/>
      <c r="K242" s="79"/>
      <c r="L242" s="79">
        <f t="shared" ca="1" si="32"/>
        <v>0</v>
      </c>
      <c r="M242" s="79">
        <f t="shared" ca="1" si="33"/>
        <v>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11189511</v>
      </c>
      <c r="E243" s="79" t="str">
        <f t="shared" si="27"/>
        <v>4400893570007</v>
      </c>
      <c r="F243" s="79" t="b">
        <f t="shared" si="30"/>
        <v>0</v>
      </c>
      <c r="G243" s="190">
        <f t="shared" si="31"/>
        <v>42735</v>
      </c>
      <c r="H243" s="146">
        <f>VLOOKUP( $A243, Aop!$A$2:$N$415, 4, 0)</f>
        <v>400</v>
      </c>
      <c r="I243" s="79">
        <f t="shared" si="28"/>
        <v>2016</v>
      </c>
      <c r="J243" s="79"/>
      <c r="K243" s="79"/>
      <c r="L243" s="79">
        <f t="shared" ca="1" si="32"/>
        <v>89762</v>
      </c>
      <c r="M243" s="79">
        <f t="shared" ca="1" si="33"/>
        <v>161826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11189511</v>
      </c>
      <c r="E244" s="79" t="str">
        <f t="shared" si="27"/>
        <v>4400893570007</v>
      </c>
      <c r="F244" s="79" t="b">
        <f t="shared" si="30"/>
        <v>0</v>
      </c>
      <c r="G244" s="190">
        <f t="shared" si="31"/>
        <v>42735</v>
      </c>
      <c r="H244" s="146">
        <f>VLOOKUP( $A244, Aop!$A$2:$N$415, 4, 0)</f>
        <v>401</v>
      </c>
      <c r="I244" s="79">
        <f t="shared" si="28"/>
        <v>2016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11189511</v>
      </c>
      <c r="E245" s="79" t="str">
        <f t="shared" si="27"/>
        <v>4400893570007</v>
      </c>
      <c r="F245" s="79" t="b">
        <f t="shared" si="30"/>
        <v>0</v>
      </c>
      <c r="G245" s="190">
        <f t="shared" si="31"/>
        <v>42735</v>
      </c>
      <c r="H245" s="146">
        <f>VLOOKUP( $A245, Aop!$A$2:$N$415, 4, 0)</f>
        <v>402</v>
      </c>
      <c r="I245" s="79">
        <f t="shared" si="28"/>
        <v>2016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11189511</v>
      </c>
      <c r="E246" s="79" t="str">
        <f>Podatak_JIB</f>
        <v>4400893570007</v>
      </c>
      <c r="F246" s="79" t="b">
        <f>Konsolidovan_izvjestaj</f>
        <v>0</v>
      </c>
      <c r="G246" s="190">
        <f>Datum_Broj</f>
        <v>42735</v>
      </c>
      <c r="H246" s="79">
        <f>VLOOKUP( $A246, Aop!$A$2:$N$415, 4, 0)</f>
        <v>403</v>
      </c>
      <c r="I246" s="79">
        <f>Godina</f>
        <v>2016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11189511</v>
      </c>
      <c r="E247" s="79" t="str">
        <f t="shared" si="27"/>
        <v>4400893570007</v>
      </c>
      <c r="F247" s="79" t="b">
        <f t="shared" si="30"/>
        <v>0</v>
      </c>
      <c r="G247" s="190">
        <f t="shared" si="31"/>
        <v>42735</v>
      </c>
      <c r="H247" s="146">
        <f>VLOOKUP( $A247, Aop!$A$2:$N$415, 4, 0)</f>
        <v>404</v>
      </c>
      <c r="I247" s="79">
        <f t="shared" si="28"/>
        <v>2016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11189511</v>
      </c>
      <c r="E248" s="79" t="str">
        <f t="shared" si="27"/>
        <v>4400893570007</v>
      </c>
      <c r="F248" s="79" t="b">
        <f t="shared" si="30"/>
        <v>0</v>
      </c>
      <c r="G248" s="190">
        <f t="shared" si="31"/>
        <v>42735</v>
      </c>
      <c r="H248" s="146">
        <f>VLOOKUP( $A248, Aop!$A$2:$N$415, 4, 0)</f>
        <v>405</v>
      </c>
      <c r="I248" s="79">
        <f t="shared" si="28"/>
        <v>2016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11189511</v>
      </c>
      <c r="E249" s="79" t="str">
        <f>Podatak_JIB</f>
        <v>4400893570007</v>
      </c>
      <c r="F249" s="79" t="b">
        <f>Konsolidovan_izvjestaj</f>
        <v>0</v>
      </c>
      <c r="G249" s="190">
        <f>Datum_Broj</f>
        <v>42735</v>
      </c>
      <c r="H249" s="79">
        <f>VLOOKUP( $A249, Aop!$A$2:$N$415, 4, 0)</f>
        <v>406</v>
      </c>
      <c r="I249" s="79">
        <f>Godina</f>
        <v>2016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11189511</v>
      </c>
      <c r="E250" s="79" t="str">
        <f t="shared" si="27"/>
        <v>4400893570007</v>
      </c>
      <c r="F250" s="79" t="b">
        <f t="shared" si="30"/>
        <v>0</v>
      </c>
      <c r="G250" s="190">
        <f t="shared" si="31"/>
        <v>42735</v>
      </c>
      <c r="H250" s="146">
        <f>VLOOKUP( $A250, Aop!$A$2:$N$415, 4, 0)</f>
        <v>407</v>
      </c>
      <c r="I250" s="79">
        <f t="shared" si="28"/>
        <v>2016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11189511</v>
      </c>
      <c r="E251" s="79" t="str">
        <f t="shared" ref="E251:E308" si="35">Podatak_JIB</f>
        <v>4400893570007</v>
      </c>
      <c r="F251" s="79" t="b">
        <f t="shared" si="30"/>
        <v>0</v>
      </c>
      <c r="G251" s="190">
        <f t="shared" si="31"/>
        <v>42735</v>
      </c>
      <c r="H251" s="146">
        <f>VLOOKUP( $A251, Aop!$A$2:$N$415, 4, 0)</f>
        <v>408</v>
      </c>
      <c r="I251" s="79">
        <f t="shared" ref="I251:I308" si="36">Godina</f>
        <v>2016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11189511</v>
      </c>
      <c r="E252" s="79" t="str">
        <f t="shared" si="35"/>
        <v>4400893570007</v>
      </c>
      <c r="F252" s="79" t="b">
        <f t="shared" ref="F252:F309" si="38">Konsolidovan_izvjestaj</f>
        <v>0</v>
      </c>
      <c r="G252" s="190">
        <f t="shared" ref="G252:G309" si="39">Datum_Broj</f>
        <v>42735</v>
      </c>
      <c r="H252" s="146">
        <f>VLOOKUP( $A252, Aop!$A$2:$N$415, 4, 0)</f>
        <v>409</v>
      </c>
      <c r="I252" s="79">
        <f t="shared" si="36"/>
        <v>2016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11189511</v>
      </c>
      <c r="E253" s="79" t="str">
        <f t="shared" si="35"/>
        <v>4400893570007</v>
      </c>
      <c r="F253" s="79" t="b">
        <f t="shared" si="38"/>
        <v>0</v>
      </c>
      <c r="G253" s="190">
        <f t="shared" si="39"/>
        <v>42735</v>
      </c>
      <c r="H253" s="146">
        <f>VLOOKUP( $A253, Aop!$A$2:$N$415, 4, 0)</f>
        <v>410</v>
      </c>
      <c r="I253" s="79">
        <f t="shared" si="36"/>
        <v>2016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11189511</v>
      </c>
      <c r="E254" s="79" t="str">
        <f t="shared" si="35"/>
        <v>4400893570007</v>
      </c>
      <c r="F254" s="79" t="b">
        <f t="shared" si="38"/>
        <v>0</v>
      </c>
      <c r="G254" s="190">
        <f t="shared" si="39"/>
        <v>42735</v>
      </c>
      <c r="H254" s="146">
        <f>VLOOKUP( $A254, Aop!$A$2:$N$415, 4, 0)</f>
        <v>411</v>
      </c>
      <c r="I254" s="79">
        <f t="shared" si="36"/>
        <v>2016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11189511</v>
      </c>
      <c r="E255" s="79" t="str">
        <f t="shared" si="35"/>
        <v>4400893570007</v>
      </c>
      <c r="F255" s="79" t="b">
        <f t="shared" si="38"/>
        <v>0</v>
      </c>
      <c r="G255" s="190">
        <f t="shared" si="39"/>
        <v>42735</v>
      </c>
      <c r="H255" s="146">
        <f>VLOOKUP( $A255, Aop!$A$2:$N$415, 4, 0)</f>
        <v>412</v>
      </c>
      <c r="I255" s="79">
        <f t="shared" si="36"/>
        <v>2016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11189511</v>
      </c>
      <c r="E256" s="79" t="str">
        <f t="shared" si="35"/>
        <v>4400893570007</v>
      </c>
      <c r="F256" s="79" t="b">
        <f t="shared" si="38"/>
        <v>0</v>
      </c>
      <c r="G256" s="190">
        <f t="shared" si="39"/>
        <v>42735</v>
      </c>
      <c r="H256" s="146">
        <f>VLOOKUP( $A256, Aop!$A$2:$N$415, 4, 0)</f>
        <v>413</v>
      </c>
      <c r="I256" s="79">
        <f t="shared" si="36"/>
        <v>2016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11189511</v>
      </c>
      <c r="E257" s="79" t="str">
        <f t="shared" si="35"/>
        <v>4400893570007</v>
      </c>
      <c r="F257" s="79" t="b">
        <f t="shared" si="38"/>
        <v>0</v>
      </c>
      <c r="G257" s="190">
        <f t="shared" si="39"/>
        <v>42735</v>
      </c>
      <c r="H257" s="146">
        <f>VLOOKUP( $A257, Aop!$A$2:$N$415, 4, 0)</f>
        <v>414</v>
      </c>
      <c r="I257" s="79">
        <f t="shared" si="36"/>
        <v>2016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11189511</v>
      </c>
      <c r="E258" s="79" t="str">
        <f t="shared" si="35"/>
        <v>4400893570007</v>
      </c>
      <c r="F258" s="79" t="b">
        <f t="shared" si="38"/>
        <v>0</v>
      </c>
      <c r="G258" s="190">
        <f t="shared" si="39"/>
        <v>42735</v>
      </c>
      <c r="H258" s="146">
        <f>VLOOKUP( $A258, Aop!$A$2:$N$415, 4, 0)</f>
        <v>415</v>
      </c>
      <c r="I258" s="79">
        <f t="shared" si="36"/>
        <v>2016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11189511</v>
      </c>
      <c r="E259" s="79" t="str">
        <f t="shared" si="35"/>
        <v>4400893570007</v>
      </c>
      <c r="F259" s="79" t="b">
        <f t="shared" si="38"/>
        <v>0</v>
      </c>
      <c r="G259" s="190">
        <f t="shared" si="39"/>
        <v>42735</v>
      </c>
      <c r="H259" s="146">
        <f>VLOOKUP( $A259, Aop!$A$2:$N$415, 4, 0)</f>
        <v>416</v>
      </c>
      <c r="I259" s="79">
        <f t="shared" si="36"/>
        <v>2016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11189511</v>
      </c>
      <c r="E260" s="79" t="str">
        <f t="shared" si="35"/>
        <v>4400893570007</v>
      </c>
      <c r="F260" s="79" t="b">
        <f t="shared" si="38"/>
        <v>0</v>
      </c>
      <c r="G260" s="190">
        <f t="shared" si="39"/>
        <v>42735</v>
      </c>
      <c r="H260" s="146">
        <f>VLOOKUP( $A260, Aop!$A$2:$N$415, 4, 0)</f>
        <v>417</v>
      </c>
      <c r="I260" s="79">
        <f t="shared" si="36"/>
        <v>2016</v>
      </c>
      <c r="J260" s="79"/>
      <c r="K260" s="79"/>
      <c r="L260" s="79">
        <f t="shared" ca="1" si="40"/>
        <v>89762</v>
      </c>
      <c r="M260" s="79">
        <f t="shared" ca="1" si="41"/>
        <v>161826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11189511</v>
      </c>
      <c r="E261" s="79" t="str">
        <f t="shared" si="35"/>
        <v>4400893570007</v>
      </c>
      <c r="F261" s="79" t="b">
        <f t="shared" si="38"/>
        <v>0</v>
      </c>
      <c r="G261" s="190">
        <f t="shared" si="39"/>
        <v>42735</v>
      </c>
      <c r="H261" s="146">
        <f>VLOOKUP( $A261, Aop!$A$2:$N$415, 4, 0)</f>
        <v>418</v>
      </c>
      <c r="I261" s="79">
        <f t="shared" si="36"/>
        <v>2016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11189511</v>
      </c>
      <c r="E262" s="79" t="str">
        <f t="shared" si="35"/>
        <v>4400893570007</v>
      </c>
      <c r="F262" s="79" t="b">
        <f t="shared" si="38"/>
        <v>0</v>
      </c>
      <c r="G262" s="190">
        <f t="shared" si="39"/>
        <v>42735</v>
      </c>
      <c r="H262" s="146">
        <f>VLOOKUP( $A262, Aop!$A$2:$N$415, 4, 0)</f>
        <v>501</v>
      </c>
      <c r="I262" s="79">
        <f t="shared" si="36"/>
        <v>2016</v>
      </c>
      <c r="J262" s="79"/>
      <c r="K262" s="79"/>
      <c r="L262" s="79">
        <f t="shared" ca="1" si="40"/>
        <v>341907</v>
      </c>
      <c r="M262" s="79">
        <f t="shared" ca="1" si="41"/>
        <v>447891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11189511</v>
      </c>
      <c r="E263" s="79" t="str">
        <f t="shared" si="35"/>
        <v>4400893570007</v>
      </c>
      <c r="F263" s="79" t="b">
        <f t="shared" si="38"/>
        <v>0</v>
      </c>
      <c r="G263" s="190">
        <f t="shared" si="39"/>
        <v>42735</v>
      </c>
      <c r="H263" s="146">
        <f>VLOOKUP( $A263, Aop!$A$2:$N$415, 4, 0)</f>
        <v>502</v>
      </c>
      <c r="I263" s="79">
        <f t="shared" si="36"/>
        <v>2016</v>
      </c>
      <c r="J263" s="79"/>
      <c r="K263" s="79"/>
      <c r="L263" s="79">
        <f t="shared" ca="1" si="40"/>
        <v>318598</v>
      </c>
      <c r="M263" s="79">
        <f t="shared" ca="1" si="41"/>
        <v>393673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11189511</v>
      </c>
      <c r="E264" s="79" t="str">
        <f t="shared" si="35"/>
        <v>4400893570007</v>
      </c>
      <c r="F264" s="79" t="b">
        <f t="shared" si="38"/>
        <v>0</v>
      </c>
      <c r="G264" s="190">
        <f t="shared" si="39"/>
        <v>42735</v>
      </c>
      <c r="H264" s="146">
        <f>VLOOKUP( $A264, Aop!$A$2:$N$415, 4, 0)</f>
        <v>503</v>
      </c>
      <c r="I264" s="79">
        <f t="shared" si="36"/>
        <v>2016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11189511</v>
      </c>
      <c r="E265" s="79" t="str">
        <f t="shared" si="35"/>
        <v>4400893570007</v>
      </c>
      <c r="F265" s="79" t="b">
        <f t="shared" si="38"/>
        <v>0</v>
      </c>
      <c r="G265" s="190">
        <f t="shared" si="39"/>
        <v>42735</v>
      </c>
      <c r="H265" s="146">
        <f>VLOOKUP( $A265, Aop!$A$2:$N$415, 4, 0)</f>
        <v>504</v>
      </c>
      <c r="I265" s="79">
        <f t="shared" si="36"/>
        <v>2016</v>
      </c>
      <c r="J265" s="79"/>
      <c r="K265" s="79"/>
      <c r="L265" s="79">
        <f t="shared" ca="1" si="40"/>
        <v>23309</v>
      </c>
      <c r="M265" s="79">
        <f t="shared" ca="1" si="41"/>
        <v>54218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11189511</v>
      </c>
      <c r="E266" s="79" t="str">
        <f t="shared" si="35"/>
        <v>4400893570007</v>
      </c>
      <c r="F266" s="79" t="b">
        <f t="shared" si="38"/>
        <v>0</v>
      </c>
      <c r="G266" s="190">
        <f t="shared" si="39"/>
        <v>42735</v>
      </c>
      <c r="H266" s="146">
        <f>VLOOKUP( $A266, Aop!$A$2:$N$415, 4, 0)</f>
        <v>505</v>
      </c>
      <c r="I266" s="79">
        <f t="shared" si="36"/>
        <v>2016</v>
      </c>
      <c r="J266" s="79"/>
      <c r="K266" s="79"/>
      <c r="L266" s="79">
        <f t="shared" ca="1" si="40"/>
        <v>306597</v>
      </c>
      <c r="M266" s="79">
        <f t="shared" ca="1" si="41"/>
        <v>693618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11189511</v>
      </c>
      <c r="E267" s="79" t="str">
        <f t="shared" si="35"/>
        <v>4400893570007</v>
      </c>
      <c r="F267" s="79" t="b">
        <f t="shared" si="38"/>
        <v>0</v>
      </c>
      <c r="G267" s="190">
        <f t="shared" si="39"/>
        <v>42735</v>
      </c>
      <c r="H267" s="146">
        <f>VLOOKUP( $A267, Aop!$A$2:$N$415, 4, 0)</f>
        <v>506</v>
      </c>
      <c r="I267" s="79">
        <f t="shared" si="36"/>
        <v>2016</v>
      </c>
      <c r="J267" s="79"/>
      <c r="K267" s="79"/>
      <c r="L267" s="79">
        <f t="shared" ca="1" si="40"/>
        <v>167377</v>
      </c>
      <c r="M267" s="79">
        <f t="shared" ca="1" si="41"/>
        <v>353480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11189511</v>
      </c>
      <c r="E268" s="79" t="str">
        <f t="shared" si="35"/>
        <v>4400893570007</v>
      </c>
      <c r="F268" s="79" t="b">
        <f t="shared" si="38"/>
        <v>0</v>
      </c>
      <c r="G268" s="190">
        <f t="shared" si="39"/>
        <v>42735</v>
      </c>
      <c r="H268" s="146">
        <f>VLOOKUP( $A268, Aop!$A$2:$N$415, 4, 0)</f>
        <v>507</v>
      </c>
      <c r="I268" s="79">
        <f t="shared" si="36"/>
        <v>2016</v>
      </c>
      <c r="J268" s="79"/>
      <c r="K268" s="79"/>
      <c r="L268" s="79">
        <f t="shared" ca="1" si="40"/>
        <v>951</v>
      </c>
      <c r="M268" s="79">
        <f t="shared" ca="1" si="41"/>
        <v>22801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11189511</v>
      </c>
      <c r="E269" s="79" t="str">
        <f t="shared" si="35"/>
        <v>4400893570007</v>
      </c>
      <c r="F269" s="79" t="b">
        <f t="shared" si="38"/>
        <v>0</v>
      </c>
      <c r="G269" s="190">
        <f t="shared" si="39"/>
        <v>42735</v>
      </c>
      <c r="H269" s="146">
        <f>VLOOKUP( $A269, Aop!$A$2:$N$415, 4, 0)</f>
        <v>508</v>
      </c>
      <c r="I269" s="79">
        <f t="shared" si="36"/>
        <v>2016</v>
      </c>
      <c r="J269" s="79"/>
      <c r="K269" s="79"/>
      <c r="L269" s="79">
        <f t="shared" ca="1" si="40"/>
        <v>22643</v>
      </c>
      <c r="M269" s="79">
        <f t="shared" ca="1" si="41"/>
        <v>8008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11189511</v>
      </c>
      <c r="E270" s="79" t="str">
        <f t="shared" si="35"/>
        <v>4400893570007</v>
      </c>
      <c r="F270" s="79" t="b">
        <f t="shared" si="38"/>
        <v>0</v>
      </c>
      <c r="G270" s="190">
        <f t="shared" si="39"/>
        <v>42735</v>
      </c>
      <c r="H270" s="146">
        <f>VLOOKUP( $A270, Aop!$A$2:$N$415, 4, 0)</f>
        <v>509</v>
      </c>
      <c r="I270" s="79">
        <f t="shared" si="36"/>
        <v>2016</v>
      </c>
      <c r="J270" s="79"/>
      <c r="K270" s="79"/>
      <c r="L270" s="79" t="str">
        <f t="shared" ca="1" si="40"/>
        <v/>
      </c>
      <c r="M270" s="79" t="str">
        <f t="shared" ca="1" si="41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11189511</v>
      </c>
      <c r="E271" s="79" t="str">
        <f t="shared" si="35"/>
        <v>4400893570007</v>
      </c>
      <c r="F271" s="79" t="b">
        <f t="shared" si="38"/>
        <v>0</v>
      </c>
      <c r="G271" s="190">
        <f t="shared" si="39"/>
        <v>42735</v>
      </c>
      <c r="H271" s="146">
        <f>VLOOKUP( $A271, Aop!$A$2:$N$415, 4, 0)</f>
        <v>510</v>
      </c>
      <c r="I271" s="79">
        <f t="shared" si="36"/>
        <v>2016</v>
      </c>
      <c r="J271" s="79"/>
      <c r="K271" s="79"/>
      <c r="L271" s="79">
        <f t="shared" ca="1" si="40"/>
        <v>115626</v>
      </c>
      <c r="M271" s="79">
        <f t="shared" ca="1" si="41"/>
        <v>309329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11189511</v>
      </c>
      <c r="E272" s="79" t="str">
        <f>Podatak_JIB</f>
        <v>4400893570007</v>
      </c>
      <c r="F272" s="79" t="b">
        <f>Konsolidovan_izvjestaj</f>
        <v>0</v>
      </c>
      <c r="G272" s="190">
        <f>Datum_Broj</f>
        <v>42735</v>
      </c>
      <c r="H272" s="79">
        <f>VLOOKUP( $A272, Aop!$A$2:$N$415, 4, 0)</f>
        <v>511</v>
      </c>
      <c r="I272" s="79">
        <f>Godina</f>
        <v>2016</v>
      </c>
      <c r="J272" s="79"/>
      <c r="K272" s="79"/>
      <c r="L272" s="79">
        <f ca="1">IF(VLOOKUP($H272,INDIRECT("Lookup_"&amp;$B272),IF($B272="BS",R$2,R$1),0)="","",VLOOKUP($H272,INDIRECT("Lookup_"&amp;$B272),IF($B272="BS",R$2,R$1),0))</f>
        <v>35310</v>
      </c>
      <c r="M272" s="79">
        <f ca="1">IF(VLOOKUP($H272,INDIRECT("Lookup_"&amp;$B272),IF($B272="BS",S$2,S$1),0)="","",VLOOKUP($H272,INDIRECT("Lookup_"&amp;$B272),IF($B272="BS",S$2,S$1),0))</f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11189511</v>
      </c>
      <c r="E273" s="79" t="str">
        <f t="shared" si="35"/>
        <v>4400893570007</v>
      </c>
      <c r="F273" s="79" t="b">
        <f t="shared" si="38"/>
        <v>0</v>
      </c>
      <c r="G273" s="190">
        <f t="shared" si="39"/>
        <v>42735</v>
      </c>
      <c r="H273" s="146">
        <f>VLOOKUP( $A273, Aop!$A$2:$N$415, 4, 0)</f>
        <v>512</v>
      </c>
      <c r="I273" s="79">
        <f t="shared" si="36"/>
        <v>2016</v>
      </c>
      <c r="J273" s="79"/>
      <c r="K273" s="79"/>
      <c r="L273" s="79">
        <f t="shared" ca="1" si="40"/>
        <v>0</v>
      </c>
      <c r="M273" s="79">
        <f t="shared" ca="1" si="41"/>
        <v>245727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11189511</v>
      </c>
      <c r="E274" s="79" t="str">
        <f t="shared" si="35"/>
        <v>4400893570007</v>
      </c>
      <c r="F274" s="79" t="b">
        <f t="shared" si="38"/>
        <v>0</v>
      </c>
      <c r="G274" s="190">
        <f t="shared" si="39"/>
        <v>42735</v>
      </c>
      <c r="H274" s="146">
        <f>VLOOKUP( $A274, Aop!$A$2:$N$415, 4, 0)</f>
        <v>513</v>
      </c>
      <c r="I274" s="79">
        <f t="shared" si="36"/>
        <v>2016</v>
      </c>
      <c r="J274" s="79"/>
      <c r="K274" s="79"/>
      <c r="L274" s="79">
        <f t="shared" ca="1" si="40"/>
        <v>0</v>
      </c>
      <c r="M274" s="79">
        <f t="shared" ca="1" si="41"/>
        <v>27454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11189511</v>
      </c>
      <c r="E275" s="79" t="str">
        <f t="shared" si="35"/>
        <v>4400893570007</v>
      </c>
      <c r="F275" s="79" t="b">
        <f t="shared" si="38"/>
        <v>0</v>
      </c>
      <c r="G275" s="190">
        <f t="shared" si="39"/>
        <v>42735</v>
      </c>
      <c r="H275" s="146">
        <f>VLOOKUP( $A275, Aop!$A$2:$N$415, 4, 0)</f>
        <v>514</v>
      </c>
      <c r="I275" s="79">
        <f t="shared" si="36"/>
        <v>2016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11189511</v>
      </c>
      <c r="E276" s="79" t="str">
        <f t="shared" si="35"/>
        <v>4400893570007</v>
      </c>
      <c r="F276" s="79" t="b">
        <f t="shared" si="38"/>
        <v>0</v>
      </c>
      <c r="G276" s="190">
        <f t="shared" si="39"/>
        <v>42735</v>
      </c>
      <c r="H276" s="146">
        <f>VLOOKUP( $A276, Aop!$A$2:$N$415, 4, 0)</f>
        <v>515</v>
      </c>
      <c r="I276" s="79">
        <f t="shared" si="36"/>
        <v>2016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11189511</v>
      </c>
      <c r="E277" s="79" t="str">
        <f t="shared" si="35"/>
        <v>4400893570007</v>
      </c>
      <c r="F277" s="79" t="b">
        <f t="shared" si="38"/>
        <v>0</v>
      </c>
      <c r="G277" s="190">
        <f t="shared" si="39"/>
        <v>42735</v>
      </c>
      <c r="H277" s="146">
        <f>VLOOKUP( $A277, Aop!$A$2:$N$415, 4, 0)</f>
        <v>516</v>
      </c>
      <c r="I277" s="79">
        <f t="shared" si="36"/>
        <v>2016</v>
      </c>
      <c r="J277" s="79"/>
      <c r="K277" s="79"/>
      <c r="L277" s="79">
        <f t="shared" ca="1" si="40"/>
        <v>0</v>
      </c>
      <c r="M277" s="79">
        <f t="shared" ca="1" si="41"/>
        <v>27454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11189511</v>
      </c>
      <c r="E278" s="79" t="str">
        <f t="shared" si="35"/>
        <v>4400893570007</v>
      </c>
      <c r="F278" s="79" t="b">
        <f t="shared" si="38"/>
        <v>0</v>
      </c>
      <c r="G278" s="190">
        <f t="shared" si="39"/>
        <v>42735</v>
      </c>
      <c r="H278" s="146">
        <f>VLOOKUP( $A278, Aop!$A$2:$N$415, 4, 0)</f>
        <v>517</v>
      </c>
      <c r="I278" s="79">
        <f t="shared" si="36"/>
        <v>2016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11189511</v>
      </c>
      <c r="E279" s="79" t="str">
        <f t="shared" si="35"/>
        <v>4400893570007</v>
      </c>
      <c r="F279" s="79" t="b">
        <f t="shared" si="38"/>
        <v>0</v>
      </c>
      <c r="G279" s="190">
        <f t="shared" si="39"/>
        <v>42735</v>
      </c>
      <c r="H279" s="146">
        <f>VLOOKUP( $A279, Aop!$A$2:$N$415, 4, 0)</f>
        <v>518</v>
      </c>
      <c r="I279" s="79">
        <f t="shared" si="36"/>
        <v>2016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11189511</v>
      </c>
      <c r="E280" s="79" t="str">
        <f t="shared" si="35"/>
        <v>4400893570007</v>
      </c>
      <c r="F280" s="79" t="b">
        <f t="shared" si="38"/>
        <v>0</v>
      </c>
      <c r="G280" s="190">
        <f t="shared" si="39"/>
        <v>42735</v>
      </c>
      <c r="H280" s="146">
        <f>VLOOKUP( $A280, Aop!$A$2:$N$415, 4, 0)</f>
        <v>519</v>
      </c>
      <c r="I280" s="79">
        <f t="shared" si="36"/>
        <v>2016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11189511</v>
      </c>
      <c r="E281" s="79" t="str">
        <f t="shared" si="35"/>
        <v>4400893570007</v>
      </c>
      <c r="F281" s="79" t="b">
        <f t="shared" si="38"/>
        <v>0</v>
      </c>
      <c r="G281" s="190">
        <f t="shared" si="39"/>
        <v>42735</v>
      </c>
      <c r="H281" s="146">
        <f>VLOOKUP( $A281, Aop!$A$2:$N$415, 4, 0)</f>
        <v>520</v>
      </c>
      <c r="I281" s="79">
        <f t="shared" si="36"/>
        <v>2016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11189511</v>
      </c>
      <c r="E282" s="79" t="str">
        <f t="shared" si="35"/>
        <v>4400893570007</v>
      </c>
      <c r="F282" s="79" t="b">
        <f t="shared" si="38"/>
        <v>0</v>
      </c>
      <c r="G282" s="190">
        <f t="shared" si="39"/>
        <v>42735</v>
      </c>
      <c r="H282" s="146">
        <f>VLOOKUP( $A282, Aop!$A$2:$N$415, 4, 0)</f>
        <v>521</v>
      </c>
      <c r="I282" s="79">
        <f t="shared" si="36"/>
        <v>2016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11189511</v>
      </c>
      <c r="E283" s="79" t="str">
        <f t="shared" si="35"/>
        <v>4400893570007</v>
      </c>
      <c r="F283" s="79" t="b">
        <f t="shared" si="38"/>
        <v>0</v>
      </c>
      <c r="G283" s="190">
        <f t="shared" si="39"/>
        <v>42735</v>
      </c>
      <c r="H283" s="146">
        <f>VLOOKUP( $A283, Aop!$A$2:$N$415, 4, 0)</f>
        <v>522</v>
      </c>
      <c r="I283" s="79">
        <f t="shared" si="36"/>
        <v>2016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11189511</v>
      </c>
      <c r="E284" s="79" t="str">
        <f t="shared" si="35"/>
        <v>4400893570007</v>
      </c>
      <c r="F284" s="79" t="b">
        <f t="shared" si="38"/>
        <v>0</v>
      </c>
      <c r="G284" s="190">
        <f t="shared" si="39"/>
        <v>42735</v>
      </c>
      <c r="H284" s="146">
        <f>VLOOKUP( $A284, Aop!$A$2:$N$415, 4, 0)</f>
        <v>523</v>
      </c>
      <c r="I284" s="79">
        <f t="shared" si="36"/>
        <v>2016</v>
      </c>
      <c r="J284" s="79"/>
      <c r="K284" s="79"/>
      <c r="L284" s="79" t="str">
        <f t="shared" ca="1" si="40"/>
        <v/>
      </c>
      <c r="M284" s="79" t="str">
        <f t="shared" ca="1" si="41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11189511</v>
      </c>
      <c r="E285" s="79" t="str">
        <f t="shared" si="35"/>
        <v>4400893570007</v>
      </c>
      <c r="F285" s="79" t="b">
        <f t="shared" si="38"/>
        <v>0</v>
      </c>
      <c r="G285" s="190">
        <f t="shared" si="39"/>
        <v>42735</v>
      </c>
      <c r="H285" s="146">
        <f>VLOOKUP( $A285, Aop!$A$2:$N$415, 4, 0)</f>
        <v>524</v>
      </c>
      <c r="I285" s="79">
        <f t="shared" si="36"/>
        <v>2016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11189511</v>
      </c>
      <c r="E286" s="79" t="str">
        <f t="shared" si="35"/>
        <v>4400893570007</v>
      </c>
      <c r="F286" s="79" t="b">
        <f t="shared" si="38"/>
        <v>0</v>
      </c>
      <c r="G286" s="190">
        <f t="shared" si="39"/>
        <v>42735</v>
      </c>
      <c r="H286" s="146">
        <f>VLOOKUP( $A286, Aop!$A$2:$N$415, 4, 0)</f>
        <v>525</v>
      </c>
      <c r="I286" s="79">
        <f t="shared" si="36"/>
        <v>2016</v>
      </c>
      <c r="J286" s="79"/>
      <c r="K286" s="79"/>
      <c r="L286" s="79">
        <f t="shared" ca="1" si="40"/>
        <v>0</v>
      </c>
      <c r="M286" s="79">
        <f t="shared" ca="1" si="41"/>
        <v>27454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11189511</v>
      </c>
      <c r="E287" s="79" t="str">
        <f t="shared" si="35"/>
        <v>4400893570007</v>
      </c>
      <c r="F287" s="79" t="b">
        <f t="shared" si="38"/>
        <v>0</v>
      </c>
      <c r="G287" s="190">
        <f t="shared" si="39"/>
        <v>42735</v>
      </c>
      <c r="H287" s="146">
        <f>VLOOKUP( $A287, Aop!$A$2:$N$415, 4, 0)</f>
        <v>526</v>
      </c>
      <c r="I287" s="79">
        <f t="shared" si="36"/>
        <v>2016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11189511</v>
      </c>
      <c r="E288" s="79" t="str">
        <f t="shared" si="35"/>
        <v>4400893570007</v>
      </c>
      <c r="F288" s="79" t="b">
        <f t="shared" si="38"/>
        <v>0</v>
      </c>
      <c r="G288" s="190">
        <f t="shared" si="39"/>
        <v>42735</v>
      </c>
      <c r="H288" s="146">
        <f>VLOOKUP( $A288, Aop!$A$2:$N$415, 4, 0)</f>
        <v>527</v>
      </c>
      <c r="I288" s="79">
        <f t="shared" si="36"/>
        <v>2016</v>
      </c>
      <c r="J288" s="79"/>
      <c r="K288" s="79"/>
      <c r="L288" s="79">
        <f t="shared" ca="1" si="40"/>
        <v>210000</v>
      </c>
      <c r="M288" s="79">
        <f t="shared" ca="1" si="41"/>
        <v>363300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11189511</v>
      </c>
      <c r="E289" s="79" t="str">
        <f t="shared" si="35"/>
        <v>4400893570007</v>
      </c>
      <c r="F289" s="79" t="b">
        <f t="shared" si="38"/>
        <v>0</v>
      </c>
      <c r="G289" s="190">
        <f t="shared" si="39"/>
        <v>42735</v>
      </c>
      <c r="H289" s="146">
        <f>VLOOKUP( $A289, Aop!$A$2:$N$415, 4, 0)</f>
        <v>528</v>
      </c>
      <c r="I289" s="79">
        <f t="shared" si="36"/>
        <v>2016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11189511</v>
      </c>
      <c r="E290" s="79" t="str">
        <f t="shared" si="35"/>
        <v>4400893570007</v>
      </c>
      <c r="F290" s="79" t="b">
        <f t="shared" si="38"/>
        <v>0</v>
      </c>
      <c r="G290" s="190">
        <f t="shared" si="39"/>
        <v>42735</v>
      </c>
      <c r="H290" s="146">
        <f>VLOOKUP( $A290, Aop!$A$2:$N$415, 4, 0)</f>
        <v>529</v>
      </c>
      <c r="I290" s="79">
        <f t="shared" si="36"/>
        <v>2016</v>
      </c>
      <c r="J290" s="79"/>
      <c r="K290" s="79"/>
      <c r="L290" s="79">
        <f t="shared" ca="1" si="40"/>
        <v>190000</v>
      </c>
      <c r="M290" s="79">
        <f t="shared" ca="1" si="41"/>
        <v>160000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11189511</v>
      </c>
      <c r="E291" s="79" t="str">
        <f t="shared" si="35"/>
        <v>4400893570007</v>
      </c>
      <c r="F291" s="79" t="b">
        <f t="shared" si="38"/>
        <v>0</v>
      </c>
      <c r="G291" s="190">
        <f t="shared" si="39"/>
        <v>42735</v>
      </c>
      <c r="H291" s="146">
        <f>VLOOKUP( $A291, Aop!$A$2:$N$415, 4, 0)</f>
        <v>530</v>
      </c>
      <c r="I291" s="79">
        <f t="shared" si="36"/>
        <v>2016</v>
      </c>
      <c r="J291" s="79"/>
      <c r="K291" s="79"/>
      <c r="L291" s="79">
        <f t="shared" ca="1" si="40"/>
        <v>20000</v>
      </c>
      <c r="M291" s="79">
        <f t="shared" ca="1" si="41"/>
        <v>203300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11189511</v>
      </c>
      <c r="E292" s="79" t="str">
        <f t="shared" si="35"/>
        <v>4400893570007</v>
      </c>
      <c r="F292" s="79" t="b">
        <f t="shared" si="38"/>
        <v>0</v>
      </c>
      <c r="G292" s="190">
        <f t="shared" si="39"/>
        <v>42735</v>
      </c>
      <c r="H292" s="146">
        <f>VLOOKUP( $A292, Aop!$A$2:$N$415, 4, 0)</f>
        <v>531</v>
      </c>
      <c r="I292" s="79">
        <f t="shared" si="36"/>
        <v>2016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11189511</v>
      </c>
      <c r="E293" s="79" t="str">
        <f t="shared" si="35"/>
        <v>4400893570007</v>
      </c>
      <c r="F293" s="79" t="b">
        <f t="shared" si="38"/>
        <v>0</v>
      </c>
      <c r="G293" s="190">
        <f t="shared" si="39"/>
        <v>42735</v>
      </c>
      <c r="H293" s="146">
        <f>VLOOKUP( $A293, Aop!$A$2:$N$415, 4, 0)</f>
        <v>532</v>
      </c>
      <c r="I293" s="79">
        <f t="shared" si="36"/>
        <v>2016</v>
      </c>
      <c r="J293" s="79"/>
      <c r="K293" s="79"/>
      <c r="L293" s="79">
        <f t="shared" ca="1" si="40"/>
        <v>246813</v>
      </c>
      <c r="M293" s="79">
        <f t="shared" ca="1" si="41"/>
        <v>145323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11189511</v>
      </c>
      <c r="E294" s="79" t="str">
        <f t="shared" si="35"/>
        <v>4400893570007</v>
      </c>
      <c r="F294" s="79" t="b">
        <f t="shared" si="38"/>
        <v>0</v>
      </c>
      <c r="G294" s="190">
        <f t="shared" si="39"/>
        <v>42735</v>
      </c>
      <c r="H294" s="146">
        <f>VLOOKUP( $A294, Aop!$A$2:$N$415, 4, 0)</f>
        <v>533</v>
      </c>
      <c r="I294" s="79">
        <f t="shared" si="36"/>
        <v>2016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11189511</v>
      </c>
      <c r="E295" s="79" t="str">
        <f t="shared" si="35"/>
        <v>4400893570007</v>
      </c>
      <c r="F295" s="79" t="b">
        <f t="shared" si="38"/>
        <v>0</v>
      </c>
      <c r="G295" s="190">
        <f t="shared" si="39"/>
        <v>42735</v>
      </c>
      <c r="H295" s="146">
        <f>VLOOKUP( $A295, Aop!$A$2:$N$415, 4, 0)</f>
        <v>534</v>
      </c>
      <c r="I295" s="79">
        <f t="shared" si="36"/>
        <v>2016</v>
      </c>
      <c r="J295" s="79"/>
      <c r="K295" s="79"/>
      <c r="L295" s="79">
        <f t="shared" ca="1" si="40"/>
        <v>65814</v>
      </c>
      <c r="M295" s="79">
        <f t="shared" ca="1" si="41"/>
        <v>83823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11189511</v>
      </c>
      <c r="E296" s="79" t="str">
        <f t="shared" si="35"/>
        <v>4400893570007</v>
      </c>
      <c r="F296" s="79" t="b">
        <f t="shared" si="38"/>
        <v>0</v>
      </c>
      <c r="G296" s="190">
        <f t="shared" si="39"/>
        <v>42735</v>
      </c>
      <c r="H296" s="146">
        <f>VLOOKUP( $A296, Aop!$A$2:$N$415, 4, 0)</f>
        <v>535</v>
      </c>
      <c r="I296" s="79">
        <f t="shared" si="36"/>
        <v>2016</v>
      </c>
      <c r="J296" s="79"/>
      <c r="K296" s="79"/>
      <c r="L296" s="79">
        <f t="shared" ca="1" si="40"/>
        <v>58999</v>
      </c>
      <c r="M296" s="79">
        <f t="shared" ca="1" si="41"/>
        <v>61500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11189511</v>
      </c>
      <c r="E297" s="79" t="str">
        <f t="shared" si="35"/>
        <v>4400893570007</v>
      </c>
      <c r="F297" s="79" t="b">
        <f t="shared" si="38"/>
        <v>0</v>
      </c>
      <c r="G297" s="190">
        <f t="shared" si="39"/>
        <v>42735</v>
      </c>
      <c r="H297" s="146">
        <f>VLOOKUP( $A297, Aop!$A$2:$N$415, 4, 0)</f>
        <v>536</v>
      </c>
      <c r="I297" s="79">
        <f t="shared" si="36"/>
        <v>2016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11189511</v>
      </c>
      <c r="E298" s="79" t="str">
        <f t="shared" si="35"/>
        <v>4400893570007</v>
      </c>
      <c r="F298" s="79" t="b">
        <f t="shared" si="38"/>
        <v>0</v>
      </c>
      <c r="G298" s="190">
        <f t="shared" si="39"/>
        <v>42735</v>
      </c>
      <c r="H298" s="146">
        <f>VLOOKUP( $A298, Aop!$A$2:$N$415, 4, 0)</f>
        <v>537</v>
      </c>
      <c r="I298" s="79">
        <f t="shared" si="36"/>
        <v>2016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11189511</v>
      </c>
      <c r="E299" s="79" t="str">
        <f t="shared" si="35"/>
        <v>4400893570007</v>
      </c>
      <c r="F299" s="79" t="b">
        <f t="shared" si="38"/>
        <v>0</v>
      </c>
      <c r="G299" s="190">
        <f t="shared" si="39"/>
        <v>42735</v>
      </c>
      <c r="H299" s="146">
        <f>VLOOKUP( $A299, Aop!$A$2:$N$415, 4, 0)</f>
        <v>538</v>
      </c>
      <c r="I299" s="79">
        <f t="shared" si="36"/>
        <v>2016</v>
      </c>
      <c r="J299" s="79"/>
      <c r="K299" s="79"/>
      <c r="L299" s="79">
        <f t="shared" ca="1" si="40"/>
        <v>122000</v>
      </c>
      <c r="M299" s="79">
        <f t="shared" ca="1" si="41"/>
        <v>0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11189511</v>
      </c>
      <c r="E300" s="79" t="str">
        <f t="shared" si="35"/>
        <v>4400893570007</v>
      </c>
      <c r="F300" s="79" t="b">
        <f t="shared" si="38"/>
        <v>0</v>
      </c>
      <c r="G300" s="190">
        <f t="shared" si="39"/>
        <v>42735</v>
      </c>
      <c r="H300" s="146">
        <f>VLOOKUP( $A300, Aop!$A$2:$N$415, 4, 0)</f>
        <v>539</v>
      </c>
      <c r="I300" s="79">
        <f t="shared" si="36"/>
        <v>2016</v>
      </c>
      <c r="J300" s="79"/>
      <c r="K300" s="79"/>
      <c r="L300" s="79">
        <f t="shared" ca="1" si="40"/>
        <v>0</v>
      </c>
      <c r="M300" s="79">
        <f t="shared" ca="1" si="41"/>
        <v>217977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11189511</v>
      </c>
      <c r="E301" s="79" t="str">
        <f t="shared" si="35"/>
        <v>4400893570007</v>
      </c>
      <c r="F301" s="79" t="b">
        <f t="shared" si="38"/>
        <v>0</v>
      </c>
      <c r="G301" s="190">
        <f t="shared" si="39"/>
        <v>42735</v>
      </c>
      <c r="H301" s="146">
        <f>VLOOKUP( $A301, Aop!$A$2:$N$415, 4, 0)</f>
        <v>540</v>
      </c>
      <c r="I301" s="79">
        <f t="shared" si="36"/>
        <v>2016</v>
      </c>
      <c r="J301" s="79"/>
      <c r="K301" s="79"/>
      <c r="L301" s="79">
        <f t="shared" ca="1" si="40"/>
        <v>36813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11189511</v>
      </c>
      <c r="E302" s="79" t="str">
        <f t="shared" si="35"/>
        <v>4400893570007</v>
      </c>
      <c r="F302" s="79" t="b">
        <f t="shared" si="38"/>
        <v>0</v>
      </c>
      <c r="G302" s="190">
        <f t="shared" si="39"/>
        <v>42735</v>
      </c>
      <c r="H302" s="146">
        <f>VLOOKUP( $A302, Aop!$A$2:$N$415, 4, 0)</f>
        <v>541</v>
      </c>
      <c r="I302" s="79">
        <f t="shared" si="36"/>
        <v>2016</v>
      </c>
      <c r="J302" s="79"/>
      <c r="K302" s="79"/>
      <c r="L302" s="79">
        <f t="shared" ca="1" si="40"/>
        <v>551907</v>
      </c>
      <c r="M302" s="79">
        <f t="shared" ca="1" si="41"/>
        <v>838645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11189511</v>
      </c>
      <c r="E303" s="79" t="str">
        <f t="shared" si="35"/>
        <v>4400893570007</v>
      </c>
      <c r="F303" s="79" t="b">
        <f t="shared" si="38"/>
        <v>0</v>
      </c>
      <c r="G303" s="190">
        <f t="shared" si="39"/>
        <v>42735</v>
      </c>
      <c r="H303" s="146">
        <f>VLOOKUP( $A303, Aop!$A$2:$N$415, 4, 0)</f>
        <v>542</v>
      </c>
      <c r="I303" s="79">
        <f t="shared" si="36"/>
        <v>2016</v>
      </c>
      <c r="J303" s="79"/>
      <c r="K303" s="79"/>
      <c r="L303" s="79">
        <f t="shared" ca="1" si="40"/>
        <v>553410</v>
      </c>
      <c r="M303" s="79">
        <f t="shared" ca="1" si="41"/>
        <v>838941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11189511</v>
      </c>
      <c r="E304" s="79" t="str">
        <f t="shared" si="35"/>
        <v>4400893570007</v>
      </c>
      <c r="F304" s="79" t="b">
        <f t="shared" si="38"/>
        <v>0</v>
      </c>
      <c r="G304" s="190">
        <f t="shared" si="39"/>
        <v>42735</v>
      </c>
      <c r="H304" s="146">
        <f>VLOOKUP( $A304, Aop!$A$2:$N$415, 4, 0)</f>
        <v>543</v>
      </c>
      <c r="I304" s="79">
        <f t="shared" si="36"/>
        <v>2016</v>
      </c>
      <c r="J304" s="79"/>
      <c r="K304" s="79"/>
      <c r="L304" s="79">
        <f t="shared" ca="1" si="40"/>
        <v>0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11189511</v>
      </c>
      <c r="E305" s="79" t="str">
        <f t="shared" si="35"/>
        <v>4400893570007</v>
      </c>
      <c r="F305" s="79" t="b">
        <f t="shared" si="38"/>
        <v>0</v>
      </c>
      <c r="G305" s="190">
        <f t="shared" si="39"/>
        <v>42735</v>
      </c>
      <c r="H305" s="146">
        <f>VLOOKUP( $A305, Aop!$A$2:$N$415, 4, 0)</f>
        <v>544</v>
      </c>
      <c r="I305" s="79">
        <f t="shared" si="36"/>
        <v>2016</v>
      </c>
      <c r="J305" s="79"/>
      <c r="K305" s="79"/>
      <c r="L305" s="79">
        <f t="shared" ca="1" si="40"/>
        <v>1503</v>
      </c>
      <c r="M305" s="79">
        <f t="shared" ca="1" si="41"/>
        <v>296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11189511</v>
      </c>
      <c r="E306" s="79" t="str">
        <f t="shared" si="35"/>
        <v>4400893570007</v>
      </c>
      <c r="F306" s="79" t="b">
        <f t="shared" si="38"/>
        <v>0</v>
      </c>
      <c r="G306" s="190">
        <f t="shared" si="39"/>
        <v>42735</v>
      </c>
      <c r="H306" s="146">
        <f>VLOOKUP( $A306, Aop!$A$2:$N$415, 4, 0)</f>
        <v>545</v>
      </c>
      <c r="I306" s="79">
        <f t="shared" si="36"/>
        <v>2016</v>
      </c>
      <c r="J306" s="79"/>
      <c r="K306" s="79"/>
      <c r="L306" s="79">
        <f t="shared" ca="1" si="40"/>
        <v>53558</v>
      </c>
      <c r="M306" s="79">
        <f t="shared" ca="1" si="41"/>
        <v>53854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11189511</v>
      </c>
      <c r="E307" s="79" t="str">
        <f t="shared" si="35"/>
        <v>4400893570007</v>
      </c>
      <c r="F307" s="79" t="b">
        <f t="shared" si="38"/>
        <v>0</v>
      </c>
      <c r="G307" s="190">
        <f t="shared" si="39"/>
        <v>42735</v>
      </c>
      <c r="H307" s="146">
        <f>VLOOKUP( $A307, Aop!$A$2:$N$415, 4, 0)</f>
        <v>546</v>
      </c>
      <c r="I307" s="79">
        <f t="shared" si="36"/>
        <v>2016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11189511</v>
      </c>
      <c r="E308" s="79" t="str">
        <f t="shared" si="35"/>
        <v>4400893570007</v>
      </c>
      <c r="F308" s="79" t="b">
        <f t="shared" si="38"/>
        <v>0</v>
      </c>
      <c r="G308" s="190">
        <f t="shared" si="39"/>
        <v>42735</v>
      </c>
      <c r="H308" s="146">
        <f>VLOOKUP( $A308, Aop!$A$2:$N$415, 4, 0)</f>
        <v>547</v>
      </c>
      <c r="I308" s="79">
        <f t="shared" si="36"/>
        <v>2016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11189511</v>
      </c>
      <c r="E309" s="79" t="str">
        <f t="shared" ref="E309:E354" si="43">Podatak_JIB</f>
        <v>4400893570007</v>
      </c>
      <c r="F309" s="79" t="b">
        <f t="shared" si="38"/>
        <v>0</v>
      </c>
      <c r="G309" s="190">
        <f t="shared" si="39"/>
        <v>42735</v>
      </c>
      <c r="H309" s="146">
        <f>VLOOKUP( $A309, Aop!$A$2:$N$415, 4, 0)</f>
        <v>548</v>
      </c>
      <c r="I309" s="79">
        <f t="shared" ref="I309:I354" si="44">Godina</f>
        <v>2016</v>
      </c>
      <c r="J309" s="79"/>
      <c r="K309" s="79"/>
      <c r="L309" s="79">
        <f t="shared" ca="1" si="40"/>
        <v>52055</v>
      </c>
      <c r="M309" s="79">
        <f t="shared" ca="1" si="41"/>
        <v>53558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11189511</v>
      </c>
      <c r="E310" s="79" t="str">
        <f t="shared" si="43"/>
        <v>4400893570007</v>
      </c>
      <c r="F310" s="79" t="b">
        <f t="shared" ref="F310:F354" si="46">Konsolidovan_izvjestaj</f>
        <v>0</v>
      </c>
      <c r="G310" s="190">
        <f t="shared" ref="G310:G354" si="47">Datum_Broj</f>
        <v>42735</v>
      </c>
      <c r="H310" s="146">
        <f>VLOOKUP( $A310, Aop!$A$2:$N$415, 4, 0)</f>
        <v>601</v>
      </c>
      <c r="I310" s="79">
        <f t="shared" si="44"/>
        <v>2016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11189511</v>
      </c>
      <c r="E311" s="79" t="str">
        <f t="shared" si="43"/>
        <v>4400893570007</v>
      </c>
      <c r="F311" s="79" t="b">
        <f t="shared" si="46"/>
        <v>0</v>
      </c>
      <c r="G311" s="190">
        <f t="shared" si="47"/>
        <v>42735</v>
      </c>
      <c r="H311" s="146">
        <f>VLOOKUP( $A311, Aop!$A$2:$N$415, 4, 0)</f>
        <v>602</v>
      </c>
      <c r="I311" s="79">
        <f t="shared" si="44"/>
        <v>2016</v>
      </c>
      <c r="J311" s="79"/>
      <c r="K311" s="79"/>
      <c r="L311" s="79">
        <f t="shared" ca="1" si="48"/>
        <v>256796</v>
      </c>
      <c r="M311" s="79">
        <f t="shared" ca="1" si="49"/>
        <v>289507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11189511</v>
      </c>
      <c r="E312" s="79" t="str">
        <f t="shared" si="43"/>
        <v>4400893570007</v>
      </c>
      <c r="F312" s="79" t="b">
        <f t="shared" si="46"/>
        <v>0</v>
      </c>
      <c r="G312" s="190">
        <f t="shared" si="47"/>
        <v>42735</v>
      </c>
      <c r="H312" s="146">
        <f>VLOOKUP( $A312, Aop!$A$2:$N$415, 4, 0)</f>
        <v>603</v>
      </c>
      <c r="I312" s="79">
        <f t="shared" si="44"/>
        <v>2016</v>
      </c>
      <c r="J312" s="79"/>
      <c r="K312" s="79"/>
      <c r="L312" s="79">
        <f t="shared" ca="1" si="48"/>
        <v>5616</v>
      </c>
      <c r="M312" s="79">
        <f t="shared" ca="1" si="49"/>
        <v>6187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11189511</v>
      </c>
      <c r="E313" s="79" t="str">
        <f t="shared" si="43"/>
        <v>4400893570007</v>
      </c>
      <c r="F313" s="79" t="b">
        <f t="shared" si="46"/>
        <v>0</v>
      </c>
      <c r="G313" s="190">
        <f t="shared" si="47"/>
        <v>42735</v>
      </c>
      <c r="H313" s="146">
        <f>VLOOKUP( $A313, Aop!$A$2:$N$415, 4, 0)</f>
        <v>604</v>
      </c>
      <c r="I313" s="79">
        <f t="shared" si="44"/>
        <v>2016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11189511</v>
      </c>
      <c r="E314" s="79" t="str">
        <f t="shared" si="43"/>
        <v>4400893570007</v>
      </c>
      <c r="F314" s="79" t="b">
        <f t="shared" si="46"/>
        <v>0</v>
      </c>
      <c r="G314" s="190">
        <f t="shared" si="47"/>
        <v>42735</v>
      </c>
      <c r="H314" s="146">
        <f>VLOOKUP( $A314, Aop!$A$2:$N$415, 4, 0)</f>
        <v>605</v>
      </c>
      <c r="I314" s="79">
        <f t="shared" si="44"/>
        <v>2016</v>
      </c>
      <c r="J314" s="79"/>
      <c r="K314" s="79"/>
      <c r="L314" s="79">
        <f t="shared" ca="1" si="48"/>
        <v>161715</v>
      </c>
      <c r="M314" s="79">
        <f t="shared" ca="1" si="49"/>
        <v>266792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11189511</v>
      </c>
      <c r="E315" s="79" t="str">
        <f t="shared" si="43"/>
        <v>4400893570007</v>
      </c>
      <c r="F315" s="79" t="b">
        <f t="shared" si="46"/>
        <v>0</v>
      </c>
      <c r="G315" s="190">
        <f t="shared" si="47"/>
        <v>42735</v>
      </c>
      <c r="H315" s="146">
        <f>VLOOKUP( $A315, Aop!$A$2:$N$415, 4, 0)</f>
        <v>606</v>
      </c>
      <c r="I315" s="79">
        <f t="shared" si="44"/>
        <v>2016</v>
      </c>
      <c r="J315" s="79"/>
      <c r="K315" s="79"/>
      <c r="L315" s="79">
        <f t="shared" ca="1" si="48"/>
        <v>0</v>
      </c>
      <c r="M315" s="79">
        <f t="shared" ca="1" si="49"/>
        <v>3488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11189511</v>
      </c>
      <c r="E316" s="79" t="str">
        <f t="shared" si="43"/>
        <v>4400893570007</v>
      </c>
      <c r="F316" s="79" t="b">
        <f t="shared" si="46"/>
        <v>0</v>
      </c>
      <c r="G316" s="190">
        <f t="shared" si="47"/>
        <v>42735</v>
      </c>
      <c r="H316" s="146">
        <f>VLOOKUP( $A316, Aop!$A$2:$N$415, 4, 0)</f>
        <v>607</v>
      </c>
      <c r="I316" s="79">
        <f t="shared" si="44"/>
        <v>2016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11189511</v>
      </c>
      <c r="E317" s="79" t="str">
        <f t="shared" si="43"/>
        <v>4400893570007</v>
      </c>
      <c r="F317" s="79" t="b">
        <f t="shared" si="46"/>
        <v>0</v>
      </c>
      <c r="G317" s="190">
        <f t="shared" si="47"/>
        <v>42735</v>
      </c>
      <c r="H317" s="146">
        <f>VLOOKUP( $A317, Aop!$A$2:$N$415, 4, 0)</f>
        <v>608</v>
      </c>
      <c r="I317" s="79">
        <f t="shared" si="44"/>
        <v>2016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11189511</v>
      </c>
      <c r="E318" s="79" t="str">
        <f t="shared" si="43"/>
        <v>4400893570007</v>
      </c>
      <c r="F318" s="79" t="b">
        <f t="shared" si="46"/>
        <v>0</v>
      </c>
      <c r="G318" s="190">
        <f t="shared" si="47"/>
        <v>42735</v>
      </c>
      <c r="H318" s="146">
        <f>VLOOKUP( $A318, Aop!$A$2:$N$415, 4, 0)</f>
        <v>609</v>
      </c>
      <c r="I318" s="79">
        <f t="shared" si="44"/>
        <v>2016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11189511</v>
      </c>
      <c r="E319" s="79" t="str">
        <f t="shared" si="43"/>
        <v>4400893570007</v>
      </c>
      <c r="F319" s="79" t="b">
        <f t="shared" si="46"/>
        <v>0</v>
      </c>
      <c r="G319" s="190">
        <f t="shared" si="47"/>
        <v>42735</v>
      </c>
      <c r="H319" s="146">
        <f>VLOOKUP( $A319, Aop!$A$2:$N$415, 4, 0)</f>
        <v>610</v>
      </c>
      <c r="I319" s="79">
        <f t="shared" si="44"/>
        <v>2016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11189511</v>
      </c>
      <c r="E320" s="79" t="str">
        <f t="shared" si="43"/>
        <v>4400893570007</v>
      </c>
      <c r="F320" s="79" t="b">
        <f t="shared" si="46"/>
        <v>0</v>
      </c>
      <c r="G320" s="190">
        <f t="shared" si="47"/>
        <v>42735</v>
      </c>
      <c r="H320" s="146">
        <f>VLOOKUP( $A320, Aop!$A$2:$N$415, 4, 0)</f>
        <v>611</v>
      </c>
      <c r="I320" s="79">
        <f t="shared" si="44"/>
        <v>2016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11189511</v>
      </c>
      <c r="E321" s="79" t="str">
        <f t="shared" si="43"/>
        <v>4400893570007</v>
      </c>
      <c r="F321" s="79" t="b">
        <f t="shared" si="46"/>
        <v>0</v>
      </c>
      <c r="G321" s="190">
        <f t="shared" si="47"/>
        <v>42735</v>
      </c>
      <c r="H321" s="146">
        <f>VLOOKUP( $A321, Aop!$A$2:$N$415, 4, 0)</f>
        <v>612</v>
      </c>
      <c r="I321" s="79">
        <f t="shared" si="44"/>
        <v>2016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11189511</v>
      </c>
      <c r="E322" s="79" t="str">
        <f t="shared" si="43"/>
        <v>4400893570007</v>
      </c>
      <c r="F322" s="79" t="b">
        <f t="shared" si="46"/>
        <v>0</v>
      </c>
      <c r="G322" s="190">
        <f t="shared" si="47"/>
        <v>42735</v>
      </c>
      <c r="H322" s="146">
        <f>VLOOKUP( $A322, Aop!$A$2:$N$415, 4, 0)</f>
        <v>613</v>
      </c>
      <c r="I322" s="79">
        <f t="shared" si="44"/>
        <v>2016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11189511</v>
      </c>
      <c r="E323" s="79" t="str">
        <f t="shared" si="43"/>
        <v>4400893570007</v>
      </c>
      <c r="F323" s="79" t="b">
        <f t="shared" si="46"/>
        <v>0</v>
      </c>
      <c r="G323" s="190">
        <f t="shared" si="47"/>
        <v>42735</v>
      </c>
      <c r="H323" s="146">
        <f>VLOOKUP( $A323, Aop!$A$2:$N$415, 4, 0)</f>
        <v>614</v>
      </c>
      <c r="I323" s="79">
        <f t="shared" si="44"/>
        <v>2016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11189511</v>
      </c>
      <c r="E324" s="79" t="str">
        <f t="shared" si="43"/>
        <v>4400893570007</v>
      </c>
      <c r="F324" s="79" t="b">
        <f t="shared" si="46"/>
        <v>0</v>
      </c>
      <c r="G324" s="190">
        <f t="shared" si="47"/>
        <v>42735</v>
      </c>
      <c r="H324" s="146">
        <f>VLOOKUP( $A324, Aop!$A$2:$N$415, 4, 0)</f>
        <v>615</v>
      </c>
      <c r="I324" s="79">
        <f t="shared" si="44"/>
        <v>2016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11189511</v>
      </c>
      <c r="E325" s="79" t="str">
        <f t="shared" si="43"/>
        <v>4400893570007</v>
      </c>
      <c r="F325" s="79" t="b">
        <f t="shared" si="46"/>
        <v>0</v>
      </c>
      <c r="G325" s="190">
        <f t="shared" si="47"/>
        <v>42735</v>
      </c>
      <c r="H325" s="146">
        <f>VLOOKUP( $A325, Aop!$A$2:$N$415, 4, 0)</f>
        <v>616</v>
      </c>
      <c r="I325" s="79">
        <f t="shared" si="44"/>
        <v>2016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11189511</v>
      </c>
      <c r="E326" s="79" t="str">
        <f t="shared" si="43"/>
        <v>4400893570007</v>
      </c>
      <c r="F326" s="79" t="b">
        <f t="shared" si="46"/>
        <v>0</v>
      </c>
      <c r="G326" s="190">
        <f t="shared" si="47"/>
        <v>42735</v>
      </c>
      <c r="H326" s="146">
        <f>VLOOKUP( $A326, Aop!$A$2:$N$415, 4, 0)</f>
        <v>617</v>
      </c>
      <c r="I326" s="79">
        <f t="shared" si="44"/>
        <v>2016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11189511</v>
      </c>
      <c r="E327" s="79" t="str">
        <f t="shared" si="43"/>
        <v>4400893570007</v>
      </c>
      <c r="F327" s="79" t="b">
        <f t="shared" si="46"/>
        <v>0</v>
      </c>
      <c r="G327" s="190">
        <f t="shared" si="47"/>
        <v>42735</v>
      </c>
      <c r="H327" s="146">
        <f>VLOOKUP( $A327, Aop!$A$2:$N$415, 4, 0)</f>
        <v>618</v>
      </c>
      <c r="I327" s="79">
        <f t="shared" si="44"/>
        <v>2016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11189511</v>
      </c>
      <c r="E328" s="79" t="str">
        <f t="shared" si="43"/>
        <v>4400893570007</v>
      </c>
      <c r="F328" s="79" t="b">
        <f t="shared" si="46"/>
        <v>0</v>
      </c>
      <c r="G328" s="190">
        <f t="shared" si="47"/>
        <v>42735</v>
      </c>
      <c r="H328" s="146">
        <f>VLOOKUP( $A328, Aop!$A$2:$N$415, 4, 0)</f>
        <v>619</v>
      </c>
      <c r="I328" s="79">
        <f t="shared" si="44"/>
        <v>2016</v>
      </c>
      <c r="J328" s="79"/>
      <c r="K328" s="79"/>
      <c r="L328" s="79">
        <f t="shared" ca="1" si="50"/>
        <v>265145</v>
      </c>
      <c r="M328" s="79">
        <f t="shared" ca="1" si="51"/>
        <v>246854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11189511</v>
      </c>
      <c r="E329" s="79" t="str">
        <f t="shared" si="43"/>
        <v>4400893570007</v>
      </c>
      <c r="F329" s="79" t="b">
        <f t="shared" si="46"/>
        <v>0</v>
      </c>
      <c r="G329" s="190">
        <f t="shared" si="47"/>
        <v>42735</v>
      </c>
      <c r="H329" s="146">
        <f>VLOOKUP( $A329, Aop!$A$2:$N$415, 4, 0)</f>
        <v>620</v>
      </c>
      <c r="I329" s="79">
        <f t="shared" si="44"/>
        <v>2016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11189511</v>
      </c>
      <c r="E330" s="79" t="str">
        <f t="shared" si="43"/>
        <v>4400893570007</v>
      </c>
      <c r="F330" s="79" t="b">
        <f t="shared" si="46"/>
        <v>0</v>
      </c>
      <c r="G330" s="190">
        <f t="shared" si="47"/>
        <v>42735</v>
      </c>
      <c r="H330" s="146">
        <f>VLOOKUP( $A330, Aop!$A$2:$N$415, 4, 0)</f>
        <v>621</v>
      </c>
      <c r="I330" s="79">
        <f t="shared" si="44"/>
        <v>2016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11189511</v>
      </c>
      <c r="E331" s="79" t="str">
        <f t="shared" si="43"/>
        <v>4400893570007</v>
      </c>
      <c r="F331" s="79" t="b">
        <f t="shared" si="46"/>
        <v>0</v>
      </c>
      <c r="G331" s="190">
        <f t="shared" si="47"/>
        <v>42735</v>
      </c>
      <c r="H331" s="146">
        <f>VLOOKUP( $A331, Aop!$A$2:$N$415, 4, 0)</f>
        <v>622</v>
      </c>
      <c r="I331" s="79">
        <f t="shared" si="44"/>
        <v>2016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11189511</v>
      </c>
      <c r="E332" s="79" t="str">
        <f t="shared" si="43"/>
        <v>4400893570007</v>
      </c>
      <c r="F332" s="79" t="b">
        <f t="shared" si="46"/>
        <v>0</v>
      </c>
      <c r="G332" s="190">
        <f t="shared" si="47"/>
        <v>42735</v>
      </c>
      <c r="H332" s="146">
        <f>VLOOKUP( $A332, Aop!$A$2:$N$415, 4, 0)</f>
        <v>623</v>
      </c>
      <c r="I332" s="79">
        <f t="shared" si="44"/>
        <v>2016</v>
      </c>
      <c r="J332" s="79"/>
      <c r="K332" s="79"/>
      <c r="L332" s="79">
        <f t="shared" ca="1" si="50"/>
        <v>265145</v>
      </c>
      <c r="M332" s="79">
        <f t="shared" ca="1" si="51"/>
        <v>246854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11189511</v>
      </c>
      <c r="E333" s="79" t="str">
        <f t="shared" si="43"/>
        <v>4400893570007</v>
      </c>
      <c r="F333" s="79" t="b">
        <f t="shared" si="46"/>
        <v>0</v>
      </c>
      <c r="G333" s="190">
        <f t="shared" si="47"/>
        <v>42735</v>
      </c>
      <c r="H333" s="146">
        <f>VLOOKUP( $A333, Aop!$A$2:$N$415, 4, 0)</f>
        <v>624</v>
      </c>
      <c r="I333" s="79">
        <f t="shared" si="44"/>
        <v>2016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11189511</v>
      </c>
      <c r="E334" s="79" t="str">
        <f t="shared" si="43"/>
        <v>4400893570007</v>
      </c>
      <c r="F334" s="79" t="b">
        <f t="shared" si="46"/>
        <v>0</v>
      </c>
      <c r="G334" s="190">
        <f t="shared" si="47"/>
        <v>42735</v>
      </c>
      <c r="H334" s="146">
        <f>VLOOKUP( $A334, Aop!$A$2:$N$415, 4, 0)</f>
        <v>625</v>
      </c>
      <c r="I334" s="79">
        <f t="shared" si="44"/>
        <v>2016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11189511</v>
      </c>
      <c r="E335" s="79" t="str">
        <f t="shared" si="43"/>
        <v>4400893570007</v>
      </c>
      <c r="F335" s="79" t="b">
        <f t="shared" si="46"/>
        <v>0</v>
      </c>
      <c r="G335" s="190">
        <f t="shared" si="47"/>
        <v>42735</v>
      </c>
      <c r="H335" s="146">
        <f>VLOOKUP( $A335, Aop!$A$2:$N$415, 4, 0)</f>
        <v>626</v>
      </c>
      <c r="I335" s="79">
        <f t="shared" si="44"/>
        <v>2016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11189511</v>
      </c>
      <c r="E336" s="79" t="str">
        <f t="shared" si="43"/>
        <v>4400893570007</v>
      </c>
      <c r="F336" s="79" t="b">
        <f t="shared" si="46"/>
        <v>0</v>
      </c>
      <c r="G336" s="190">
        <f t="shared" si="47"/>
        <v>42735</v>
      </c>
      <c r="H336" s="146">
        <f>VLOOKUP( $A336, Aop!$A$2:$N$415, 4, 0)</f>
        <v>627</v>
      </c>
      <c r="I336" s="79">
        <f t="shared" si="44"/>
        <v>2016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11189511</v>
      </c>
      <c r="E337" s="79" t="str">
        <f t="shared" si="43"/>
        <v>4400893570007</v>
      </c>
      <c r="F337" s="79" t="b">
        <f t="shared" si="46"/>
        <v>0</v>
      </c>
      <c r="G337" s="190">
        <f t="shared" si="47"/>
        <v>42735</v>
      </c>
      <c r="H337" s="146">
        <f>VLOOKUP( $A337, Aop!$A$2:$N$415, 4, 0)</f>
        <v>628</v>
      </c>
      <c r="I337" s="79">
        <f t="shared" si="44"/>
        <v>2016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11189511</v>
      </c>
      <c r="E338" s="79" t="str">
        <f t="shared" si="43"/>
        <v>4400893570007</v>
      </c>
      <c r="F338" s="79" t="b">
        <f t="shared" si="46"/>
        <v>0</v>
      </c>
      <c r="G338" s="190">
        <f t="shared" si="47"/>
        <v>42735</v>
      </c>
      <c r="H338" s="146">
        <f>VLOOKUP( $A338, Aop!$A$2:$N$415, 4, 0)</f>
        <v>629</v>
      </c>
      <c r="I338" s="79">
        <f t="shared" si="44"/>
        <v>2016</v>
      </c>
      <c r="J338" s="79"/>
      <c r="K338" s="79"/>
      <c r="L338" s="79">
        <f t="shared" ca="1" si="50"/>
        <v>29615</v>
      </c>
      <c r="M338" s="79">
        <f t="shared" ca="1" si="51"/>
        <v>262507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11189511</v>
      </c>
      <c r="E339" s="79" t="str">
        <f t="shared" si="43"/>
        <v>4400893570007</v>
      </c>
      <c r="F339" s="79" t="b">
        <f t="shared" si="46"/>
        <v>0</v>
      </c>
      <c r="G339" s="190">
        <f t="shared" si="47"/>
        <v>42735</v>
      </c>
      <c r="H339" s="146">
        <f>VLOOKUP( $A339, Aop!$A$2:$N$415, 4, 0)</f>
        <v>630</v>
      </c>
      <c r="I339" s="79">
        <f t="shared" si="44"/>
        <v>2016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11189511</v>
      </c>
      <c r="E340" s="79" t="str">
        <f>Podatak_JIB</f>
        <v>4400893570007</v>
      </c>
      <c r="F340" s="79" t="b">
        <f>Konsolidovan_izvjestaj</f>
        <v>0</v>
      </c>
      <c r="G340" s="190">
        <f>Datum_Broj</f>
        <v>42735</v>
      </c>
      <c r="H340" s="79">
        <f>VLOOKUP( $A340, Aop!$A$2:$N$415, 4, 0)</f>
        <v>631</v>
      </c>
      <c r="I340" s="79">
        <f>Godina</f>
        <v>2016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>
        <f ca="1">IF(VLOOKUP($H340,INDIRECT("Lookup_"&amp;$B340),IF($B340="BS",S$2,S$1),0)="","",VLOOKUP($H340,INDIRECT("Lookup_"&amp;$B340),IF($B340="BS",S$2,S$1),0))</f>
        <v>27454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11189511</v>
      </c>
      <c r="E341" s="79" t="str">
        <f t="shared" si="43"/>
        <v>4400893570007</v>
      </c>
      <c r="F341" s="79" t="b">
        <f t="shared" si="46"/>
        <v>0</v>
      </c>
      <c r="G341" s="190">
        <f t="shared" si="47"/>
        <v>42735</v>
      </c>
      <c r="H341" s="146">
        <f>VLOOKUP( $A341, Aop!$A$2:$N$415, 4, 0)</f>
        <v>632</v>
      </c>
      <c r="I341" s="79">
        <f t="shared" si="44"/>
        <v>2016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11189511</v>
      </c>
      <c r="E342" s="79" t="str">
        <f t="shared" si="43"/>
        <v>4400893570007</v>
      </c>
      <c r="F342" s="79" t="b">
        <f t="shared" si="46"/>
        <v>0</v>
      </c>
      <c r="G342" s="190">
        <f t="shared" si="47"/>
        <v>42735</v>
      </c>
      <c r="H342" s="146">
        <f>VLOOKUP( $A342, Aop!$A$2:$N$415, 4, 0)</f>
        <v>633</v>
      </c>
      <c r="I342" s="79">
        <f t="shared" si="44"/>
        <v>2016</v>
      </c>
      <c r="J342" s="79"/>
      <c r="K342" s="79"/>
      <c r="L342" s="79">
        <f t="shared" ca="1" si="50"/>
        <v>7465</v>
      </c>
      <c r="M342" s="79">
        <f t="shared" ca="1" si="51"/>
        <v>1376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11189511</v>
      </c>
      <c r="E343" s="79" t="str">
        <f t="shared" si="43"/>
        <v>4400893570007</v>
      </c>
      <c r="F343" s="79" t="b">
        <f t="shared" si="46"/>
        <v>0</v>
      </c>
      <c r="G343" s="190">
        <f t="shared" si="47"/>
        <v>42735</v>
      </c>
      <c r="H343" s="146">
        <f>VLOOKUP( $A343, Aop!$A$2:$N$415, 4, 0)</f>
        <v>634</v>
      </c>
      <c r="I343" s="79">
        <f t="shared" si="44"/>
        <v>2016</v>
      </c>
      <c r="J343" s="79"/>
      <c r="K343" s="79"/>
      <c r="L343" s="79">
        <f t="shared" ca="1" si="50"/>
        <v>5351</v>
      </c>
      <c r="M343" s="79">
        <f t="shared" ca="1" si="51"/>
        <v>21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11189511</v>
      </c>
      <c r="E344" s="79" t="str">
        <f t="shared" si="43"/>
        <v>4400893570007</v>
      </c>
      <c r="F344" s="79" t="b">
        <f t="shared" si="46"/>
        <v>0</v>
      </c>
      <c r="G344" s="190">
        <f t="shared" si="47"/>
        <v>42735</v>
      </c>
      <c r="H344" s="146">
        <f>VLOOKUP( $A344, Aop!$A$2:$N$415, 4, 0)</f>
        <v>635</v>
      </c>
      <c r="I344" s="79">
        <f t="shared" si="44"/>
        <v>2016</v>
      </c>
      <c r="J344" s="79"/>
      <c r="K344" s="79"/>
      <c r="L344" s="79">
        <f t="shared" ca="1" si="50"/>
        <v>1859</v>
      </c>
      <c r="M344" s="79">
        <f t="shared" ca="1" si="51"/>
        <v>37050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11189511</v>
      </c>
      <c r="E345" s="79" t="str">
        <f t="shared" si="43"/>
        <v>4400893570007</v>
      </c>
      <c r="F345" s="79" t="b">
        <f t="shared" si="46"/>
        <v>0</v>
      </c>
      <c r="G345" s="190">
        <f t="shared" si="47"/>
        <v>42735</v>
      </c>
      <c r="H345" s="146">
        <f>VLOOKUP( $A345, Aop!$A$2:$N$415, 4, 0)</f>
        <v>636</v>
      </c>
      <c r="I345" s="79">
        <f t="shared" si="44"/>
        <v>2016</v>
      </c>
      <c r="J345" s="79"/>
      <c r="K345" s="79"/>
      <c r="L345" s="79">
        <f t="shared" ca="1" si="50"/>
        <v>0</v>
      </c>
      <c r="M345" s="79">
        <f t="shared" ca="1" si="51"/>
        <v>5970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11189511</v>
      </c>
      <c r="E346" s="79" t="str">
        <f t="shared" si="43"/>
        <v>4400893570007</v>
      </c>
      <c r="F346" s="79" t="b">
        <f t="shared" si="46"/>
        <v>0</v>
      </c>
      <c r="G346" s="190">
        <f t="shared" si="47"/>
        <v>42735</v>
      </c>
      <c r="H346" s="146">
        <f>VLOOKUP( $A346, Aop!$A$2:$N$415, 4, 0)</f>
        <v>637</v>
      </c>
      <c r="I346" s="79">
        <f t="shared" si="44"/>
        <v>2016</v>
      </c>
      <c r="J346" s="79"/>
      <c r="K346" s="79"/>
      <c r="L346" s="79">
        <f t="shared" ca="1" si="50"/>
        <v>1526</v>
      </c>
      <c r="M346" s="79">
        <f t="shared" ca="1" si="51"/>
        <v>7131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11189511</v>
      </c>
      <c r="E347" s="79" t="str">
        <f t="shared" si="43"/>
        <v>4400893570007</v>
      </c>
      <c r="F347" s="79" t="b">
        <f t="shared" si="46"/>
        <v>0</v>
      </c>
      <c r="G347" s="190">
        <f t="shared" si="47"/>
        <v>42735</v>
      </c>
      <c r="H347" s="146">
        <f>VLOOKUP( $A347, Aop!$A$2:$N$415, 4, 0)</f>
        <v>638</v>
      </c>
      <c r="I347" s="79">
        <f t="shared" si="44"/>
        <v>2016</v>
      </c>
      <c r="J347" s="79"/>
      <c r="K347" s="79"/>
      <c r="L347" s="79">
        <f t="shared" ca="1" si="50"/>
        <v>333</v>
      </c>
      <c r="M347" s="79">
        <f t="shared" ca="1" si="51"/>
        <v>1068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11189511</v>
      </c>
      <c r="E348" s="79" t="str">
        <f t="shared" si="43"/>
        <v>4400893570007</v>
      </c>
      <c r="F348" s="79" t="b">
        <f t="shared" si="46"/>
        <v>0</v>
      </c>
      <c r="G348" s="190">
        <f t="shared" si="47"/>
        <v>42735</v>
      </c>
      <c r="H348" s="146">
        <f>VLOOKUP( $A348, Aop!$A$2:$N$415, 4, 0)</f>
        <v>639</v>
      </c>
      <c r="I348" s="79">
        <f t="shared" si="44"/>
        <v>2016</v>
      </c>
      <c r="J348" s="79"/>
      <c r="K348" s="79"/>
      <c r="L348" s="79">
        <f t="shared" ca="1" si="50"/>
        <v>72008</v>
      </c>
      <c r="M348" s="79">
        <f t="shared" ca="1" si="51"/>
        <v>13770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11189511</v>
      </c>
      <c r="E349" s="79" t="str">
        <f t="shared" si="43"/>
        <v>4400893570007</v>
      </c>
      <c r="F349" s="79" t="b">
        <f t="shared" si="46"/>
        <v>0</v>
      </c>
      <c r="G349" s="190">
        <f t="shared" si="47"/>
        <v>42735</v>
      </c>
      <c r="H349" s="146">
        <f>VLOOKUP( $A349, Aop!$A$2:$N$415, 4, 0)</f>
        <v>640</v>
      </c>
      <c r="I349" s="79">
        <f t="shared" si="44"/>
        <v>2016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11189511</v>
      </c>
      <c r="E350" s="79" t="str">
        <f t="shared" si="43"/>
        <v>4400893570007</v>
      </c>
      <c r="F350" s="79" t="b">
        <f t="shared" si="46"/>
        <v>0</v>
      </c>
      <c r="G350" s="190">
        <f t="shared" si="47"/>
        <v>42735</v>
      </c>
      <c r="H350" s="146">
        <f>VLOOKUP( $A350, Aop!$A$2:$N$415, 4, 0)</f>
        <v>641</v>
      </c>
      <c r="I350" s="79">
        <f t="shared" si="44"/>
        <v>2016</v>
      </c>
      <c r="J350" s="79"/>
      <c r="K350" s="79"/>
      <c r="L350" s="79">
        <f t="shared" ca="1" si="50"/>
        <v>1088</v>
      </c>
      <c r="M350" s="79">
        <f t="shared" ca="1" si="51"/>
        <v>1292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11189511</v>
      </c>
      <c r="E351" s="79" t="str">
        <f t="shared" si="43"/>
        <v>4400893570007</v>
      </c>
      <c r="F351" s="79" t="b">
        <f t="shared" si="46"/>
        <v>0</v>
      </c>
      <c r="G351" s="190">
        <f t="shared" si="47"/>
        <v>42735</v>
      </c>
      <c r="H351" s="146">
        <f>VLOOKUP( $A351, Aop!$A$2:$N$415, 4, 0)</f>
        <v>642</v>
      </c>
      <c r="I351" s="79">
        <f t="shared" si="44"/>
        <v>2016</v>
      </c>
      <c r="J351" s="79"/>
      <c r="K351" s="79"/>
      <c r="L351" s="79">
        <f t="shared" ca="1" si="50"/>
        <v>8995</v>
      </c>
      <c r="M351" s="79">
        <f t="shared" ca="1" si="51"/>
        <v>6573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11189511</v>
      </c>
      <c r="E352" s="79" t="str">
        <f t="shared" si="43"/>
        <v>4400893570007</v>
      </c>
      <c r="F352" s="79" t="b">
        <f t="shared" si="46"/>
        <v>0</v>
      </c>
      <c r="G352" s="190">
        <f t="shared" si="47"/>
        <v>42735</v>
      </c>
      <c r="H352" s="146">
        <f>VLOOKUP( $A352, Aop!$A$2:$N$415, 4, 0)</f>
        <v>643</v>
      </c>
      <c r="I352" s="79">
        <f t="shared" si="44"/>
        <v>2016</v>
      </c>
      <c r="J352" s="79"/>
      <c r="K352" s="79"/>
      <c r="L352" s="79">
        <f t="shared" ca="1" si="50"/>
        <v>40873</v>
      </c>
      <c r="M352" s="79">
        <f t="shared" ca="1" si="51"/>
        <v>0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11189511</v>
      </c>
      <c r="E353" s="79" t="str">
        <f t="shared" si="43"/>
        <v>4400893570007</v>
      </c>
      <c r="F353" s="79" t="b">
        <f t="shared" si="46"/>
        <v>0</v>
      </c>
      <c r="G353" s="190">
        <f t="shared" si="47"/>
        <v>42735</v>
      </c>
      <c r="H353" s="146">
        <f>VLOOKUP( $A353, Aop!$A$2:$N$415, 4, 0)</f>
        <v>644</v>
      </c>
      <c r="I353" s="79">
        <f t="shared" si="44"/>
        <v>2016</v>
      </c>
      <c r="J353" s="79"/>
      <c r="K353" s="79"/>
      <c r="L353" s="79">
        <f ca="1">IF(VLOOKUP($H353,INDIRECT("Lookup_"&amp;$B353),IF($B353="BS",R$2,R$1),0)="","",VLOOKUP($H353,INDIRECT("Lookup_"&amp;$B353),IF($B353="BS",R$2,R$1),0))</f>
        <v>16087</v>
      </c>
      <c r="M353" s="79">
        <f ca="1">IF(VLOOKUP($H353,INDIRECT("Lookup_"&amp;$B353),IF($B353="BS",S$2,S$1),0)="","",VLOOKUP($H353,INDIRECT("Lookup_"&amp;$B353),IF($B353="BS",S$2,S$1),0))</f>
        <v>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11189511</v>
      </c>
      <c r="E354" s="79" t="str">
        <f t="shared" si="43"/>
        <v>4400893570007</v>
      </c>
      <c r="F354" s="79" t="b">
        <f t="shared" si="46"/>
        <v>0</v>
      </c>
      <c r="G354" s="190">
        <f t="shared" si="47"/>
        <v>42735</v>
      </c>
      <c r="H354" s="146">
        <f>VLOOKUP( $A354, Aop!$A$2:$N$415, 4, 0)</f>
        <v>645</v>
      </c>
      <c r="I354" s="79">
        <f t="shared" si="44"/>
        <v>2016</v>
      </c>
      <c r="J354" s="79"/>
      <c r="K354" s="79"/>
      <c r="L354" s="79" t="str">
        <f ca="1">IF(VLOOKUP($H354,INDIRECT("Lookup_"&amp;$B354),IF($B354="BS",R$2,R$1),0)="","",VLOOKUP($H354,INDIRECT("Lookup_"&amp;$B354),IF($B354="BS",R$2,R$1),0))</f>
        <v/>
      </c>
      <c r="M354" s="79">
        <f ca="1">IF(VLOOKUP($H354,INDIRECT("Lookup_"&amp;$B354),IF($B354="BS",S$2,S$1),0)="","",VLOOKUP($H354,INDIRECT("Lookup_"&amp;$B354),IF($B354="BS",S$2,S$1),0))</f>
        <v>1800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11189511</v>
      </c>
      <c r="E355" s="79" t="str">
        <f t="shared" ref="E355:E362" si="54">Podatak_JIB</f>
        <v>4400893570007</v>
      </c>
      <c r="F355" s="79" t="b">
        <f t="shared" ref="F355:F362" si="55">Konsolidovan_izvjestaj</f>
        <v>0</v>
      </c>
      <c r="G355" s="190">
        <f t="shared" ref="G355:G362" si="56">Datum_Broj</f>
        <v>42735</v>
      </c>
      <c r="H355" s="79">
        <f>VLOOKUP( $A355, Aop!$A$2:$N$415, 4, 0)</f>
        <v>646</v>
      </c>
      <c r="I355" s="79">
        <f t="shared" ref="I355:I362" si="57">Godina</f>
        <v>2016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11189511</v>
      </c>
      <c r="E356" s="79" t="str">
        <f t="shared" si="54"/>
        <v>4400893570007</v>
      </c>
      <c r="F356" s="79" t="b">
        <f t="shared" si="55"/>
        <v>0</v>
      </c>
      <c r="G356" s="190">
        <f t="shared" si="56"/>
        <v>42735</v>
      </c>
      <c r="H356" s="79">
        <f>VLOOKUP( $A356, Aop!$A$2:$N$415, 4, 0)</f>
        <v>647</v>
      </c>
      <c r="I356" s="79">
        <f t="shared" si="57"/>
        <v>2016</v>
      </c>
      <c r="J356" s="79"/>
      <c r="K356" s="79"/>
      <c r="L356" s="79">
        <f t="shared" ca="1" si="58"/>
        <v>4965</v>
      </c>
      <c r="M356" s="79">
        <f t="shared" ca="1" si="59"/>
        <v>4105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11189511</v>
      </c>
      <c r="E357" s="79" t="str">
        <f t="shared" si="54"/>
        <v>4400893570007</v>
      </c>
      <c r="F357" s="79" t="b">
        <f t="shared" si="55"/>
        <v>0</v>
      </c>
      <c r="G357" s="190">
        <f t="shared" si="56"/>
        <v>42735</v>
      </c>
      <c r="H357" s="79">
        <f>VLOOKUP( $A357, Aop!$A$2:$N$415, 4, 0)</f>
        <v>648</v>
      </c>
      <c r="I357" s="79">
        <f t="shared" si="57"/>
        <v>2016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11189511</v>
      </c>
      <c r="E358" s="79" t="str">
        <f t="shared" si="54"/>
        <v>4400893570007</v>
      </c>
      <c r="F358" s="79" t="b">
        <f t="shared" si="55"/>
        <v>0</v>
      </c>
      <c r="G358" s="190">
        <f t="shared" si="56"/>
        <v>42735</v>
      </c>
      <c r="H358" s="79">
        <f>VLOOKUP( $A358, Aop!$A$2:$N$415, 4, 0)</f>
        <v>649</v>
      </c>
      <c r="I358" s="79">
        <f t="shared" si="57"/>
        <v>2016</v>
      </c>
      <c r="J358" s="79"/>
      <c r="K358" s="79"/>
      <c r="L358" s="79">
        <f t="shared" ca="1" si="58"/>
        <v>56324</v>
      </c>
      <c r="M358" s="79">
        <f t="shared" ca="1" si="59"/>
        <v>51853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11189511</v>
      </c>
      <c r="E359" s="79" t="str">
        <f t="shared" si="54"/>
        <v>4400893570007</v>
      </c>
      <c r="F359" s="79" t="b">
        <f t="shared" si="55"/>
        <v>0</v>
      </c>
      <c r="G359" s="190">
        <f t="shared" si="56"/>
        <v>42735</v>
      </c>
      <c r="H359" s="79">
        <f>VLOOKUP( $A359, Aop!$A$2:$N$415, 4, 0)</f>
        <v>650</v>
      </c>
      <c r="I359" s="79">
        <f t="shared" si="57"/>
        <v>2016</v>
      </c>
      <c r="J359" s="79"/>
      <c r="K359" s="79"/>
      <c r="L359" s="79">
        <f t="shared" ca="1" si="58"/>
        <v>34918</v>
      </c>
      <c r="M359" s="79">
        <f t="shared" ca="1" si="59"/>
        <v>36655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11189511</v>
      </c>
      <c r="E360" s="79" t="str">
        <f t="shared" si="54"/>
        <v>4400893570007</v>
      </c>
      <c r="F360" s="79" t="b">
        <f t="shared" si="55"/>
        <v>0</v>
      </c>
      <c r="G360" s="190">
        <f t="shared" si="56"/>
        <v>42735</v>
      </c>
      <c r="H360" s="79">
        <f>VLOOKUP( $A360, Aop!$A$2:$N$415, 4, 0)</f>
        <v>651</v>
      </c>
      <c r="I360" s="79">
        <f t="shared" si="57"/>
        <v>2016</v>
      </c>
      <c r="J360" s="79"/>
      <c r="K360" s="79"/>
      <c r="L360" s="79">
        <f t="shared" ca="1" si="58"/>
        <v>0</v>
      </c>
      <c r="M360" s="79">
        <f t="shared" ca="1" si="59"/>
        <v>0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11189511</v>
      </c>
      <c r="E361" s="79" t="str">
        <f t="shared" si="54"/>
        <v>4400893570007</v>
      </c>
      <c r="F361" s="79" t="b">
        <f t="shared" si="55"/>
        <v>0</v>
      </c>
      <c r="G361" s="190">
        <f t="shared" si="56"/>
        <v>42735</v>
      </c>
      <c r="H361" s="79">
        <f>VLOOKUP( $A361, Aop!$A$2:$N$415, 4, 0)</f>
        <v>652</v>
      </c>
      <c r="I361" s="79">
        <f t="shared" si="57"/>
        <v>2016</v>
      </c>
      <c r="J361" s="79"/>
      <c r="K361" s="79"/>
      <c r="L361" s="79">
        <f t="shared" ca="1" si="58"/>
        <v>14580</v>
      </c>
      <c r="M361" s="79">
        <f t="shared" ca="1" si="59"/>
        <v>0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11189511</v>
      </c>
      <c r="E362" s="79" t="str">
        <f t="shared" si="54"/>
        <v>4400893570007</v>
      </c>
      <c r="F362" s="79" t="b">
        <f t="shared" si="55"/>
        <v>0</v>
      </c>
      <c r="G362" s="190">
        <f t="shared" si="56"/>
        <v>42735</v>
      </c>
      <c r="H362" s="79">
        <f>VLOOKUP( $A362, Aop!$A$2:$N$415, 4, 0)</f>
        <v>653</v>
      </c>
      <c r="I362" s="79">
        <f t="shared" si="57"/>
        <v>2016</v>
      </c>
      <c r="J362" s="79"/>
      <c r="K362" s="79"/>
      <c r="L362" s="79">
        <f t="shared" ca="1" si="58"/>
        <v>967</v>
      </c>
      <c r="M362" s="79">
        <f t="shared" ca="1" si="59"/>
        <v>77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11189511</v>
      </c>
      <c r="E363" s="74" t="str">
        <f t="shared" ref="E363:E379" si="62">Podatak_JIB</f>
        <v>4400893570007</v>
      </c>
      <c r="F363" s="74" t="b">
        <f t="shared" ref="F363:F379" si="63">Konsolidovan_izvjestaj</f>
        <v>0</v>
      </c>
      <c r="G363" s="373">
        <f t="shared" ref="G363:G379" si="64">Datum_Broj</f>
        <v>42735</v>
      </c>
      <c r="H363" s="74">
        <f>VLOOKUP( $A363, Aop!$A$2:$N$415, 4, 0)</f>
        <v>654</v>
      </c>
      <c r="I363" s="74">
        <f t="shared" ref="I363:I379" si="65">Godina</f>
        <v>2016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1337</v>
      </c>
      <c r="M363" s="74">
        <f t="shared" ref="M363:M376" ca="1" si="67">IF(VLOOKUP($H363,INDIRECT("Lookup_"&amp;$B363),IF($B363="BS",S$2,S$1),0)="","",VLOOKUP($H363,INDIRECT("Lookup_"&amp;$B363),IF($B363="BS",S$2,S$1),0))</f>
        <v>1369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11189511</v>
      </c>
      <c r="E364" s="74" t="str">
        <f t="shared" si="62"/>
        <v>4400893570007</v>
      </c>
      <c r="F364" s="74" t="b">
        <f t="shared" si="63"/>
        <v>0</v>
      </c>
      <c r="G364" s="373">
        <f t="shared" si="64"/>
        <v>42735</v>
      </c>
      <c r="H364" s="74">
        <f>VLOOKUP( $A364, Aop!$A$2:$N$415, 4, 0)</f>
        <v>655</v>
      </c>
      <c r="I364" s="74">
        <f t="shared" si="65"/>
        <v>2016</v>
      </c>
      <c r="J364" s="74"/>
      <c r="K364" s="74"/>
      <c r="L364" s="74">
        <f t="shared" ca="1" si="66"/>
        <v>1130</v>
      </c>
      <c r="M364" s="74">
        <f t="shared" ca="1" si="67"/>
        <v>3681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11189511</v>
      </c>
      <c r="E365" s="74" t="str">
        <f t="shared" si="62"/>
        <v>4400893570007</v>
      </c>
      <c r="F365" s="74" t="b">
        <f t="shared" si="63"/>
        <v>0</v>
      </c>
      <c r="G365" s="373">
        <f t="shared" si="64"/>
        <v>42735</v>
      </c>
      <c r="H365" s="74">
        <f>VLOOKUP( $A365, Aop!$A$2:$N$415, 4, 0)</f>
        <v>656</v>
      </c>
      <c r="I365" s="74">
        <f t="shared" si="65"/>
        <v>2016</v>
      </c>
      <c r="J365" s="74"/>
      <c r="K365" s="74"/>
      <c r="L365" s="74">
        <f t="shared" ca="1" si="66"/>
        <v>180</v>
      </c>
      <c r="M365" s="74">
        <f t="shared" ca="1" si="67"/>
        <v>105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11189511</v>
      </c>
      <c r="E366" s="74" t="str">
        <f t="shared" si="62"/>
        <v>4400893570007</v>
      </c>
      <c r="F366" s="74" t="b">
        <f t="shared" si="63"/>
        <v>0</v>
      </c>
      <c r="G366" s="373">
        <f t="shared" si="64"/>
        <v>42735</v>
      </c>
      <c r="H366" s="74">
        <f>VLOOKUP( $A366, Aop!$A$2:$N$415, 4, 0)</f>
        <v>657</v>
      </c>
      <c r="I366" s="74">
        <f t="shared" si="65"/>
        <v>2016</v>
      </c>
      <c r="J366" s="74"/>
      <c r="K366" s="74"/>
      <c r="L366" s="74" t="str">
        <f t="shared" ca="1" si="66"/>
        <v/>
      </c>
      <c r="M366" s="74" t="str">
        <f t="shared" ca="1" si="67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11189511</v>
      </c>
      <c r="E367" s="74" t="str">
        <f t="shared" si="62"/>
        <v>4400893570007</v>
      </c>
      <c r="F367" s="74" t="b">
        <f t="shared" si="63"/>
        <v>0</v>
      </c>
      <c r="G367" s="373">
        <f t="shared" si="64"/>
        <v>42735</v>
      </c>
      <c r="H367" s="74">
        <f>VLOOKUP( $A367, Aop!$A$2:$N$415, 4, 0)</f>
        <v>658</v>
      </c>
      <c r="I367" s="74">
        <f t="shared" si="65"/>
        <v>2016</v>
      </c>
      <c r="J367" s="74"/>
      <c r="K367" s="74"/>
      <c r="L367" s="74">
        <f t="shared" ca="1" si="66"/>
        <v>9639</v>
      </c>
      <c r="M367" s="74">
        <f t="shared" ca="1" si="67"/>
        <v>8076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11189511</v>
      </c>
      <c r="E368" s="74" t="str">
        <f t="shared" si="62"/>
        <v>4400893570007</v>
      </c>
      <c r="F368" s="74" t="b">
        <f t="shared" si="63"/>
        <v>0</v>
      </c>
      <c r="G368" s="373">
        <f t="shared" si="64"/>
        <v>42735</v>
      </c>
      <c r="H368" s="74">
        <f>VLOOKUP( $A368, Aop!$A$2:$N$415, 4, 0)</f>
        <v>659</v>
      </c>
      <c r="I368" s="74">
        <f t="shared" si="65"/>
        <v>2016</v>
      </c>
      <c r="J368" s="74"/>
      <c r="K368" s="74"/>
      <c r="L368" s="74">
        <f t="shared" ca="1" si="66"/>
        <v>8153</v>
      </c>
      <c r="M368" s="74">
        <f t="shared" ca="1" si="67"/>
        <v>1890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11189511</v>
      </c>
      <c r="E369" s="74" t="str">
        <f t="shared" si="62"/>
        <v>4400893570007</v>
      </c>
      <c r="F369" s="74" t="b">
        <f t="shared" si="63"/>
        <v>0</v>
      </c>
      <c r="G369" s="373">
        <f t="shared" si="64"/>
        <v>42735</v>
      </c>
      <c r="H369" s="74">
        <f>VLOOKUP( $A369, Aop!$A$2:$N$415, 4, 0)</f>
        <v>660</v>
      </c>
      <c r="I369" s="74">
        <f t="shared" si="65"/>
        <v>2016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11189511</v>
      </c>
      <c r="E370" s="74" t="str">
        <f t="shared" si="62"/>
        <v>4400893570007</v>
      </c>
      <c r="F370" s="74" t="b">
        <f t="shared" si="63"/>
        <v>0</v>
      </c>
      <c r="G370" s="373">
        <f t="shared" si="64"/>
        <v>42735</v>
      </c>
      <c r="H370" s="74">
        <f>VLOOKUP( $A370, Aop!$A$2:$N$415, 4, 0)</f>
        <v>661</v>
      </c>
      <c r="I370" s="74">
        <f t="shared" si="65"/>
        <v>2016</v>
      </c>
      <c r="J370" s="74"/>
      <c r="K370" s="74"/>
      <c r="L370" s="74" t="str">
        <f t="shared" ca="1" si="66"/>
        <v/>
      </c>
      <c r="M370" s="74" t="str">
        <f t="shared" ca="1" si="67"/>
        <v/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11189511</v>
      </c>
      <c r="E371" s="74" t="str">
        <f t="shared" si="62"/>
        <v>4400893570007</v>
      </c>
      <c r="F371" s="74" t="b">
        <f t="shared" si="63"/>
        <v>0</v>
      </c>
      <c r="G371" s="373">
        <f t="shared" si="64"/>
        <v>42735</v>
      </c>
      <c r="H371" s="74">
        <f>VLOOKUP( $A371, Aop!$A$2:$N$415, 4, 0)</f>
        <v>662</v>
      </c>
      <c r="I371" s="74">
        <f t="shared" si="65"/>
        <v>2016</v>
      </c>
      <c r="J371" s="74"/>
      <c r="K371" s="74"/>
      <c r="L371" s="74" t="str">
        <f t="shared" ca="1" si="66"/>
        <v/>
      </c>
      <c r="M371" s="74" t="str">
        <f t="shared" ca="1" si="67"/>
        <v/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11189511</v>
      </c>
      <c r="E372" s="74" t="str">
        <f t="shared" si="62"/>
        <v>4400893570007</v>
      </c>
      <c r="F372" s="74" t="b">
        <f t="shared" si="63"/>
        <v>0</v>
      </c>
      <c r="G372" s="373">
        <f t="shared" si="64"/>
        <v>42735</v>
      </c>
      <c r="H372" s="74">
        <f>VLOOKUP( $A372, Aop!$A$2:$N$415, 4, 0)</f>
        <v>663</v>
      </c>
      <c r="I372" s="74">
        <f t="shared" si="65"/>
        <v>2016</v>
      </c>
      <c r="J372" s="74"/>
      <c r="K372" s="74"/>
      <c r="L372" s="74">
        <f t="shared" ca="1" si="66"/>
        <v>2947</v>
      </c>
      <c r="M372" s="74">
        <f t="shared" ca="1" si="67"/>
        <v>809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11189511</v>
      </c>
      <c r="E373" s="74" t="str">
        <f t="shared" si="62"/>
        <v>4400893570007</v>
      </c>
      <c r="F373" s="74" t="b">
        <f t="shared" si="63"/>
        <v>0</v>
      </c>
      <c r="G373" s="373">
        <f t="shared" si="64"/>
        <v>42735</v>
      </c>
      <c r="H373" s="74">
        <f>VLOOKUP( $A373, Aop!$A$2:$N$415, 4, 0)</f>
        <v>664</v>
      </c>
      <c r="I373" s="74">
        <f t="shared" si="65"/>
        <v>2016</v>
      </c>
      <c r="J373" s="74"/>
      <c r="K373" s="74"/>
      <c r="L373" s="74">
        <f t="shared" ca="1" si="66"/>
        <v>0</v>
      </c>
      <c r="M373" s="74">
        <f t="shared" ca="1" si="67"/>
        <v>1643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11189511</v>
      </c>
      <c r="E374" s="74" t="str">
        <f t="shared" si="62"/>
        <v>4400893570007</v>
      </c>
      <c r="F374" s="74" t="b">
        <f t="shared" si="63"/>
        <v>0</v>
      </c>
      <c r="G374" s="373">
        <f t="shared" si="64"/>
        <v>42735</v>
      </c>
      <c r="H374" s="74">
        <f>VLOOKUP( $A374, Aop!$A$2:$N$415, 4, 0)</f>
        <v>665</v>
      </c>
      <c r="I374" s="74">
        <f t="shared" si="65"/>
        <v>2016</v>
      </c>
      <c r="J374" s="74"/>
      <c r="K374" s="74"/>
      <c r="L374" s="74" t="str">
        <f t="shared" ca="1" si="66"/>
        <v/>
      </c>
      <c r="M374" s="74" t="str">
        <f t="shared" ca="1" si="67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11189511</v>
      </c>
      <c r="E375" s="74" t="str">
        <f t="shared" si="62"/>
        <v>4400893570007</v>
      </c>
      <c r="F375" s="74" t="b">
        <f t="shared" si="63"/>
        <v>0</v>
      </c>
      <c r="G375" s="373">
        <f t="shared" si="64"/>
        <v>42735</v>
      </c>
      <c r="H375" s="74">
        <f>VLOOKUP( $A375, Aop!$A$2:$N$415, 4, 0)</f>
        <v>666</v>
      </c>
      <c r="I375" s="74">
        <f t="shared" si="65"/>
        <v>2016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11189511</v>
      </c>
      <c r="E376" s="74" t="str">
        <f t="shared" si="62"/>
        <v>4400893570007</v>
      </c>
      <c r="F376" s="74" t="b">
        <f t="shared" si="63"/>
        <v>0</v>
      </c>
      <c r="G376" s="373">
        <f t="shared" si="64"/>
        <v>42735</v>
      </c>
      <c r="H376" s="74">
        <f>VLOOKUP( $A376, Aop!$A$2:$N$415, 4, 0)</f>
        <v>667</v>
      </c>
      <c r="I376" s="74">
        <f t="shared" si="65"/>
        <v>2016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11189511</v>
      </c>
      <c r="E377" s="74" t="str">
        <f t="shared" si="62"/>
        <v>4400893570007</v>
      </c>
      <c r="F377" s="74" t="b">
        <f t="shared" si="63"/>
        <v>0</v>
      </c>
      <c r="G377" s="373">
        <f t="shared" si="64"/>
        <v>42735</v>
      </c>
      <c r="H377" s="74">
        <f>VLOOKUP( $A377, Aop!$A$2:$N$415, 4, 0)</f>
        <v>668</v>
      </c>
      <c r="I377" s="74">
        <f t="shared" si="65"/>
        <v>2016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11189511</v>
      </c>
      <c r="E378" s="74" t="str">
        <f t="shared" si="62"/>
        <v>4400893570007</v>
      </c>
      <c r="F378" s="74" t="b">
        <f t="shared" si="63"/>
        <v>0</v>
      </c>
      <c r="G378" s="373">
        <f t="shared" si="64"/>
        <v>42735</v>
      </c>
      <c r="H378" s="74">
        <f>VLOOKUP( $A378, Aop!$A$2:$N$415, 4, 0)</f>
        <v>669</v>
      </c>
      <c r="I378" s="74">
        <f t="shared" si="65"/>
        <v>2016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11189511</v>
      </c>
      <c r="E379" s="74" t="str">
        <f t="shared" si="62"/>
        <v>4400893570007</v>
      </c>
      <c r="F379" s="74" t="b">
        <f t="shared" si="63"/>
        <v>0</v>
      </c>
      <c r="G379" s="373">
        <f t="shared" si="64"/>
        <v>42735</v>
      </c>
      <c r="H379" s="74">
        <f>VLOOKUP( $A379, Aop!$A$2:$N$415, 4, 0)</f>
        <v>670</v>
      </c>
      <c r="I379" s="74">
        <f t="shared" si="65"/>
        <v>2016</v>
      </c>
      <c r="J379" s="74"/>
      <c r="K379" s="74"/>
      <c r="L379" s="74">
        <f t="shared" ca="1" si="68"/>
        <v>0</v>
      </c>
      <c r="M379" s="74">
        <f t="shared" ca="1" si="69"/>
        <v>2184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11189511</v>
      </c>
      <c r="D2" s="79" t="str">
        <f t="shared" ref="D2:D20" si="1">Podatak_JIB</f>
        <v>4400893570007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2016</v>
      </c>
      <c r="H2" s="190">
        <f t="shared" ref="H2:H20" si="4">Datum_Broj</f>
        <v>42735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1945000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194249</v>
      </c>
      <c r="N2" s="74">
        <f t="shared" ref="N2:N20" ca="1" si="10">IF(VLOOKUP($F2,INDIRECT("Lookup_"&amp;$B2),N$1-1,0)="","",VLOOKUP($F2,INDIRECT("Lookup_"&amp;$B2),N$1-1,0))</f>
        <v>-144285</v>
      </c>
      <c r="O2" s="74">
        <f t="shared" ref="O2:O20" ca="1" si="11">IF(VLOOKUP($F2,INDIRECT("Lookup_"&amp;$B2),O$1-1,0)="","",VLOOKUP($F2,INDIRECT("Lookup_"&amp;$B2),O$1-1,0))</f>
        <v>1994964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1994964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11189511</v>
      </c>
      <c r="D3" s="79" t="str">
        <f t="shared" si="1"/>
        <v>4400893570007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2016</v>
      </c>
      <c r="H3" s="190">
        <f t="shared" si="4"/>
        <v>42735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11189511</v>
      </c>
      <c r="D4" s="79" t="str">
        <f t="shared" si="1"/>
        <v>4400893570007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2016</v>
      </c>
      <c r="H4" s="190">
        <f t="shared" si="4"/>
        <v>42735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11189511</v>
      </c>
      <c r="D5" s="79" t="str">
        <f t="shared" si="1"/>
        <v>4400893570007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2016</v>
      </c>
      <c r="H5" s="190">
        <f t="shared" si="4"/>
        <v>42735</v>
      </c>
      <c r="I5" s="79">
        <f t="shared" si="5"/>
        <v>4</v>
      </c>
      <c r="J5" s="74">
        <f t="shared" ca="1" si="6"/>
        <v>1945000</v>
      </c>
      <c r="K5" s="74">
        <f t="shared" ca="1" si="7"/>
        <v>0</v>
      </c>
      <c r="L5" s="74">
        <f t="shared" ca="1" si="8"/>
        <v>0</v>
      </c>
      <c r="M5" s="74">
        <f t="shared" ca="1" si="9"/>
        <v>194249</v>
      </c>
      <c r="N5" s="74">
        <f t="shared" ca="1" si="10"/>
        <v>-144285</v>
      </c>
      <c r="O5" s="74">
        <f t="shared" ca="1" si="11"/>
        <v>1994964</v>
      </c>
      <c r="P5" s="74">
        <f t="shared" ca="1" si="12"/>
        <v>0</v>
      </c>
      <c r="Q5" s="74">
        <f t="shared" ca="1" si="13"/>
        <v>1994964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11189511</v>
      </c>
      <c r="D6" s="79" t="str">
        <f t="shared" si="1"/>
        <v>4400893570007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2016</v>
      </c>
      <c r="H6" s="190">
        <f t="shared" si="4"/>
        <v>42735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11189511</v>
      </c>
      <c r="D7" s="79" t="str">
        <f t="shared" si="1"/>
        <v>4400893570007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2016</v>
      </c>
      <c r="H7" s="190">
        <f t="shared" si="4"/>
        <v>42735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11189511</v>
      </c>
      <c r="D8" s="79" t="str">
        <f t="shared" si="1"/>
        <v>4400893570007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2016</v>
      </c>
      <c r="H8" s="190">
        <f t="shared" si="4"/>
        <v>42735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11189511</v>
      </c>
      <c r="D9" s="79" t="str">
        <f t="shared" si="1"/>
        <v>4400893570007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2016</v>
      </c>
      <c r="H9" s="190">
        <f t="shared" si="4"/>
        <v>42735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161826</v>
      </c>
      <c r="O9" s="74">
        <f t="shared" ca="1" si="11"/>
        <v>161826</v>
      </c>
      <c r="P9" s="74" t="str">
        <f t="shared" ca="1" si="12"/>
        <v/>
      </c>
      <c r="Q9" s="74">
        <f t="shared" ca="1" si="13"/>
        <v>161826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11189511</v>
      </c>
      <c r="D10" s="79" t="str">
        <f t="shared" si="1"/>
        <v>4400893570007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2016</v>
      </c>
      <c r="H10" s="190">
        <f t="shared" si="4"/>
        <v>42735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11189511</v>
      </c>
      <c r="D11" s="79" t="str">
        <f t="shared" si="1"/>
        <v>4400893570007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2016</v>
      </c>
      <c r="H11" s="190">
        <f t="shared" si="4"/>
        <v>42735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11189511</v>
      </c>
      <c r="D12" s="79" t="str">
        <f t="shared" si="1"/>
        <v>4400893570007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2016</v>
      </c>
      <c r="H12" s="190">
        <f t="shared" si="4"/>
        <v>42735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11189511</v>
      </c>
      <c r="D13" s="79" t="str">
        <f t="shared" si="1"/>
        <v>4400893570007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2016</v>
      </c>
      <c r="H13" s="190">
        <f t="shared" si="4"/>
        <v>42735</v>
      </c>
      <c r="I13" s="79">
        <f t="shared" si="5"/>
        <v>4</v>
      </c>
      <c r="J13" s="74">
        <f t="shared" ca="1" si="6"/>
        <v>1945000</v>
      </c>
      <c r="K13" s="74">
        <f t="shared" ca="1" si="7"/>
        <v>0</v>
      </c>
      <c r="L13" s="74">
        <f t="shared" ca="1" si="8"/>
        <v>0</v>
      </c>
      <c r="M13" s="74">
        <f t="shared" ca="1" si="9"/>
        <v>194249</v>
      </c>
      <c r="N13" s="74">
        <f t="shared" ca="1" si="10"/>
        <v>17541</v>
      </c>
      <c r="O13" s="74">
        <f t="shared" ca="1" si="11"/>
        <v>2156790</v>
      </c>
      <c r="P13" s="74">
        <f t="shared" ca="1" si="12"/>
        <v>0</v>
      </c>
      <c r="Q13" s="74">
        <f t="shared" ca="1" si="13"/>
        <v>2156790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11189511</v>
      </c>
      <c r="D14" s="79" t="str">
        <f t="shared" si="1"/>
        <v>4400893570007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2016</v>
      </c>
      <c r="H14" s="190">
        <f t="shared" si="4"/>
        <v>42735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11189511</v>
      </c>
      <c r="D15" s="79" t="str">
        <f t="shared" si="1"/>
        <v>4400893570007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2016</v>
      </c>
      <c r="H15" s="190">
        <f t="shared" si="4"/>
        <v>42735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11189511</v>
      </c>
      <c r="D16" s="79" t="str">
        <f t="shared" si="1"/>
        <v>4400893570007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2016</v>
      </c>
      <c r="H16" s="190">
        <f t="shared" si="4"/>
        <v>42735</v>
      </c>
      <c r="I16" s="79">
        <f t="shared" si="5"/>
        <v>4</v>
      </c>
      <c r="J16" s="74">
        <f t="shared" ca="1" si="6"/>
        <v>1945000</v>
      </c>
      <c r="K16" s="74">
        <f t="shared" ca="1" si="7"/>
        <v>0</v>
      </c>
      <c r="L16" s="74">
        <f t="shared" ca="1" si="8"/>
        <v>0</v>
      </c>
      <c r="M16" s="74">
        <f t="shared" ca="1" si="9"/>
        <v>194249</v>
      </c>
      <c r="N16" s="74">
        <f t="shared" ca="1" si="10"/>
        <v>17541</v>
      </c>
      <c r="O16" s="74">
        <f t="shared" ca="1" si="11"/>
        <v>2156790</v>
      </c>
      <c r="P16" s="74">
        <f t="shared" ca="1" si="12"/>
        <v>0</v>
      </c>
      <c r="Q16" s="74">
        <f t="shared" ca="1" si="13"/>
        <v>2156790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11189511</v>
      </c>
      <c r="D17" s="79" t="str">
        <f t="shared" si="1"/>
        <v>4400893570007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2016</v>
      </c>
      <c r="H17" s="190">
        <f t="shared" si="4"/>
        <v>42735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11189511</v>
      </c>
      <c r="D18" s="79" t="str">
        <f t="shared" si="1"/>
        <v>4400893570007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2016</v>
      </c>
      <c r="H18" s="190">
        <f t="shared" si="4"/>
        <v>42735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11189511</v>
      </c>
      <c r="D19" s="79" t="str">
        <f t="shared" si="1"/>
        <v>4400893570007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2016</v>
      </c>
      <c r="H19" s="190">
        <f t="shared" si="4"/>
        <v>42735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11189511</v>
      </c>
      <c r="D20" s="79" t="str">
        <f t="shared" si="1"/>
        <v>4400893570007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2016</v>
      </c>
      <c r="H20" s="190">
        <f t="shared" si="4"/>
        <v>42735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89762</v>
      </c>
      <c r="O20" s="74">
        <f t="shared" ca="1" si="11"/>
        <v>89762</v>
      </c>
      <c r="P20" s="74" t="str">
        <f t="shared" ca="1" si="12"/>
        <v/>
      </c>
      <c r="Q20" s="74">
        <f t="shared" ca="1" si="13"/>
        <v>89762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11189511</v>
      </c>
      <c r="D21" s="74" t="str">
        <f>Podatak_JIB</f>
        <v>4400893570007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2016</v>
      </c>
      <c r="H21" s="373">
        <f>Datum_Broj</f>
        <v>42735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11189511</v>
      </c>
      <c r="D22" s="74" t="str">
        <f>Podatak_JIB</f>
        <v>4400893570007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2016</v>
      </c>
      <c r="H22" s="373">
        <f>Datum_Broj</f>
        <v>42735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11189511</v>
      </c>
      <c r="D23" s="74" t="str">
        <f>Podatak_JIB</f>
        <v>4400893570007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2016</v>
      </c>
      <c r="H23" s="373">
        <f>Datum_Broj</f>
        <v>42735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11189511</v>
      </c>
      <c r="D24" s="74" t="str">
        <f>Podatak_JIB</f>
        <v>4400893570007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2016</v>
      </c>
      <c r="H24" s="373">
        <f>Datum_Broj</f>
        <v>42735</v>
      </c>
      <c r="I24" s="74">
        <f>ID_Izvjestaj</f>
        <v>4</v>
      </c>
      <c r="J24" s="74">
        <f t="shared" ca="1" si="14"/>
        <v>1945000</v>
      </c>
      <c r="K24" s="74">
        <f t="shared" ca="1" si="15"/>
        <v>0</v>
      </c>
      <c r="L24" s="74">
        <f t="shared" ca="1" si="16"/>
        <v>0</v>
      </c>
      <c r="M24" s="74">
        <f t="shared" ca="1" si="17"/>
        <v>194249</v>
      </c>
      <c r="N24" s="74">
        <f t="shared" ca="1" si="18"/>
        <v>107303</v>
      </c>
      <c r="O24" s="74">
        <f t="shared" ca="1" si="19"/>
        <v>2246552</v>
      </c>
      <c r="P24" s="74">
        <f t="shared" ca="1" si="20"/>
        <v>0</v>
      </c>
      <c r="Q24" s="74">
        <f t="shared" ca="1" si="21"/>
        <v>2246552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D60" sqref="D60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0">
        <v>1</v>
      </c>
      <c r="E8" s="380"/>
      <c r="F8" s="60"/>
      <c r="G8" s="380">
        <v>1</v>
      </c>
      <c r="H8" s="380"/>
      <c r="I8" s="60"/>
      <c r="J8" s="383">
        <v>2016</v>
      </c>
      <c r="K8" s="384"/>
      <c r="L8" s="385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01.01.2016.</v>
      </c>
      <c r="AB8" s="133" t="str">
        <f>IF(Y8, IF( Z8, AA8, Kontrola_Neispravno), Kontrola_Obavezno)</f>
        <v>01.01.2016.</v>
      </c>
    </row>
    <row r="9" spans="2:31" ht="4.5" customHeight="1" x14ac:dyDescent="0.2">
      <c r="B9" s="126"/>
      <c r="J9" s="386"/>
      <c r="K9" s="387"/>
      <c r="L9" s="388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1">
        <v>31</v>
      </c>
      <c r="E10" s="382"/>
      <c r="F10" s="60"/>
      <c r="G10" s="381">
        <v>12</v>
      </c>
      <c r="H10" s="382"/>
      <c r="I10" s="60"/>
      <c r="J10" s="389"/>
      <c r="K10" s="390"/>
      <c r="L10" s="391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31.12.2016.</v>
      </c>
      <c r="AB10" s="133" t="str">
        <f>IF(Y10, IF( Z10, AA10, Kontrola_Neispravno), Kontrola_Obavezno)</f>
        <v>31.12.2016.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375">
        <v>1</v>
      </c>
      <c r="E15" s="375">
        <v>1</v>
      </c>
      <c r="F15" s="375">
        <v>1</v>
      </c>
      <c r="G15" s="375">
        <v>8</v>
      </c>
      <c r="H15" s="375">
        <v>9</v>
      </c>
      <c r="I15" s="375">
        <v>5</v>
      </c>
      <c r="J15" s="375">
        <v>1</v>
      </c>
      <c r="K15" s="124">
        <v>1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11189511</v>
      </c>
      <c r="AB15" s="133" t="str">
        <f>IF(Y15, IF( Z15, AA15, Kontrola_Neispravno), Kontrola_Obavezno)</f>
        <v>11189511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6</v>
      </c>
      <c r="E17" s="124">
        <v>8</v>
      </c>
      <c r="F17" s="128" t="s">
        <v>734</v>
      </c>
      <c r="G17" s="124">
        <v>2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68.20</v>
      </c>
      <c r="AB17" s="133" t="str">
        <f>IF(Y17, IF( Z17, AA17, Kontrola_Neispravno), Kontrola_Obavezno)</f>
        <v>68.20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2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2"/>
      <c r="D20" s="393" t="s">
        <v>2030</v>
      </c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93"/>
      <c r="Y20" s="16" t="b">
        <f>LEN(AA20) &gt; 0</f>
        <v>1</v>
      </c>
      <c r="Z20" s="16" t="b">
        <v>1</v>
      </c>
      <c r="AA20" s="137" t="str">
        <f>CONCATENATE( D20)</f>
        <v>"ČAJAVEC SERVIS I PROMET" AD BANJA LUKA</v>
      </c>
      <c r="AB20" s="135" t="str">
        <f>IF(Y20, IF( Z20, AA20, Kontrola_Neispravno), Kontrola_Obavezno)</f>
        <v>"ČAJAVEC SERVIS I PROMET" AD BANJA LUKA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8" t="s">
        <v>2031</v>
      </c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98"/>
      <c r="S22" s="398"/>
      <c r="T22" s="398"/>
      <c r="U22" s="398"/>
      <c r="V22" s="398"/>
      <c r="Y22" s="16" t="b">
        <f>LEN(AA22) &gt; 0</f>
        <v>1</v>
      </c>
      <c r="Z22" s="16" t="b">
        <v>1</v>
      </c>
      <c r="AA22" s="137" t="str">
        <f>CONCATENATE( D22)</f>
        <v>Veselina Masleše 1/IX, Banja Luka</v>
      </c>
      <c r="AB22" s="133" t="str">
        <f>IF(Y22, IF( Z22, AA22, Kontrola_Neispravno), Kontrola_Obavezno)</f>
        <v>Veselina Masleše 1/IX, Banja Luka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375">
        <v>4</v>
      </c>
      <c r="E24" s="376">
        <v>4</v>
      </c>
      <c r="F24" s="377">
        <v>0</v>
      </c>
      <c r="G24" s="375">
        <v>0</v>
      </c>
      <c r="H24" s="376">
        <v>8</v>
      </c>
      <c r="I24" s="377">
        <v>9</v>
      </c>
      <c r="J24" s="375">
        <v>3</v>
      </c>
      <c r="K24" s="376">
        <v>5</v>
      </c>
      <c r="L24" s="377">
        <v>7</v>
      </c>
      <c r="M24" s="376">
        <v>0</v>
      </c>
      <c r="N24" s="377">
        <v>0</v>
      </c>
      <c r="O24" s="376">
        <v>0</v>
      </c>
      <c r="P24" s="377">
        <v>7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4400893570007</v>
      </c>
      <c r="AB24" s="133" t="str">
        <f>IF(Y24, IF( Z24, AA24, Kontrola_Neispravno), Kontrola_Obavezno)</f>
        <v>4400893570007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9</v>
      </c>
      <c r="J27" s="124">
        <v>9</v>
      </c>
      <c r="K27" s="125" t="s">
        <v>733</v>
      </c>
      <c r="L27" s="375">
        <v>0</v>
      </c>
      <c r="M27" s="375">
        <v>0</v>
      </c>
      <c r="N27" s="375">
        <v>0</v>
      </c>
      <c r="O27" s="375">
        <v>0</v>
      </c>
      <c r="P27" s="375">
        <v>0</v>
      </c>
      <c r="Q27" s="375">
        <v>9</v>
      </c>
      <c r="R27" s="375">
        <v>6</v>
      </c>
      <c r="S27" s="375">
        <v>6</v>
      </c>
      <c r="T27" s="60" t="s">
        <v>733</v>
      </c>
      <c r="U27" s="124">
        <v>2</v>
      </c>
      <c r="V27" s="124">
        <v>1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5620990000096621</v>
      </c>
      <c r="AB27" s="133" t="str">
        <f>IF(Y27, IF( Z27, CONCATENATE( D27, E27, F27, G27, H27, I27, J27, K27, L27, M27, N27, O27, P27, Q27, R27, S27, T27, U27, V27), Kontrola_Neispravno), Kontrola_Obavezno)</f>
        <v>562-099-00000966-21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9" t="s">
        <v>2032</v>
      </c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Y40" s="16" t="b">
        <f>LEN(AA40) &gt; 0</f>
        <v>1</v>
      </c>
      <c r="Z40" s="16" t="b">
        <v>1</v>
      </c>
      <c r="AA40" s="137" t="str">
        <f>CONCATENATE( D40)</f>
        <v>Banjoj Luci</v>
      </c>
      <c r="AB40" s="135" t="str">
        <f>IF(Y40, IF( Z40, AA40, Kontrola_Neispravno), Kontrola_Obavezno)</f>
        <v>Banjoj 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4">
        <v>24</v>
      </c>
      <c r="E43" s="396"/>
      <c r="F43" s="60"/>
      <c r="G43" s="394">
        <v>2</v>
      </c>
      <c r="H43" s="396"/>
      <c r="I43" s="60"/>
      <c r="J43" s="394">
        <v>2017</v>
      </c>
      <c r="K43" s="395"/>
      <c r="L43" s="396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24.02.2017.</v>
      </c>
      <c r="AB43" s="135" t="str">
        <f>IF(Y43, IF( Z43, AA43, Kontrola_Neispravno), Kontrola_Obavezno)</f>
        <v>24.02.2017.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9" t="s">
        <v>2033</v>
      </c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Y45" s="16" t="b">
        <f>LEN(AA45) &gt; 0</f>
        <v>1</v>
      </c>
      <c r="Z45" s="16" t="b">
        <v>1</v>
      </c>
      <c r="AA45" s="137" t="str">
        <f>CONCATENATE( D45)</f>
        <v>Dragana Barac, SR-1652/17</v>
      </c>
      <c r="AB45" s="135" t="str">
        <f>IF(Y45, IF( Z45, AA45, Kontrola_Neispravno), Kontrola_Obavezno)</f>
        <v>Dragana Barac, SR-1652/17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9" t="s">
        <v>2035</v>
      </c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Y47" s="16" t="b">
        <f>LEN(AA47) &gt; 0</f>
        <v>1</v>
      </c>
      <c r="Z47" s="16" t="b">
        <v>1</v>
      </c>
      <c r="AA47" s="137" t="str">
        <f>CONCATENATE( D47)</f>
        <v>SR-1652/17</v>
      </c>
      <c r="AB47" s="135" t="str">
        <f>IF(Y47, IF( Z47, AA47, Kontrola_Neispravno), Kontrola_Obavezno)</f>
        <v>SR-1652/17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8" t="s">
        <v>2034</v>
      </c>
      <c r="E49" s="398"/>
      <c r="F49" s="398"/>
      <c r="G49" s="398"/>
      <c r="H49" s="398"/>
      <c r="I49" s="398"/>
      <c r="J49" s="398"/>
      <c r="K49" s="398"/>
      <c r="L49" s="398"/>
      <c r="M49" s="398"/>
      <c r="N49" s="398"/>
      <c r="O49" s="398"/>
      <c r="P49" s="398"/>
      <c r="Q49" s="398"/>
      <c r="R49" s="398"/>
      <c r="S49" s="398"/>
      <c r="T49" s="398"/>
      <c r="U49" s="398"/>
      <c r="V49" s="398"/>
      <c r="Y49" s="16" t="b">
        <f>LEN(AA49) &gt; 0</f>
        <v>1</v>
      </c>
      <c r="Z49" s="16" t="b">
        <v>1</v>
      </c>
      <c r="AA49" s="137" t="str">
        <f>CONCATENATE( D49)</f>
        <v>Dragana Garača</v>
      </c>
      <c r="AB49" s="135" t="str">
        <f>IF(Y49, IF( Z49, AA49, Kontrola_Neispravno), Kontrola_Obavezno)</f>
        <v>Dragana Garača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9" t="s">
        <v>2036</v>
      </c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Y52" s="16" t="b">
        <f>LEN(AA52) &gt; 0</f>
        <v>1</v>
      </c>
      <c r="Z52" s="16" t="b">
        <v>1</v>
      </c>
      <c r="AA52" s="137" t="str">
        <f>CONCATENATE( D52)</f>
        <v>Jovana Dučića 23a, Banja Luka</v>
      </c>
      <c r="AB52" s="135" t="str">
        <f>IF(Y52, IF( Z52, AA52, Kontrola_Neispravno), Kontrola_Obavezno)</f>
        <v>Jovana Dučića 23a, Banja Luka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7"/>
      <c r="E56" s="397"/>
      <c r="F56" s="397"/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2</v>
      </c>
      <c r="I58" s="124">
        <v>1</v>
      </c>
      <c r="J58" s="124">
        <v>5</v>
      </c>
      <c r="K58" s="60" t="s">
        <v>733</v>
      </c>
      <c r="L58" s="124">
        <v>5</v>
      </c>
      <c r="M58" s="124">
        <v>2</v>
      </c>
      <c r="N58" s="124">
        <v>6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051-215-526</v>
      </c>
      <c r="AB58" s="135" t="str">
        <f>IF(Y58, IF( Z58, AA58, Kontrola_Neispravno), Kontrola_Obavezno)</f>
        <v>051-215-526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2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2"/>
      <c r="C70" s="9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2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2"/>
      <c r="D82" s="397"/>
      <c r="E82" s="397"/>
      <c r="F82" s="397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7"/>
      <c r="E84" s="397"/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2" t="str">
        <f>IF( Konsolidovan_izvjestaj, Zaglavlje_Naziv_preduzeca, "")</f>
        <v/>
      </c>
    </row>
    <row r="92" spans="1:27" ht="15" customHeight="1" x14ac:dyDescent="0.2">
      <c r="A92" s="9"/>
      <c r="B92" s="392"/>
      <c r="D92" s="397"/>
      <c r="E92" s="397"/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2" t="str">
        <f>IF( Konsolidovan_izvjestaj, Zaglavlje_Naziv_preduzeca, "")</f>
        <v/>
      </c>
    </row>
    <row r="102" spans="1:32" ht="15" customHeight="1" x14ac:dyDescent="0.2">
      <c r="A102" s="9"/>
      <c r="B102" s="392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97"/>
      <c r="E104" s="397"/>
      <c r="F104" s="397"/>
      <c r="G104" s="397"/>
      <c r="H104" s="397"/>
      <c r="I104" s="397"/>
      <c r="J104" s="397"/>
      <c r="K104" s="397"/>
      <c r="L104" s="397"/>
      <c r="M104" s="397"/>
      <c r="N104" s="397"/>
      <c r="O104" s="397"/>
      <c r="P104" s="397"/>
      <c r="Q104" s="397"/>
      <c r="R104" s="397"/>
      <c r="S104" s="397"/>
      <c r="T104" s="397"/>
      <c r="U104" s="397"/>
      <c r="V104" s="397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2" t="str">
        <f>IF( Konsolidovan_izvjestaj, Zaglavlje_Naziv_preduzeca, "")</f>
        <v/>
      </c>
    </row>
    <row r="112" spans="1:32" ht="15" customHeight="1" x14ac:dyDescent="0.2">
      <c r="B112" s="392"/>
      <c r="D112" s="397"/>
      <c r="E112" s="397"/>
      <c r="F112" s="397"/>
      <c r="G112" s="397"/>
      <c r="H112" s="397"/>
      <c r="I112" s="397"/>
      <c r="J112" s="397"/>
      <c r="K112" s="397"/>
      <c r="L112" s="397"/>
      <c r="M112" s="397"/>
      <c r="N112" s="397"/>
      <c r="O112" s="397"/>
      <c r="P112" s="397"/>
      <c r="Q112" s="397"/>
      <c r="R112" s="397"/>
      <c r="S112" s="397"/>
      <c r="T112" s="397"/>
      <c r="U112" s="397"/>
      <c r="V112" s="397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97"/>
      <c r="E114" s="397"/>
      <c r="F114" s="397"/>
      <c r="G114" s="397"/>
      <c r="H114" s="397"/>
      <c r="I114" s="397"/>
      <c r="J114" s="397"/>
      <c r="K114" s="397"/>
      <c r="L114" s="397"/>
      <c r="M114" s="397"/>
      <c r="N114" s="397"/>
      <c r="O114" s="397"/>
      <c r="P114" s="397"/>
      <c r="Q114" s="397"/>
      <c r="R114" s="397"/>
      <c r="S114" s="397"/>
      <c r="T114" s="397"/>
      <c r="U114" s="397"/>
      <c r="V114" s="397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2" t="str">
        <f>IF( Konsolidovan_izvjestaj, Zaglavlje_Naziv_preduzeca, "")</f>
        <v/>
      </c>
    </row>
    <row r="122" spans="2:32" ht="15" customHeight="1" x14ac:dyDescent="0.2">
      <c r="B122" s="392"/>
      <c r="D122" s="397"/>
      <c r="E122" s="397"/>
      <c r="F122" s="397"/>
      <c r="G122" s="397"/>
      <c r="H122" s="397"/>
      <c r="I122" s="397"/>
      <c r="J122" s="397"/>
      <c r="K122" s="397"/>
      <c r="L122" s="397"/>
      <c r="M122" s="397"/>
      <c r="N122" s="397"/>
      <c r="O122" s="397"/>
      <c r="P122" s="397"/>
      <c r="Q122" s="397"/>
      <c r="R122" s="397"/>
      <c r="S122" s="397"/>
      <c r="T122" s="397"/>
      <c r="U122" s="397"/>
      <c r="V122" s="397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97"/>
      <c r="E124" s="397"/>
      <c r="F124" s="397"/>
      <c r="G124" s="397"/>
      <c r="H124" s="397"/>
      <c r="I124" s="397"/>
      <c r="J124" s="397"/>
      <c r="K124" s="397"/>
      <c r="L124" s="397"/>
      <c r="M124" s="397"/>
      <c r="N124" s="397"/>
      <c r="O124" s="397"/>
      <c r="P124" s="397"/>
      <c r="Q124" s="397"/>
      <c r="R124" s="397"/>
      <c r="S124" s="397"/>
      <c r="T124" s="397"/>
      <c r="U124" s="397"/>
      <c r="V124" s="397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74:P74 E86:P86 E96:P96 E106:P106 E116:P116 E126:P126">
    <cfRule type="expression" dxfId="81" priority="69" stopIfTrue="1">
      <formula>$O$14 &gt; 0</formula>
    </cfRule>
  </conditionalFormatting>
  <conditionalFormatting sqref="D17:E17 D27:F27 D29:F29 D31:F31 D33:F33 D35:F35 D37:F37 D58:F58 D60:F60 H27:J27 L29:S29 H29:J29 L31:S31 H31:J31 L33:S33 H33:J33 L35:S35 H35:J35 L37:S37 H37:J37 H58:J58 H60:J60 K15 L58:N58 L60:N60 D74:P74 D67:K67 D79:K79 D89:K89 D99:K99 D109:K109 D119:K119 D86:P86 D96:P96 D106:P106 D116:P116 D126:P126">
    <cfRule type="expression" dxfId="80" priority="54" stopIfTrue="1">
      <formula>$AC$3 &gt; 0</formula>
    </cfRule>
  </conditionalFormatting>
  <conditionalFormatting sqref="G17:I17">
    <cfRule type="expression" dxfId="79" priority="52" stopIfTrue="1">
      <formula>$AC$3 &gt; 0</formula>
    </cfRule>
  </conditionalFormatting>
  <conditionalFormatting sqref="U27:V27">
    <cfRule type="expression" dxfId="78" priority="51" stopIfTrue="1">
      <formula>$AC$3 &gt; 0</formula>
    </cfRule>
  </conditionalFormatting>
  <conditionalFormatting sqref="U29:V29">
    <cfRule type="expression" dxfId="77" priority="50" stopIfTrue="1">
      <formula>$AC$3 &gt; 0</formula>
    </cfRule>
  </conditionalFormatting>
  <conditionalFormatting sqref="U31:V31">
    <cfRule type="expression" dxfId="76" priority="49" stopIfTrue="1">
      <formula>$AC$3 &gt; 0</formula>
    </cfRule>
  </conditionalFormatting>
  <conditionalFormatting sqref="U33:V33">
    <cfRule type="expression" dxfId="75" priority="48" stopIfTrue="1">
      <formula>$AC$3 &gt; 0</formula>
    </cfRule>
  </conditionalFormatting>
  <conditionalFormatting sqref="U35:V35">
    <cfRule type="expression" dxfId="74" priority="47" stopIfTrue="1">
      <formula>$AC$3 &gt; 0</formula>
    </cfRule>
  </conditionalFormatting>
  <conditionalFormatting sqref="U37:V37">
    <cfRule type="expression" dxfId="73" priority="46" stopIfTrue="1">
      <formula>$AC$3 &gt; 0</formula>
    </cfRule>
  </conditionalFormatting>
  <conditionalFormatting sqref="E24:P24">
    <cfRule type="expression" dxfId="72" priority="4" stopIfTrue="1">
      <formula>$O$14 &gt; 0</formula>
    </cfRule>
  </conditionalFormatting>
  <conditionalFormatting sqref="D24:P24">
    <cfRule type="expression" dxfId="71" priority="3" stopIfTrue="1">
      <formula>$AC$3 &gt; 0</formula>
    </cfRule>
  </conditionalFormatting>
  <conditionalFormatting sqref="D15:J15">
    <cfRule type="expression" dxfId="70" priority="2" stopIfTrue="1">
      <formula>$AC$3 &gt; 0</formula>
    </cfRule>
  </conditionalFormatting>
  <conditionalFormatting sqref="L27:S27">
    <cfRule type="expression" dxfId="69" priority="1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="87" zoomScaleNormal="87" zoomScaleSheetLayoutView="100" workbookViewId="0">
      <pane ySplit="4" topLeftCell="A83" activePane="bottomLeft" state="frozen"/>
      <selection activeCell="D15" sqref="D15"/>
      <selection pane="bottomLeft" activeCell="L151" sqref="L15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0" t="str">
        <f>Podatak_MB</f>
        <v>11189511</v>
      </c>
      <c r="E5" s="450"/>
      <c r="F5" s="173"/>
      <c r="G5" s="173"/>
      <c r="H5" s="173"/>
      <c r="I5" s="173"/>
      <c r="J5" s="173"/>
      <c r="K5" s="174" t="str">
        <f>Zaglavlje_Ziro_racun</f>
        <v>Poslovni računi:</v>
      </c>
      <c r="L5" s="448" t="str">
        <f>Podatak_Ziro_racun_1</f>
        <v>562-099-00000966-21</v>
      </c>
      <c r="M5" s="448"/>
    </row>
    <row r="6" spans="1:13" x14ac:dyDescent="0.2">
      <c r="A6" s="15"/>
      <c r="B6" s="15"/>
      <c r="C6" s="172" t="str">
        <f>Zaglavlje_Sifra_djelatnosti</f>
        <v>Šifra djelatnosti:</v>
      </c>
      <c r="D6" s="450" t="str">
        <f>Podatak_Sifra_djelatnosti</f>
        <v>68.20</v>
      </c>
      <c r="E6" s="450"/>
      <c r="F6" s="175"/>
      <c r="G6" s="173"/>
      <c r="H6" s="173"/>
      <c r="I6" s="173"/>
      <c r="J6" s="173"/>
      <c r="K6" s="173"/>
      <c r="L6" s="448" t="str">
        <f>Podatak_Ziro_racun_2</f>
        <v/>
      </c>
      <c r="M6" s="448"/>
    </row>
    <row r="7" spans="1:13" x14ac:dyDescent="0.2">
      <c r="A7" s="18"/>
      <c r="B7" s="18"/>
      <c r="C7" s="441" t="str">
        <f>Zaglavlje_Naziv_preduzeca</f>
        <v>Naziv privrednog društva, zadruge, drugog pravnog lica ili preduzetnika:</v>
      </c>
      <c r="D7" s="441"/>
      <c r="E7" s="441"/>
      <c r="F7" s="176"/>
      <c r="G7" s="173"/>
      <c r="H7" s="173"/>
      <c r="I7" s="173"/>
      <c r="J7" s="173"/>
      <c r="K7" s="173"/>
      <c r="L7" s="448" t="str">
        <f>Podatak_Ziro_racun_3</f>
        <v/>
      </c>
      <c r="M7" s="448"/>
    </row>
    <row r="8" spans="1:13" x14ac:dyDescent="0.2">
      <c r="A8" s="18"/>
      <c r="B8" s="18"/>
      <c r="C8" s="441"/>
      <c r="D8" s="441"/>
      <c r="E8" s="441"/>
      <c r="F8" s="176"/>
      <c r="G8" s="173"/>
      <c r="H8" s="173"/>
      <c r="I8" s="173"/>
      <c r="J8" s="173"/>
      <c r="K8" s="173"/>
      <c r="L8" s="448" t="str">
        <f>Podatak_Ziro_racun_4</f>
        <v/>
      </c>
      <c r="M8" s="448"/>
    </row>
    <row r="9" spans="1:13" x14ac:dyDescent="0.2">
      <c r="A9" s="15"/>
      <c r="B9" s="15"/>
      <c r="C9" s="454" t="str">
        <f>Podatak_Naziv_preduzeca</f>
        <v>"ČAJAVEC SERVIS I PROMET" AD BANJA LUKA</v>
      </c>
      <c r="D9" s="454"/>
      <c r="E9" s="454"/>
      <c r="F9" s="454"/>
      <c r="G9" s="173"/>
      <c r="H9" s="173"/>
      <c r="I9" s="173"/>
      <c r="J9" s="173"/>
      <c r="K9" s="173"/>
      <c r="L9" s="448" t="str">
        <f>Podatak_Ziro_racun_5</f>
        <v/>
      </c>
      <c r="M9" s="448"/>
    </row>
    <row r="10" spans="1:13" x14ac:dyDescent="0.2">
      <c r="A10" s="15"/>
      <c r="B10" s="15"/>
      <c r="C10" s="172" t="str">
        <f>Zaglavlje_Sjediste</f>
        <v>Sjedište:</v>
      </c>
      <c r="D10" s="450" t="str">
        <f>Podatak_Sjediste</f>
        <v>Veselina Masleše 1/IX, Banja Luka</v>
      </c>
      <c r="E10" s="450"/>
      <c r="F10" s="172"/>
      <c r="G10" s="173"/>
      <c r="H10" s="173"/>
      <c r="I10" s="173"/>
      <c r="J10" s="173"/>
      <c r="K10" s="173"/>
      <c r="L10" s="448" t="str">
        <f>Podatak_Ziro_racun_6</f>
        <v/>
      </c>
      <c r="M10" s="448"/>
    </row>
    <row r="11" spans="1:13" x14ac:dyDescent="0.2">
      <c r="C11" s="172" t="str">
        <f>Zaglavlje_JIB</f>
        <v>JIB:</v>
      </c>
      <c r="D11" s="450" t="str">
        <f>Podatak_JIB</f>
        <v>4400893570007</v>
      </c>
      <c r="E11" s="450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5" t="str">
        <f>IF( Id_Konsolidovani, Nazivi_bilansa_Konsolidovani_naziv &amp; LOWER( Nazivi_bilansa_BS), Nazivi_bilansa_BS)</f>
        <v>Bilans stanja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</row>
    <row r="13" spans="1:13" x14ac:dyDescent="0.2">
      <c r="C13" s="452" t="str">
        <f>Nazivi_bilansa_BS1</f>
        <v>(Izvještaj o finansijskom položaju)</v>
      </c>
      <c r="D13" s="452"/>
      <c r="E13" s="452"/>
      <c r="F13" s="452"/>
      <c r="G13" s="452"/>
      <c r="H13" s="452"/>
      <c r="I13" s="452"/>
      <c r="J13" s="452"/>
      <c r="K13" s="452"/>
      <c r="L13" s="452"/>
      <c r="M13" s="452"/>
    </row>
    <row r="14" spans="1:13" x14ac:dyDescent="0.2">
      <c r="C14" s="452" t="str">
        <f>Datumi_Datum_BS</f>
        <v>na dan 31.12.2016. godine</v>
      </c>
      <c r="D14" s="452"/>
      <c r="E14" s="452"/>
      <c r="F14" s="452"/>
      <c r="G14" s="452"/>
      <c r="H14" s="452"/>
      <c r="I14" s="452"/>
      <c r="J14" s="452"/>
      <c r="K14" s="452"/>
      <c r="L14" s="452"/>
      <c r="M14" s="452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3" t="str">
        <f>Tabele_zaglavlje_Grupa_racuna</f>
        <v>Grupa računa, račun</v>
      </c>
      <c r="D16" s="442" t="str">
        <f>Tabele_zaglavlje_Pozicija</f>
        <v>POZICIJA</v>
      </c>
      <c r="E16" s="443"/>
      <c r="F16" s="443"/>
      <c r="G16" s="443"/>
      <c r="H16" s="444"/>
      <c r="I16" s="405" t="str">
        <f>Tabele_zaglavlje_Oznaka_aop</f>
        <v>Oznaka za AOP</v>
      </c>
      <c r="J16" s="451" t="str">
        <f>Tabele_zaglavlje_BS_iznos_tekuca</f>
        <v>Iznos na dan bilansa tekuće godine</v>
      </c>
      <c r="K16" s="451"/>
      <c r="L16" s="451"/>
      <c r="M16" s="449" t="str">
        <f>Tabele_zaglavlje_BS_iznos_prethodna</f>
        <v>Iznos na dan bilansa prethodne godine (PS)</v>
      </c>
    </row>
    <row r="17" spans="2:15" ht="38.25" customHeight="1" x14ac:dyDescent="0.2">
      <c r="C17" s="404"/>
      <c r="D17" s="445"/>
      <c r="E17" s="446"/>
      <c r="F17" s="446"/>
      <c r="G17" s="446"/>
      <c r="H17" s="447"/>
      <c r="I17" s="40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0"/>
      <c r="O17" s="185" t="s">
        <v>824</v>
      </c>
    </row>
    <row r="18" spans="2:15" x14ac:dyDescent="0.2">
      <c r="B18" s="17" t="s">
        <v>408</v>
      </c>
      <c r="C18" s="26">
        <v>1</v>
      </c>
      <c r="D18" s="401">
        <v>2</v>
      </c>
      <c r="E18" s="417"/>
      <c r="F18" s="417"/>
      <c r="G18" s="417"/>
      <c r="H18" s="402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3" t="str">
        <f>VLOOKUP( $B19, T_Aop[], 6, 1)</f>
        <v>AKTIVA</v>
      </c>
      <c r="E19" s="453"/>
      <c r="F19" s="453"/>
      <c r="G19" s="453"/>
      <c r="H19" s="45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6" t="str">
        <f>VLOOKUP( $B20, T_Aop[], 6, 1)</f>
        <v xml:space="preserve">  A. STALNA SREDSTVA (002 + 008 + 015 + 021 + 030)</v>
      </c>
      <c r="E20" s="427"/>
      <c r="F20" s="427"/>
      <c r="G20" s="427"/>
      <c r="H20" s="428"/>
      <c r="I20" s="235">
        <f>VLOOKUP( $B20, T_Aop[], 4, 1)</f>
        <v>1</v>
      </c>
      <c r="J20" s="32">
        <f>SUBTOTAL( 9, J21:J49)</f>
        <v>4592025</v>
      </c>
      <c r="K20" s="32">
        <f>SUBTOTAL( 9, K21:K49)</f>
        <v>1774490</v>
      </c>
      <c r="L20" s="33">
        <f>SUM(J20,-K20)</f>
        <v>2817535</v>
      </c>
      <c r="M20" s="34">
        <f>SUBTOTAL( 9, M21:M49)</f>
        <v>2803496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8" t="str">
        <f>VLOOKUP( $B21, T_Aop[], 6, 1)</f>
        <v xml:space="preserve">    I - NEMATERIJALNA SREDSTVA (003 do 007)</v>
      </c>
      <c r="E21" s="419"/>
      <c r="F21" s="419"/>
      <c r="G21" s="419"/>
      <c r="H21" s="420"/>
      <c r="I21" s="237">
        <f>VLOOKUP( $B21, T_Aop[], 4, 1)</f>
        <v>2</v>
      </c>
      <c r="J21" s="35">
        <f>SUBTOTAL(9,J22:J26)</f>
        <v>1367377</v>
      </c>
      <c r="K21" s="35">
        <f>SUBTOTAL(9,K22:K26)</f>
        <v>0</v>
      </c>
      <c r="L21" s="36">
        <f t="shared" ref="L21:L84" si="0">SUM(J21,-K21)</f>
        <v>1367377</v>
      </c>
      <c r="M21" s="37">
        <f>SUBTOTAL(9,M22:M26)</f>
        <v>1367377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8" t="str">
        <f>VLOOKUP( $B22, T_Aop[], 6, 1)</f>
        <v xml:space="preserve">      1. Ulaganja u razvoj</v>
      </c>
      <c r="E22" s="409"/>
      <c r="F22" s="409"/>
      <c r="G22" s="409"/>
      <c r="H22" s="410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1" t="str">
        <f>VLOOKUP( $B23, T_Aop[], 6, 1)</f>
        <v xml:space="preserve">      2. Koncesije, patenti, licence i ostala prava</v>
      </c>
      <c r="E23" s="412"/>
      <c r="F23" s="412"/>
      <c r="G23" s="412"/>
      <c r="H23" s="413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8" t="str">
        <f>VLOOKUP( $B24, T_Aop[], 6, 1)</f>
        <v xml:space="preserve">      3. Goodwill</v>
      </c>
      <c r="E24" s="409"/>
      <c r="F24" s="409"/>
      <c r="G24" s="409"/>
      <c r="H24" s="41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1" t="str">
        <f>VLOOKUP( $B25, T_Aop[], 6, 1)</f>
        <v xml:space="preserve">      4. Ostala nematerijalna sredstva</v>
      </c>
      <c r="E25" s="412"/>
      <c r="F25" s="412"/>
      <c r="G25" s="412"/>
      <c r="H25" s="413"/>
      <c r="I25" s="167">
        <f>VLOOKUP( $B25, T_Aop[], 4, 1)</f>
        <v>6</v>
      </c>
      <c r="J25" s="217">
        <v>1367377</v>
      </c>
      <c r="K25" s="217"/>
      <c r="L25" s="202">
        <f t="shared" si="0"/>
        <v>1367377</v>
      </c>
      <c r="M25" s="324">
        <v>1367377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8" t="str">
        <f>VLOOKUP( $B26, T_Aop[], 6, 1)</f>
        <v xml:space="preserve">      5. Avansi i nematerijalna sredstva u pripremi</v>
      </c>
      <c r="E26" s="409"/>
      <c r="F26" s="409"/>
      <c r="G26" s="409"/>
      <c r="H26" s="410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8" t="str">
        <f>VLOOKUP( $B27, T_Aop[], 6, 1)</f>
        <v xml:space="preserve">    II - NEKRETNINE, POSTROJENJA, OPREMA I INVESTICIONE NEKRETNINE (009 do 014)</v>
      </c>
      <c r="E27" s="419"/>
      <c r="F27" s="419"/>
      <c r="G27" s="419"/>
      <c r="H27" s="420"/>
      <c r="I27" s="237">
        <f>VLOOKUP( $B27, T_Aop[], 4, 1)</f>
        <v>8</v>
      </c>
      <c r="J27" s="35">
        <f>SUBTOTAL(9,J28:J33)</f>
        <v>3107096</v>
      </c>
      <c r="K27" s="35">
        <f>SUBTOTAL(9,K28:K33)</f>
        <v>1774490</v>
      </c>
      <c r="L27" s="35">
        <f t="shared" si="0"/>
        <v>1332606</v>
      </c>
      <c r="M27" s="37">
        <f>SUBTOTAL(9,M28:M33)</f>
        <v>1318567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8" t="str">
        <f>VLOOKUP( $B28, T_Aop[], 6, 1)</f>
        <v xml:space="preserve">      1. Zemljište</v>
      </c>
      <c r="E28" s="409"/>
      <c r="F28" s="409"/>
      <c r="G28" s="409"/>
      <c r="H28" s="410"/>
      <c r="I28" s="169">
        <f>VLOOKUP( $B28, T_Aop[], 4, 1)</f>
        <v>9</v>
      </c>
      <c r="J28" s="215"/>
      <c r="K28" s="215"/>
      <c r="L28" s="203">
        <f t="shared" si="0"/>
        <v>0</v>
      </c>
      <c r="M28" s="323"/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1" t="str">
        <f>VLOOKUP( $B29, T_Aop[], 6, 1)</f>
        <v xml:space="preserve">      2. Građevinski objekti</v>
      </c>
      <c r="E29" s="412"/>
      <c r="F29" s="412"/>
      <c r="G29" s="412"/>
      <c r="H29" s="413"/>
      <c r="I29" s="167">
        <f>VLOOKUP( $B29, T_Aop[], 4, 1)</f>
        <v>10</v>
      </c>
      <c r="J29" s="217">
        <v>3030386</v>
      </c>
      <c r="K29" s="217">
        <v>1731658</v>
      </c>
      <c r="L29" s="202">
        <f t="shared" si="0"/>
        <v>1298728</v>
      </c>
      <c r="M29" s="324">
        <v>1262330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8" t="str">
        <f>VLOOKUP( $B30, T_Aop[], 6, 1)</f>
        <v xml:space="preserve">      3. Postrojenja i oprema</v>
      </c>
      <c r="E30" s="409"/>
      <c r="F30" s="409"/>
      <c r="G30" s="409"/>
      <c r="H30" s="410"/>
      <c r="I30" s="169">
        <f>VLOOKUP( $B30, T_Aop[], 4, 1)</f>
        <v>11</v>
      </c>
      <c r="J30" s="215">
        <v>76154</v>
      </c>
      <c r="K30" s="215">
        <v>42832</v>
      </c>
      <c r="L30" s="203">
        <f t="shared" si="0"/>
        <v>33322</v>
      </c>
      <c r="M30" s="323">
        <v>43417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1" t="str">
        <f>VLOOKUP( $B31, T_Aop[], 6, 1)</f>
        <v xml:space="preserve">      4. Investicione nekretnine</v>
      </c>
      <c r="E31" s="412"/>
      <c r="F31" s="412"/>
      <c r="G31" s="412"/>
      <c r="H31" s="413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8" t="str">
        <f>VLOOKUP( $B32, T_Aop[], 6, 1)</f>
        <v xml:space="preserve">      5. Ulaganje na tuđim nekretninama, postrojenjima i opremi</v>
      </c>
      <c r="E32" s="409"/>
      <c r="F32" s="409"/>
      <c r="G32" s="409"/>
      <c r="H32" s="41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1" t="str">
        <f>VLOOKUP( $B33, T_Aop[], 6, 1)</f>
        <v xml:space="preserve">      6. Avansi i nekretnine, postrojenja, oprema i investicione nekretnine u pripremi</v>
      </c>
      <c r="E33" s="412"/>
      <c r="F33" s="412"/>
      <c r="G33" s="412"/>
      <c r="H33" s="413"/>
      <c r="I33" s="167">
        <f>VLOOKUP( $B33, T_Aop[], 4, 1)</f>
        <v>14</v>
      </c>
      <c r="J33" s="217">
        <v>556</v>
      </c>
      <c r="K33" s="217"/>
      <c r="L33" s="202">
        <f t="shared" si="0"/>
        <v>556</v>
      </c>
      <c r="M33" s="324">
        <v>12820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4" t="str">
        <f>VLOOKUP( $B34, T_Aop[], 6, 1)</f>
        <v xml:space="preserve">    III - BIOLOŠKA SREDSTVA I SREDSTVA KULTURE (016 do 020)</v>
      </c>
      <c r="E34" s="415"/>
      <c r="F34" s="415"/>
      <c r="G34" s="415"/>
      <c r="H34" s="416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1" t="str">
        <f>VLOOKUP( $B35, T_Aop[], 6, 1)</f>
        <v xml:space="preserve">      1. Šume</v>
      </c>
      <c r="E35" s="412"/>
      <c r="F35" s="412"/>
      <c r="G35" s="412"/>
      <c r="H35" s="413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8" t="str">
        <f>VLOOKUP( $B36, T_Aop[], 6, 1)</f>
        <v xml:space="preserve">      2. Višegodišnji zasadi</v>
      </c>
      <c r="E36" s="409"/>
      <c r="F36" s="409"/>
      <c r="G36" s="409"/>
      <c r="H36" s="410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1" t="str">
        <f>VLOOKUP( $B37, T_Aop[], 6, 1)</f>
        <v xml:space="preserve">      3. Osnovno stado</v>
      </c>
      <c r="E37" s="412"/>
      <c r="F37" s="412"/>
      <c r="G37" s="412"/>
      <c r="H37" s="413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8" t="str">
        <f>VLOOKUP( $B38, T_Aop[], 6, 1)</f>
        <v xml:space="preserve">      4. Sredstva kulture</v>
      </c>
      <c r="E38" s="409"/>
      <c r="F38" s="409"/>
      <c r="G38" s="409"/>
      <c r="H38" s="41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1" t="str">
        <f>VLOOKUP( $B39, T_Aop[], 6, 1)</f>
        <v xml:space="preserve">      5. Avansi i biološka sredstva i sredstva kulture u pripremi</v>
      </c>
      <c r="E39" s="412"/>
      <c r="F39" s="412"/>
      <c r="G39" s="412"/>
      <c r="H39" s="413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4" t="str">
        <f>VLOOKUP( $B40, T_Aop[], 6, 1)</f>
        <v xml:space="preserve">    IV - DUGOROČNI FINANSIJSKI PLASMANI (022 do 029)</v>
      </c>
      <c r="E40" s="415"/>
      <c r="F40" s="415"/>
      <c r="G40" s="415"/>
      <c r="H40" s="416"/>
      <c r="I40" s="239">
        <f>VLOOKUP( $B40, T_Aop[], 4, 1)</f>
        <v>21</v>
      </c>
      <c r="J40" s="33">
        <f>SUBTOTAL(9,J41:J48)</f>
        <v>117552</v>
      </c>
      <c r="K40" s="33">
        <f>SUBTOTAL(9,K41:K48)</f>
        <v>0</v>
      </c>
      <c r="L40" s="33">
        <f t="shared" si="0"/>
        <v>117552</v>
      </c>
      <c r="M40" s="38">
        <f>SUBTOTAL(9,M41:M48)</f>
        <v>117552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1" t="str">
        <f>VLOOKUP( $B41, T_Aop[], 6, 1)</f>
        <v xml:space="preserve">      1. Učešće u kapitalu zavisnih pravnih lica</v>
      </c>
      <c r="E41" s="412"/>
      <c r="F41" s="412"/>
      <c r="G41" s="412"/>
      <c r="H41" s="413"/>
      <c r="I41" s="167">
        <f>VLOOKUP( $B41, T_Aop[], 4, 1)</f>
        <v>22</v>
      </c>
      <c r="J41" s="217">
        <v>117552</v>
      </c>
      <c r="K41" s="217"/>
      <c r="L41" s="202">
        <f t="shared" si="0"/>
        <v>117552</v>
      </c>
      <c r="M41" s="324">
        <v>117552</v>
      </c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8" t="str">
        <f>VLOOKUP( $B42, T_Aop[], 6, 1)</f>
        <v xml:space="preserve">      2. Učešće u kapitalu drugih pravnih lica</v>
      </c>
      <c r="E42" s="409"/>
      <c r="F42" s="409"/>
      <c r="G42" s="409"/>
      <c r="H42" s="410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1" t="str">
        <f>VLOOKUP( $B43, T_Aop[], 6, 1)</f>
        <v xml:space="preserve">      3. Dugoročni krediti povezanim pravnim licima</v>
      </c>
      <c r="E43" s="412"/>
      <c r="F43" s="412"/>
      <c r="G43" s="412"/>
      <c r="H43" s="413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8" t="str">
        <f>VLOOKUP( $B44, T_Aop[], 6, 1)</f>
        <v xml:space="preserve">      4. Dugoročni krediti u zemlji</v>
      </c>
      <c r="E44" s="409"/>
      <c r="F44" s="409"/>
      <c r="G44" s="409"/>
      <c r="H44" s="410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1" t="str">
        <f>VLOOKUP( $B45, T_Aop[], 6, 1)</f>
        <v xml:space="preserve">      5. Dugoročni krediti u inostranstvu</v>
      </c>
      <c r="E45" s="412"/>
      <c r="F45" s="412"/>
      <c r="G45" s="412"/>
      <c r="H45" s="413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8" t="str">
        <f>VLOOKUP( $B46, T_Aop[], 6, 1)</f>
        <v xml:space="preserve">      6. Finansijska sredstva raspoloživa za prodaju</v>
      </c>
      <c r="E46" s="409"/>
      <c r="F46" s="409"/>
      <c r="G46" s="409"/>
      <c r="H46" s="41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1" t="str">
        <f>VLOOKUP( $B47, T_Aop[], 6, 1)</f>
        <v xml:space="preserve">      7. Finansijska sredstva koja se drže do roka dospijeća</v>
      </c>
      <c r="E47" s="412"/>
      <c r="F47" s="412"/>
      <c r="G47" s="412"/>
      <c r="H47" s="413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8" t="str">
        <f>VLOOKUP( $B48, T_Aop[], 6, 1)</f>
        <v xml:space="preserve">      8. Ostali dugoročni finansijski plasmani</v>
      </c>
      <c r="E48" s="409"/>
      <c r="F48" s="409"/>
      <c r="G48" s="409"/>
      <c r="H48" s="410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8" t="str">
        <f>VLOOKUP( $B49, T_Aop[], 6, 1)</f>
        <v xml:space="preserve">    V - ODLOŽENA PORESKA SREDSTVA</v>
      </c>
      <c r="E49" s="419"/>
      <c r="F49" s="419"/>
      <c r="G49" s="419"/>
      <c r="H49" s="420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4" t="str">
        <f>VLOOKUP( $B50, T_Aop[], 6, 1)</f>
        <v xml:space="preserve">  B. TEKUĆA SREDSTVA (032 + 039 + 061)</v>
      </c>
      <c r="E50" s="415"/>
      <c r="F50" s="415"/>
      <c r="G50" s="415"/>
      <c r="H50" s="416"/>
      <c r="I50" s="239">
        <f>VLOOKUP( $B50, T_Aop[], 4, 1)</f>
        <v>31</v>
      </c>
      <c r="J50" s="33">
        <f>SUBTOTAL( 9, J51:J80)</f>
        <v>428121</v>
      </c>
      <c r="K50" s="33">
        <f>SUBTOTAL( 9, K51:K80)</f>
        <v>308278</v>
      </c>
      <c r="L50" s="33">
        <f t="shared" si="0"/>
        <v>119843</v>
      </c>
      <c r="M50" s="38">
        <f>SUBTOTAL( 9, M51:M80)</f>
        <v>131552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8" t="str">
        <f>VLOOKUP( $B51, T_Aop[], 6, 1)</f>
        <v xml:space="preserve">    I - ZALIHE, STALNA SREDSTVA I SREDSTVA OBUSTAVLJENOG POSLOVANJA NAMIJENJENA PRODAJI (033 do 038)</v>
      </c>
      <c r="E51" s="419"/>
      <c r="F51" s="419"/>
      <c r="G51" s="419"/>
      <c r="H51" s="420"/>
      <c r="I51" s="237">
        <f>VLOOKUP( $B51, T_Aop[], 4, 1)</f>
        <v>32</v>
      </c>
      <c r="J51" s="35">
        <f>SUBTOTAL(9,J52:J57)</f>
        <v>0</v>
      </c>
      <c r="K51" s="35">
        <f>SUBTOTAL(9,K52:K57)</f>
        <v>0</v>
      </c>
      <c r="L51" s="35">
        <f t="shared" si="0"/>
        <v>0</v>
      </c>
      <c r="M51" s="37">
        <f>SUBTOTAL(9,M52:M57)</f>
        <v>2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8" t="str">
        <f>VLOOKUP( $B52, T_Aop[], 6, 1)</f>
        <v xml:space="preserve">      1. Zalihe materijala</v>
      </c>
      <c r="E52" s="409"/>
      <c r="F52" s="409"/>
      <c r="G52" s="409"/>
      <c r="H52" s="410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1" t="str">
        <f>VLOOKUP( $B53, T_Aop[], 6, 1)</f>
        <v xml:space="preserve">      2. Zalihe nedovršene proizvodnje, poluproizvoda i nedovršenih usluga</v>
      </c>
      <c r="E53" s="412"/>
      <c r="F53" s="412"/>
      <c r="G53" s="412"/>
      <c r="H53" s="413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8" t="str">
        <f>VLOOKUP( $B54, T_Aop[], 6, 1)</f>
        <v xml:space="preserve">      3. Zalihe gotovih proizvoda</v>
      </c>
      <c r="E54" s="409"/>
      <c r="F54" s="409"/>
      <c r="G54" s="409"/>
      <c r="H54" s="410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1" t="str">
        <f>VLOOKUP( $B55, T_Aop[], 6, 1)</f>
        <v xml:space="preserve">      4. Zalihe robe</v>
      </c>
      <c r="E55" s="412"/>
      <c r="F55" s="412"/>
      <c r="G55" s="412"/>
      <c r="H55" s="413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8" t="str">
        <f>VLOOKUP( $B56, T_Aop[], 6, 1)</f>
        <v xml:space="preserve">      5. Stalna sredstva i sredstva obustavljenog poslovanja namijenjena prodaji</v>
      </c>
      <c r="E56" s="409"/>
      <c r="F56" s="409"/>
      <c r="G56" s="409"/>
      <c r="H56" s="410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1" t="str">
        <f>VLOOKUP( $B57, T_Aop[], 6, 1)</f>
        <v xml:space="preserve">      6. Dati avansi</v>
      </c>
      <c r="E57" s="412"/>
      <c r="F57" s="412"/>
      <c r="G57" s="412"/>
      <c r="H57" s="413"/>
      <c r="I57" s="167">
        <f>VLOOKUP( $B57, T_Aop[], 4, 1)</f>
        <v>38</v>
      </c>
      <c r="J57" s="217"/>
      <c r="K57" s="217"/>
      <c r="L57" s="202">
        <f t="shared" si="0"/>
        <v>0</v>
      </c>
      <c r="M57" s="324">
        <v>2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4" t="str">
        <f>VLOOKUP( $B58, T_Aop[], 6, 1)</f>
        <v xml:space="preserve">    II - KRATKOROČNA POTRAŽIVANJA, KRATKOROČNI PLASMANI I GOTOVINA (040 + 047 + 056 + 059 + 060)</v>
      </c>
      <c r="E58" s="415"/>
      <c r="F58" s="415"/>
      <c r="G58" s="415"/>
      <c r="H58" s="416"/>
      <c r="I58" s="239">
        <f>VLOOKUP( $B58, T_Aop[], 4, 1)</f>
        <v>39</v>
      </c>
      <c r="J58" s="33">
        <f>SUBTOTAL(9,J59:J79)</f>
        <v>428121</v>
      </c>
      <c r="K58" s="33">
        <f>SUBTOTAL(9,K59:K79)</f>
        <v>308278</v>
      </c>
      <c r="L58" s="33">
        <f t="shared" si="0"/>
        <v>119843</v>
      </c>
      <c r="M58" s="38">
        <f>SUBTOTAL(9,M59:M79)</f>
        <v>131550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1" t="str">
        <f>VLOOKUP( $B59, T_Aop[], 6, 1)</f>
        <v xml:space="preserve">      1. Kratkoročna potraživanja (041 do 046)</v>
      </c>
      <c r="E59" s="412"/>
      <c r="F59" s="412"/>
      <c r="G59" s="412"/>
      <c r="H59" s="413"/>
      <c r="I59" s="167">
        <f>VLOOKUP( $B59, T_Aop[], 4, 1)</f>
        <v>40</v>
      </c>
      <c r="J59" s="202">
        <f>SUBTOTAL(9,J60:J65)</f>
        <v>328142</v>
      </c>
      <c r="K59" s="202">
        <f>SUBTOTAL(9,K60:K65)</f>
        <v>308278</v>
      </c>
      <c r="L59" s="202">
        <f t="shared" si="0"/>
        <v>19864</v>
      </c>
      <c r="M59" s="208">
        <f>SUBTOTAL(9,M60:M65)</f>
        <v>16792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8" t="str">
        <f>VLOOKUP( $B60, T_Aop[], 6, 1)</f>
        <v xml:space="preserve">        a) Kupci - povezana pravna lica</v>
      </c>
      <c r="E60" s="409"/>
      <c r="F60" s="409"/>
      <c r="G60" s="409"/>
      <c r="H60" s="410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1" t="str">
        <f>VLOOKUP( $B61, T_Aop[], 6, 1)</f>
        <v xml:space="preserve">        b) Kupci u zemlji</v>
      </c>
      <c r="E61" s="412"/>
      <c r="F61" s="412"/>
      <c r="G61" s="412"/>
      <c r="H61" s="413"/>
      <c r="I61" s="167">
        <f>VLOOKUP( $B61, T_Aop[], 4, 1)</f>
        <v>42</v>
      </c>
      <c r="J61" s="217">
        <v>120509</v>
      </c>
      <c r="K61" s="217">
        <v>105173</v>
      </c>
      <c r="L61" s="202">
        <f t="shared" si="0"/>
        <v>15336</v>
      </c>
      <c r="M61" s="324">
        <v>12009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8" t="str">
        <f>VLOOKUP( $B62, T_Aop[], 6, 1)</f>
        <v xml:space="preserve">        v) Kupci iz inostranstva</v>
      </c>
      <c r="E62" s="409"/>
      <c r="F62" s="409"/>
      <c r="G62" s="409"/>
      <c r="H62" s="410"/>
      <c r="I62" s="169">
        <f>VLOOKUP( $B62, T_Aop[], 4, 1)</f>
        <v>43</v>
      </c>
      <c r="J62" s="215">
        <v>31608</v>
      </c>
      <c r="K62" s="215">
        <v>27080</v>
      </c>
      <c r="L62" s="203">
        <f t="shared" si="0"/>
        <v>4528</v>
      </c>
      <c r="M62" s="323">
        <v>4641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1" t="str">
        <f>VLOOKUP( $B63, T_Aop[], 6, 1)</f>
        <v xml:space="preserve">        g) Sumnjiva i sporna potraživanja</v>
      </c>
      <c r="E63" s="412"/>
      <c r="F63" s="412"/>
      <c r="G63" s="412"/>
      <c r="H63" s="413"/>
      <c r="I63" s="167">
        <f>VLOOKUP( $B63, T_Aop[], 4, 1)</f>
        <v>44</v>
      </c>
      <c r="J63" s="217">
        <v>176025</v>
      </c>
      <c r="K63" s="217">
        <v>176025</v>
      </c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8" t="str">
        <f>VLOOKUP( $B64, T_Aop[], 6, 1)</f>
        <v xml:space="preserve">        d) Potraživanja iz specifičnih poslova</v>
      </c>
      <c r="E64" s="409"/>
      <c r="F64" s="409"/>
      <c r="G64" s="409"/>
      <c r="H64" s="410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1" t="str">
        <f>VLOOKUP( $B65, T_Aop[], 6, 1)</f>
        <v xml:space="preserve">        đ) Druga kratkoročna potraživanja</v>
      </c>
      <c r="E65" s="412"/>
      <c r="F65" s="412"/>
      <c r="G65" s="412"/>
      <c r="H65" s="413"/>
      <c r="I65" s="167">
        <f>VLOOKUP( $B65, T_Aop[], 4, 1)</f>
        <v>46</v>
      </c>
      <c r="J65" s="217"/>
      <c r="K65" s="217"/>
      <c r="L65" s="202">
        <f t="shared" si="0"/>
        <v>0</v>
      </c>
      <c r="M65" s="324">
        <v>142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8" t="str">
        <f>VLOOKUP( $B66, T_Aop[], 6, 1)</f>
        <v xml:space="preserve">      2. Kratkoročni finansijski plasmani (048 do 055)</v>
      </c>
      <c r="E66" s="409"/>
      <c r="F66" s="409"/>
      <c r="G66" s="409"/>
      <c r="H66" s="410"/>
      <c r="I66" s="169">
        <f>VLOOKUP( $B66, T_Aop[], 4, 1)</f>
        <v>47</v>
      </c>
      <c r="J66" s="203">
        <f>SUBTOTAL(9,J67:J74)</f>
        <v>47924</v>
      </c>
      <c r="K66" s="203">
        <f>SUBTOTAL(9,K67:K74)</f>
        <v>0</v>
      </c>
      <c r="L66" s="203">
        <f t="shared" si="0"/>
        <v>47924</v>
      </c>
      <c r="M66" s="209">
        <f>SUBTOTAL(9,M67:M74)</f>
        <v>61200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1" t="str">
        <f>VLOOKUP( $B67, T_Aop[], 6, 1)</f>
        <v xml:space="preserve">        a) Kratkoročni krediti povezanim pravnim licima</v>
      </c>
      <c r="E67" s="412"/>
      <c r="F67" s="412"/>
      <c r="G67" s="412"/>
      <c r="H67" s="413"/>
      <c r="I67" s="167">
        <f>VLOOKUP( $B67, T_Aop[], 4, 1)</f>
        <v>48</v>
      </c>
      <c r="J67" s="217">
        <v>47924</v>
      </c>
      <c r="K67" s="217"/>
      <c r="L67" s="202">
        <f t="shared" si="0"/>
        <v>47924</v>
      </c>
      <c r="M67" s="324">
        <v>61200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8" t="str">
        <f>VLOOKUP( $B68, T_Aop[], 6, 1)</f>
        <v xml:space="preserve">        b) Kratkoročni krediti u zemlji</v>
      </c>
      <c r="E68" s="409"/>
      <c r="F68" s="409"/>
      <c r="G68" s="409"/>
      <c r="H68" s="410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1" t="str">
        <f>VLOOKUP( $B69, T_Aop[], 6, 1)</f>
        <v xml:space="preserve">        v) Kratkoročni krediti u inostranstvu</v>
      </c>
      <c r="E69" s="412"/>
      <c r="F69" s="412"/>
      <c r="G69" s="412"/>
      <c r="H69" s="413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8" t="str">
        <f>VLOOKUP( $B70, T_Aop[], 6, 1)</f>
        <v xml:space="preserve">        g) Dio dugoročnih finansijskih plasmana koji dospijeva za naplatu u periodu do godinu dana</v>
      </c>
      <c r="E70" s="409"/>
      <c r="F70" s="409"/>
      <c r="G70" s="409"/>
      <c r="H70" s="410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1" t="str">
        <f>VLOOKUP( $B71, T_Aop[], 6, 1)</f>
        <v xml:space="preserve">        d) Finansijska sredstva po fer vrijednosti kroz bilans uspjeha namijenjena trgovanju</v>
      </c>
      <c r="E71" s="412"/>
      <c r="F71" s="412"/>
      <c r="G71" s="412"/>
      <c r="H71" s="413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8" t="str">
        <f>VLOOKUP( $B72, T_Aop[], 6, 1)</f>
        <v xml:space="preserve">        đ) Finansijska sredstva označena po fer vrijednosti kroz bilans uspjeha</v>
      </c>
      <c r="E72" s="409"/>
      <c r="F72" s="409"/>
      <c r="G72" s="409"/>
      <c r="H72" s="410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1" t="str">
        <f>VLOOKUP( $B73, T_Aop[], 6, 1)</f>
        <v xml:space="preserve">        e) Otkupljene sopstvene akcije i otkupljeni sopstveni udjeli namijenjeni prodaji ili poništavanju</v>
      </c>
      <c r="E73" s="412"/>
      <c r="F73" s="412"/>
      <c r="G73" s="412"/>
      <c r="H73" s="413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8" t="str">
        <f>VLOOKUP( $B74, T_Aop[], 6, 1)</f>
        <v xml:space="preserve">        ž) Ostali kratkoročni plasmani</v>
      </c>
      <c r="E74" s="409"/>
      <c r="F74" s="409"/>
      <c r="G74" s="409"/>
      <c r="H74" s="410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1" t="str">
        <f>VLOOKUP( $B75, T_Aop[], 6, 1)</f>
        <v xml:space="preserve">      3. Gotovinski ekvivalenti i gotovina (057 + 058)</v>
      </c>
      <c r="E75" s="412"/>
      <c r="F75" s="412"/>
      <c r="G75" s="412"/>
      <c r="H75" s="413"/>
      <c r="I75" s="167">
        <f>VLOOKUP( $B75, T_Aop[], 4, 1)</f>
        <v>56</v>
      </c>
      <c r="J75" s="202">
        <f>SUBTOTAL(9,J76:J77)</f>
        <v>52055</v>
      </c>
      <c r="K75" s="202">
        <f>SUBTOTAL(9,K76:K77)</f>
        <v>0</v>
      </c>
      <c r="L75" s="202">
        <f t="shared" si="0"/>
        <v>52055</v>
      </c>
      <c r="M75" s="208">
        <f>SUBTOTAL(9,M76:M77)</f>
        <v>53558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8" t="str">
        <f>VLOOKUP( $B76, T_Aop[], 6, 1)</f>
        <v xml:space="preserve">        a) Gotovinski ekvivalenti - hartije od vrijednosti</v>
      </c>
      <c r="E76" s="409"/>
      <c r="F76" s="409"/>
      <c r="G76" s="409"/>
      <c r="H76" s="410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1" t="str">
        <f>VLOOKUP( $B77, T_Aop[], 6, 1)</f>
        <v xml:space="preserve">        b) Gotovina</v>
      </c>
      <c r="E77" s="412"/>
      <c r="F77" s="412"/>
      <c r="G77" s="412"/>
      <c r="H77" s="413"/>
      <c r="I77" s="167">
        <f>VLOOKUP( $B77, T_Aop[], 4, 1)</f>
        <v>58</v>
      </c>
      <c r="J77" s="217">
        <v>52055</v>
      </c>
      <c r="K77" s="217"/>
      <c r="L77" s="202">
        <f t="shared" si="0"/>
        <v>52055</v>
      </c>
      <c r="M77" s="324">
        <v>53558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8" t="str">
        <f>VLOOKUP( $B78, T_Aop[], 6, 1)</f>
        <v xml:space="preserve">      4. Porez na dodatu vrijednost</v>
      </c>
      <c r="E78" s="409"/>
      <c r="F78" s="409"/>
      <c r="G78" s="409"/>
      <c r="H78" s="410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1" t="str">
        <f>VLOOKUP( $B79, T_Aop[], 6, 1)</f>
        <v xml:space="preserve">      5. Aktivna vremenska razgraničenja</v>
      </c>
      <c r="E79" s="412"/>
      <c r="F79" s="412"/>
      <c r="G79" s="412"/>
      <c r="H79" s="413"/>
      <c r="I79" s="167">
        <f>VLOOKUP( $B79, T_Aop[], 4, 1)</f>
        <v>60</v>
      </c>
      <c r="J79" s="217"/>
      <c r="K79" s="217"/>
      <c r="L79" s="202">
        <f t="shared" si="0"/>
        <v>0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14" t="str">
        <f>VLOOKUP( $B80, T_Aop[], 6, 1)</f>
        <v xml:space="preserve">    III - ODLOŽENA PORESKA SREDSTVA</v>
      </c>
      <c r="E80" s="415"/>
      <c r="F80" s="415"/>
      <c r="G80" s="415"/>
      <c r="H80" s="416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8" t="str">
        <f>VLOOKUP( $B81, T_Aop[], 6, 1)</f>
        <v xml:space="preserve">  V. POSLOVNA SREDSTVA (001 + 031)</v>
      </c>
      <c r="E81" s="419"/>
      <c r="F81" s="419"/>
      <c r="G81" s="419"/>
      <c r="H81" s="420"/>
      <c r="I81" s="237">
        <f>VLOOKUP( $B81, T_Aop[], 4, 1)</f>
        <v>62</v>
      </c>
      <c r="J81" s="35">
        <f>SUBTOTAL( 9, J20:J80)</f>
        <v>5020146</v>
      </c>
      <c r="K81" s="35">
        <f>SUBTOTAL( 9, K20:K80)</f>
        <v>2082768</v>
      </c>
      <c r="L81" s="35">
        <f t="shared" si="0"/>
        <v>2937378</v>
      </c>
      <c r="M81" s="37">
        <f>SUBTOTAL( 9, M20:M80)</f>
        <v>2935048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4" t="str">
        <f>VLOOKUP( $B82, T_Aop[], 6, 1)</f>
        <v xml:space="preserve">  G. GUBITAK IZNAD VISINE KAPITALA</v>
      </c>
      <c r="E82" s="415"/>
      <c r="F82" s="415"/>
      <c r="G82" s="415"/>
      <c r="H82" s="416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8" t="str">
        <f>VLOOKUP( $B83, T_Aop[], 6, 1)</f>
        <v xml:space="preserve">  D. POSLOVNA AKTIVA (062 + 063)</v>
      </c>
      <c r="E83" s="419"/>
      <c r="F83" s="419"/>
      <c r="G83" s="419"/>
      <c r="H83" s="420"/>
      <c r="I83" s="237">
        <f>VLOOKUP( $B83, T_Aop[], 4, 1)</f>
        <v>64</v>
      </c>
      <c r="J83" s="35">
        <f>SUBTOTAL( 9, J20:J82)</f>
        <v>5020146</v>
      </c>
      <c r="K83" s="35">
        <f>SUBTOTAL( 9, K20:K82)</f>
        <v>2082768</v>
      </c>
      <c r="L83" s="35">
        <f t="shared" si="0"/>
        <v>2937378</v>
      </c>
      <c r="M83" s="37">
        <f>SUBTOTAL( 9, M20:M82)</f>
        <v>2935048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4" t="str">
        <f>VLOOKUP( $B84, T_Aop[], 6, 1)</f>
        <v xml:space="preserve">  Đ. VANBILANSNA AKTIVA</v>
      </c>
      <c r="E84" s="415"/>
      <c r="F84" s="415"/>
      <c r="G84" s="415"/>
      <c r="H84" s="416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1" t="str">
        <f>VLOOKUP( $B85, T_Aop[], 6, 1)</f>
        <v xml:space="preserve">  E. UKUPNA AKTIVA (064 + 065)</v>
      </c>
      <c r="E85" s="422"/>
      <c r="F85" s="422"/>
      <c r="G85" s="422"/>
      <c r="H85" s="423"/>
      <c r="I85" s="243">
        <f>VLOOKUP( $B85, T_Aop[], 4, 1)</f>
        <v>66</v>
      </c>
      <c r="J85" s="39">
        <f>SUBTOTAL( 9, J20:J84)</f>
        <v>5020146</v>
      </c>
      <c r="K85" s="39">
        <f>SUBTOTAL( 9, K20:K84)</f>
        <v>2082768</v>
      </c>
      <c r="L85" s="39">
        <f>SUM(J85,-K85)</f>
        <v>2937378</v>
      </c>
      <c r="M85" s="40">
        <f>SUBTOTAL( 9, M20:M84)</f>
        <v>2935048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3" t="str">
        <f>Tabele_zaglavlje_Grupa_racuna</f>
        <v>Grupa računa, račun</v>
      </c>
      <c r="D87" s="431" t="str">
        <f>Tabele_zaglavlje_Pozicija</f>
        <v>POZICIJA</v>
      </c>
      <c r="E87" s="432"/>
      <c r="F87" s="432"/>
      <c r="G87" s="432"/>
      <c r="H87" s="433"/>
      <c r="I87" s="405" t="str">
        <f>Tabele_zaglavlje_Oznaka_aop</f>
        <v>Oznaka za AOP</v>
      </c>
      <c r="J87" s="437"/>
      <c r="K87" s="438"/>
      <c r="L87" s="407" t="str">
        <f>Tabele_zaglavlje_BS_iznos_tekuca</f>
        <v>Iznos na dan bilansa tekuće godine</v>
      </c>
      <c r="M87" s="429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4"/>
      <c r="D88" s="434"/>
      <c r="E88" s="435"/>
      <c r="F88" s="435"/>
      <c r="G88" s="435"/>
      <c r="H88" s="436"/>
      <c r="I88" s="406"/>
      <c r="J88" s="439"/>
      <c r="K88" s="440"/>
      <c r="L88" s="406"/>
      <c r="M88" s="430"/>
      <c r="O88" s="60"/>
    </row>
    <row r="89" spans="2:15" x14ac:dyDescent="0.2">
      <c r="B89" s="17"/>
      <c r="C89" s="48">
        <v>1</v>
      </c>
      <c r="D89" s="401">
        <v>2</v>
      </c>
      <c r="E89" s="417"/>
      <c r="F89" s="417"/>
      <c r="G89" s="417"/>
      <c r="H89" s="402"/>
      <c r="I89" s="307">
        <v>3</v>
      </c>
      <c r="J89" s="401"/>
      <c r="K89" s="402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4" t="str">
        <f>VLOOKUP( $B90, T_Aop[], 6, 1)</f>
        <v>PASIVA</v>
      </c>
      <c r="E90" s="424"/>
      <c r="F90" s="424"/>
      <c r="G90" s="424"/>
      <c r="H90" s="425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6" t="str">
        <f>VLOOKUP( $B91, T_Aop[], 6, 1)</f>
        <v xml:space="preserve">  A. KAPITAL (102 - 109 + 110 - 111 + 112 + 116 + 117 - 118 + 119 - 123)</v>
      </c>
      <c r="E91" s="427"/>
      <c r="F91" s="427"/>
      <c r="G91" s="427"/>
      <c r="H91" s="428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2246552</v>
      </c>
      <c r="M91" s="320">
        <f>SUBTOTAL( 9, M92:M98, M100, M102:M107, M109:M112) - SUBTOTAL( 9, M99, M101, M108, M113:M115)</f>
        <v>2156790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8" t="str">
        <f>VLOOKUP( $B92, T_Aop[], 6, 1)</f>
        <v xml:space="preserve">    I - OSNOVNI KAPITAL (103 do 108)</v>
      </c>
      <c r="E92" s="419"/>
      <c r="F92" s="419"/>
      <c r="G92" s="419"/>
      <c r="H92" s="420"/>
      <c r="I92" s="237">
        <f>VLOOKUP( $B92, T_Aop[], 4, 1)</f>
        <v>102</v>
      </c>
      <c r="J92" s="43"/>
      <c r="K92" s="44"/>
      <c r="L92" s="70">
        <f>SUBTOTAL( 9, L93:L98)</f>
        <v>1945000</v>
      </c>
      <c r="M92" s="71">
        <f>SUBTOTAL( 9, M93:M98)</f>
        <v>1945000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8" t="str">
        <f>VLOOKUP( $B93, T_Aop[], 6, 1)</f>
        <v xml:space="preserve">      1. Akcijski kapital</v>
      </c>
      <c r="E93" s="409"/>
      <c r="F93" s="409"/>
      <c r="G93" s="409"/>
      <c r="H93" s="410"/>
      <c r="I93" s="169">
        <f>VLOOKUP( $B93, T_Aop[], 4, 1)</f>
        <v>103</v>
      </c>
      <c r="J93" s="255"/>
      <c r="K93" s="256"/>
      <c r="L93" s="332">
        <v>1945000</v>
      </c>
      <c r="M93" s="333">
        <v>1945000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1" t="str">
        <f>VLOOKUP( $B94, T_Aop[], 6, 1)</f>
        <v xml:space="preserve">      2. Udjeli društva sa ograničenom odgovornošću</v>
      </c>
      <c r="E94" s="412"/>
      <c r="F94" s="412"/>
      <c r="G94" s="412"/>
      <c r="H94" s="413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8" t="str">
        <f>VLOOKUP( $B95, T_Aop[], 6, 1)</f>
        <v xml:space="preserve">      3. Zadružni udjeli</v>
      </c>
      <c r="E95" s="409"/>
      <c r="F95" s="409"/>
      <c r="G95" s="409"/>
      <c r="H95" s="410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1" t="str">
        <f>VLOOKUP( $B96, T_Aop[], 6, 1)</f>
        <v xml:space="preserve">      4. Ulozi</v>
      </c>
      <c r="E96" s="412"/>
      <c r="F96" s="412"/>
      <c r="G96" s="412"/>
      <c r="H96" s="413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8" t="str">
        <f>VLOOKUP( $B97, T_Aop[], 6, 1)</f>
        <v xml:space="preserve">      5. Državni kapital</v>
      </c>
      <c r="E97" s="409"/>
      <c r="F97" s="409"/>
      <c r="G97" s="409"/>
      <c r="H97" s="410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1" t="str">
        <f>VLOOKUP( $B98, T_Aop[], 6, 1)</f>
        <v xml:space="preserve">      6. Ostali osnovni kapital</v>
      </c>
      <c r="E98" s="412"/>
      <c r="F98" s="412"/>
      <c r="G98" s="412"/>
      <c r="H98" s="413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4" t="str">
        <f>VLOOKUP( $B99, T_Aop[], 6, 1)</f>
        <v xml:space="preserve">    II - UPISANI NEUPLAĆENI KAPITAL</v>
      </c>
      <c r="E99" s="415"/>
      <c r="F99" s="415"/>
      <c r="G99" s="415"/>
      <c r="H99" s="416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8" t="str">
        <f>VLOOKUP( $B100, T_Aop[], 6, 1)</f>
        <v xml:space="preserve">    III - EMISIONA PREMIJA </v>
      </c>
      <c r="E100" s="419"/>
      <c r="F100" s="419"/>
      <c r="G100" s="419"/>
      <c r="H100" s="420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4" t="str">
        <f>VLOOKUP( $B101, T_Aop[], 6, 1)</f>
        <v xml:space="preserve">    IV - EMISIONI GUBITAK</v>
      </c>
      <c r="E101" s="415"/>
      <c r="F101" s="415"/>
      <c r="G101" s="415"/>
      <c r="H101" s="416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8" t="str">
        <f>VLOOKUP( $B102, T_Aop[], 6, 1)</f>
        <v xml:space="preserve">    V - REZERVE (113 do 115)</v>
      </c>
      <c r="E102" s="419"/>
      <c r="F102" s="419"/>
      <c r="G102" s="419"/>
      <c r="H102" s="420"/>
      <c r="I102" s="237">
        <f>VLOOKUP( $B102, T_Aop[], 4, 1)</f>
        <v>112</v>
      </c>
      <c r="J102" s="43"/>
      <c r="K102" s="44"/>
      <c r="L102" s="70">
        <f>SUBTOTAL( 9, L103:L105)</f>
        <v>194249</v>
      </c>
      <c r="M102" s="71">
        <f>SUBTOTAL( 9, M103:M105)</f>
        <v>194249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8" t="str">
        <f>VLOOKUP( $B103, T_Aop[], 6, 1)</f>
        <v xml:space="preserve">      1. Zakonske rezerve</v>
      </c>
      <c r="E103" s="409"/>
      <c r="F103" s="409"/>
      <c r="G103" s="409"/>
      <c r="H103" s="410"/>
      <c r="I103" s="169">
        <f>VLOOKUP( $B103, T_Aop[], 4, 1)</f>
        <v>113</v>
      </c>
      <c r="J103" s="255"/>
      <c r="K103" s="256"/>
      <c r="L103" s="332">
        <v>194249</v>
      </c>
      <c r="M103" s="333">
        <v>194249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1" t="str">
        <f>VLOOKUP( $B104, T_Aop[], 6, 1)</f>
        <v xml:space="preserve">      2. Statutarne rezerve</v>
      </c>
      <c r="E104" s="412"/>
      <c r="F104" s="412"/>
      <c r="G104" s="412"/>
      <c r="H104" s="413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8" t="str">
        <f>VLOOKUP( $B105, T_Aop[], 6, 1)</f>
        <v xml:space="preserve">      3. Ostale rezerve</v>
      </c>
      <c r="E105" s="409"/>
      <c r="F105" s="409"/>
      <c r="G105" s="409"/>
      <c r="H105" s="410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8" t="str">
        <f>VLOOKUP( $B106, T_Aop[], 6, 1)</f>
        <v xml:space="preserve">    VI - REVALORIZACIONE REZERVE</v>
      </c>
      <c r="E106" s="419"/>
      <c r="F106" s="419"/>
      <c r="G106" s="419"/>
      <c r="H106" s="420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4" t="str">
        <f>VLOOKUP( $B107, T_Aop[], 6, 1)</f>
        <v xml:space="preserve">    VII - NEREALIZOVANI DOBICI PO OSNOVU FINANSIJSKIH SREDSTAVA RASPOLOŽIVIH ZA PRODAJU</v>
      </c>
      <c r="E107" s="415"/>
      <c r="F107" s="415"/>
      <c r="G107" s="415"/>
      <c r="H107" s="416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8" t="str">
        <f>VLOOKUP( $B108, T_Aop[], 6, 1)</f>
        <v xml:space="preserve">    VIII - NEREALIZOVANI GUBICI PO OSNOVU FINANSIJSKIH SREDSTAVA RASPOLOŽIVIH ZA PRODAJU </v>
      </c>
      <c r="E108" s="419"/>
      <c r="F108" s="419"/>
      <c r="G108" s="419"/>
      <c r="H108" s="420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4" t="str">
        <f>VLOOKUP( $B109, T_Aop[], 6, 1)</f>
        <v xml:space="preserve">    IX - NERASPOREĐENI DOBITAK (120 do 122)</v>
      </c>
      <c r="E109" s="415"/>
      <c r="F109" s="415"/>
      <c r="G109" s="415"/>
      <c r="H109" s="416"/>
      <c r="I109" s="239">
        <f>VLOOKUP( $B109, T_Aop[], 4, 1)</f>
        <v>119</v>
      </c>
      <c r="J109" s="45"/>
      <c r="K109" s="46"/>
      <c r="L109" s="72">
        <f>SUBTOTAL( 9, L110:L112)</f>
        <v>107303</v>
      </c>
      <c r="M109" s="73">
        <f>SUBTOTAL( 9, M110:M112)</f>
        <v>161826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1" t="str">
        <f>VLOOKUP( $B110, T_Aop[], 6, 1)</f>
        <v xml:space="preserve">      1. Neraspoređeni dobitak ranijih godina / Neraspoređeni višak prihoda nad rashodima ranijih godina</v>
      </c>
      <c r="E110" s="412"/>
      <c r="F110" s="412"/>
      <c r="G110" s="412"/>
      <c r="H110" s="413"/>
      <c r="I110" s="167">
        <f>VLOOKUP( $B110, T_Aop[], 4, 1)</f>
        <v>120</v>
      </c>
      <c r="J110" s="253"/>
      <c r="K110" s="254"/>
      <c r="L110" s="334">
        <v>17541</v>
      </c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8" t="str">
        <f>VLOOKUP( $B111, T_Aop[], 6, 1)</f>
        <v xml:space="preserve">      2. Neraspoređeni dobitak tekuće godine / Neraspoređeni višak prihoda nad rashodima tekuće godine</v>
      </c>
      <c r="E111" s="409"/>
      <c r="F111" s="409"/>
      <c r="G111" s="409"/>
      <c r="H111" s="410"/>
      <c r="I111" s="169">
        <f>VLOOKUP( $B111, T_Aop[], 4, 1)</f>
        <v>121</v>
      </c>
      <c r="J111" s="255"/>
      <c r="K111" s="256"/>
      <c r="L111" s="332">
        <v>89762</v>
      </c>
      <c r="M111" s="333">
        <v>161826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1" t="str">
        <f>VLOOKUP( $B112, T_Aop[], 6, 1)</f>
        <v xml:space="preserve">      3. Neto prihod od samostalne djelatnosti</v>
      </c>
      <c r="E112" s="412"/>
      <c r="F112" s="412"/>
      <c r="G112" s="412"/>
      <c r="H112" s="413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4" t="str">
        <f>VLOOKUP( $B113, T_Aop[], 6, 1)</f>
        <v xml:space="preserve">    X - GUBITAK DO VISINE KAPITALA (124 + 125)</v>
      </c>
      <c r="E113" s="415"/>
      <c r="F113" s="415"/>
      <c r="G113" s="415"/>
      <c r="H113" s="416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144285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1" t="str">
        <f>VLOOKUP( $B114, T_Aop[], 6, 1)</f>
        <v xml:space="preserve">      1. Gubitak ranijih godina</v>
      </c>
      <c r="E114" s="412"/>
      <c r="F114" s="412"/>
      <c r="G114" s="412"/>
      <c r="H114" s="413"/>
      <c r="I114" s="167">
        <f>VLOOKUP( $B114, T_Aop[], 4, 1)</f>
        <v>124</v>
      </c>
      <c r="J114" s="253"/>
      <c r="K114" s="254"/>
      <c r="L114" s="334"/>
      <c r="M114" s="335">
        <v>144285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8" t="str">
        <f>VLOOKUP( $B115, T_Aop[], 6, 1)</f>
        <v xml:space="preserve">      2. Gubitak tekuće godine</v>
      </c>
      <c r="E115" s="409"/>
      <c r="F115" s="409"/>
      <c r="G115" s="409"/>
      <c r="H115" s="410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8" t="str">
        <f>VLOOKUP( $B116, T_Aop[], 6, 1)</f>
        <v xml:space="preserve">  B. REZERVISANJA, ODLOŽENE PORESKE OBAVEZE I RAZGRANIČENI PRIHODI (127 do 134)</v>
      </c>
      <c r="E116" s="419"/>
      <c r="F116" s="419"/>
      <c r="G116" s="419"/>
      <c r="H116" s="420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8" t="str">
        <f>VLOOKUP( $B117, T_Aop[], 6, 1)</f>
        <v xml:space="preserve">    1. Rezervisanja za troškove u garantnom roku</v>
      </c>
      <c r="E117" s="409"/>
      <c r="F117" s="409"/>
      <c r="G117" s="409"/>
      <c r="H117" s="410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1" t="str">
        <f>VLOOKUP( $B118, T_Aop[], 6, 1)</f>
        <v xml:space="preserve">    2. Rezervisanja za troškove obnavljanja prirodnih bogatstava</v>
      </c>
      <c r="E118" s="412"/>
      <c r="F118" s="412"/>
      <c r="G118" s="412"/>
      <c r="H118" s="413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8" t="str">
        <f>VLOOKUP( $B119, T_Aop[], 6, 1)</f>
        <v xml:space="preserve">    3. Rezervisanja za zadržane kaucije i depozite</v>
      </c>
      <c r="E119" s="409"/>
      <c r="F119" s="409"/>
      <c r="G119" s="409"/>
      <c r="H119" s="410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1" t="str">
        <f>VLOOKUP( $B120, T_Aop[], 6, 1)</f>
        <v xml:space="preserve">    4. Rezervisanja za troškove restrukturisanja</v>
      </c>
      <c r="E120" s="412"/>
      <c r="F120" s="412"/>
      <c r="G120" s="412"/>
      <c r="H120" s="413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8" t="str">
        <f>VLOOKUP( $B121, T_Aop[], 6, 1)</f>
        <v xml:space="preserve">    5. Rezervisanja za naknade i beneficije zaposlenih</v>
      </c>
      <c r="E121" s="409"/>
      <c r="F121" s="409"/>
      <c r="G121" s="409"/>
      <c r="H121" s="410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1" t="str">
        <f>VLOOKUP( $B122, T_Aop[], 6, 1)</f>
        <v xml:space="preserve">    6. Odložene poreske obaveze</v>
      </c>
      <c r="E122" s="412"/>
      <c r="F122" s="412"/>
      <c r="G122" s="412"/>
      <c r="H122" s="413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8" t="str">
        <f>VLOOKUP( $B123, T_Aop[], 6, 1)</f>
        <v xml:space="preserve">    7. Razgraničeni prihodi i primljene donacije</v>
      </c>
      <c r="E123" s="409"/>
      <c r="F123" s="409"/>
      <c r="G123" s="409"/>
      <c r="H123" s="410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1" t="str">
        <f>VLOOKUP( $B124, T_Aop[], 6, 1)</f>
        <v xml:space="preserve">    8. Ostala dugoročna rezervisanja</v>
      </c>
      <c r="E124" s="412"/>
      <c r="F124" s="412"/>
      <c r="G124" s="412"/>
      <c r="H124" s="413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4" t="str">
        <f>VLOOKUP( $B125, T_Aop[], 6, 1)</f>
        <v xml:space="preserve">  V. OBAVEZE (136 + 144)</v>
      </c>
      <c r="E125" s="415"/>
      <c r="F125" s="415"/>
      <c r="G125" s="415"/>
      <c r="H125" s="416"/>
      <c r="I125" s="239">
        <f>VLOOKUP( $B125, T_Aop[], 4, 1)</f>
        <v>135</v>
      </c>
      <c r="J125" s="45"/>
      <c r="K125" s="46"/>
      <c r="L125" s="72">
        <f>SUBTOTAL( 9, L126:L153)</f>
        <v>690826</v>
      </c>
      <c r="M125" s="73">
        <f>SUBTOTAL( 9, M126:M153)</f>
        <v>778258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8" t="str">
        <f>VLOOKUP( $B126, T_Aop[], 6, 1)</f>
        <v xml:space="preserve">    I - DUGOROČNE OBAVEZE (137 do 143)</v>
      </c>
      <c r="E126" s="419"/>
      <c r="F126" s="419"/>
      <c r="G126" s="419"/>
      <c r="H126" s="420"/>
      <c r="I126" s="237">
        <f>VLOOKUP( $B126, T_Aop[], 4, 1)</f>
        <v>136</v>
      </c>
      <c r="J126" s="43"/>
      <c r="K126" s="44"/>
      <c r="L126" s="70">
        <f>SUBTOTAL( 9, L127:L133)</f>
        <v>295594</v>
      </c>
      <c r="M126" s="71">
        <f>SUBTOTAL( 9, M127:M133)</f>
        <v>171408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8" t="str">
        <f>VLOOKUP( $B127, T_Aop[], 6, 1)</f>
        <v xml:space="preserve">      1. Obaveze koje se mogu konvertovati u kapital</v>
      </c>
      <c r="E127" s="409"/>
      <c r="F127" s="409"/>
      <c r="G127" s="409"/>
      <c r="H127" s="410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1" t="str">
        <f>VLOOKUP( $B128, T_Aop[], 6, 1)</f>
        <v xml:space="preserve">      2. Obaveze prema povezanim pravnim licima</v>
      </c>
      <c r="E128" s="412"/>
      <c r="F128" s="412"/>
      <c r="G128" s="412"/>
      <c r="H128" s="413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8" t="str">
        <f>VLOOKUP( $B129, T_Aop[], 6, 1)</f>
        <v xml:space="preserve">      3. Obaveze po emitovanim dugoročnim hartijama od vrijednosti</v>
      </c>
      <c r="E129" s="409"/>
      <c r="F129" s="409"/>
      <c r="G129" s="409"/>
      <c r="H129" s="410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1" t="str">
        <f>VLOOKUP( $B130, T_Aop[], 6, 1)</f>
        <v xml:space="preserve">      4. Dugoročni krediti</v>
      </c>
      <c r="E130" s="412"/>
      <c r="F130" s="412"/>
      <c r="G130" s="412"/>
      <c r="H130" s="413"/>
      <c r="I130" s="167">
        <f>VLOOKUP( $B130, T_Aop[], 4, 1)</f>
        <v>140</v>
      </c>
      <c r="J130" s="253"/>
      <c r="K130" s="254"/>
      <c r="L130" s="334">
        <v>295594</v>
      </c>
      <c r="M130" s="335">
        <v>171408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8" t="str">
        <f>VLOOKUP( $B131, T_Aop[], 6, 1)</f>
        <v xml:space="preserve">      5. Dugoročne obaveze po finansijskom lizingu</v>
      </c>
      <c r="E131" s="409"/>
      <c r="F131" s="409"/>
      <c r="G131" s="409"/>
      <c r="H131" s="410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1" t="str">
        <f>VLOOKUP( $B132, T_Aop[], 6, 1)</f>
        <v xml:space="preserve">      6. Dugoročne obaveze po fer vrijednosti kroz bilans uspjeha</v>
      </c>
      <c r="E132" s="412"/>
      <c r="F132" s="412"/>
      <c r="G132" s="412"/>
      <c r="H132" s="413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8" t="str">
        <f>VLOOKUP( $B133, T_Aop[], 6, 1)</f>
        <v xml:space="preserve">      7. Ostale dugoročne obaveze</v>
      </c>
      <c r="E133" s="409"/>
      <c r="F133" s="409"/>
      <c r="G133" s="409"/>
      <c r="H133" s="410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8" t="str">
        <f>VLOOKUP( $B134, T_Aop[], 6, 1)</f>
        <v xml:space="preserve">    II - KRATKOROČNE OBAVEZE (145 + 150 + 156 + 157 + 158 + 159 + 160 + 161 + 162 + 163)</v>
      </c>
      <c r="E134" s="419"/>
      <c r="F134" s="419"/>
      <c r="G134" s="419"/>
      <c r="H134" s="420"/>
      <c r="I134" s="237">
        <f>VLOOKUP( $B134, T_Aop[], 4, 1)</f>
        <v>144</v>
      </c>
      <c r="J134" s="43"/>
      <c r="K134" s="44"/>
      <c r="L134" s="70">
        <f>SUBTOTAL( 9, L135:L153)</f>
        <v>395232</v>
      </c>
      <c r="M134" s="71">
        <f>SUBTOTAL( 9, M135:M153)</f>
        <v>606850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8" t="str">
        <f>VLOOKUP( $B135, T_Aop[], 6, 1)</f>
        <v xml:space="preserve">      1. Kratkoročne finansijske obaveze (146 do 149)</v>
      </c>
      <c r="E135" s="409"/>
      <c r="F135" s="409"/>
      <c r="G135" s="409"/>
      <c r="H135" s="410"/>
      <c r="I135" s="169">
        <f>VLOOKUP( $B135, T_Aop[], 4, 1)</f>
        <v>145</v>
      </c>
      <c r="J135" s="255"/>
      <c r="K135" s="256"/>
      <c r="L135" s="212">
        <f>SUBTOTAL( 9, L136:L139)</f>
        <v>232202</v>
      </c>
      <c r="M135" s="213">
        <f>SUBTOTAL( 9, M136:M139)</f>
        <v>393201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1" t="str">
        <f>VLOOKUP( $B136, T_Aop[], 6, 1)</f>
        <v xml:space="preserve">        a) Kratkoročni krediti i obaveze po emitovanim kratkoročnim hartijama od vrijednosti</v>
      </c>
      <c r="E136" s="412"/>
      <c r="F136" s="412"/>
      <c r="G136" s="412"/>
      <c r="H136" s="413"/>
      <c r="I136" s="167">
        <f>VLOOKUP( $B136, T_Aop[], 4, 1)</f>
        <v>146</v>
      </c>
      <c r="J136" s="257"/>
      <c r="K136" s="258"/>
      <c r="L136" s="334">
        <v>12202</v>
      </c>
      <c r="M136" s="335">
        <v>71201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8" t="str">
        <f>VLOOKUP( $B137, T_Aop[], 6, 1)</f>
        <v xml:space="preserve">        b) Dio dugoročnih finansijskih obaveza koji za plaćanje dospijeva u periodu do godinu dana</v>
      </c>
      <c r="E137" s="409"/>
      <c r="F137" s="409"/>
      <c r="G137" s="409"/>
      <c r="H137" s="410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11" t="str">
        <f>VLOOKUP( $B138, T_Aop[], 6, 1)</f>
        <v xml:space="preserve">        v) Kratkoročne obaveze po fer vrijednosti kroz bilans uspjeha</v>
      </c>
      <c r="E138" s="412"/>
      <c r="F138" s="412"/>
      <c r="G138" s="412"/>
      <c r="H138" s="413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8" t="str">
        <f>VLOOKUP( $B139, T_Aop[], 6, 1)</f>
        <v xml:space="preserve">        g) Ostale kratkoročne finansijske obaveze</v>
      </c>
      <c r="E139" s="409"/>
      <c r="F139" s="409"/>
      <c r="G139" s="409"/>
      <c r="H139" s="410"/>
      <c r="I139" s="169">
        <f>VLOOKUP( $B139, T_Aop[], 4, 1)</f>
        <v>149</v>
      </c>
      <c r="J139" s="255"/>
      <c r="K139" s="256"/>
      <c r="L139" s="332">
        <v>220000</v>
      </c>
      <c r="M139" s="333">
        <v>322000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11" t="str">
        <f>VLOOKUP( $B140, T_Aop[], 6, 1)</f>
        <v xml:space="preserve">      2. Obaveze iz poslovanja (151 do 155)</v>
      </c>
      <c r="E140" s="412"/>
      <c r="F140" s="412"/>
      <c r="G140" s="412"/>
      <c r="H140" s="413"/>
      <c r="I140" s="167">
        <f>VLOOKUP( $B140, T_Aop[], 4, 1)</f>
        <v>150</v>
      </c>
      <c r="J140" s="253"/>
      <c r="K140" s="254"/>
      <c r="L140" s="210">
        <f>SUBTOTAL( 9, L141:L145)</f>
        <v>86636</v>
      </c>
      <c r="M140" s="211">
        <f>SUBTOTAL( 9, M141:M145)</f>
        <v>106946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8" t="str">
        <f>VLOOKUP( $B141, T_Aop[], 6, 1)</f>
        <v xml:space="preserve">        a) Primljeni avansi, depoziti i kaucije</v>
      </c>
      <c r="E141" s="409"/>
      <c r="F141" s="409"/>
      <c r="G141" s="409"/>
      <c r="H141" s="410"/>
      <c r="I141" s="169">
        <f>VLOOKUP( $B141, T_Aop[], 4, 1)</f>
        <v>151</v>
      </c>
      <c r="J141" s="255"/>
      <c r="K141" s="256"/>
      <c r="L141" s="332">
        <v>0</v>
      </c>
      <c r="M141" s="333">
        <v>1364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1" t="str">
        <f>VLOOKUP( $B142, T_Aop[], 6, 1)</f>
        <v xml:space="preserve">        b) Dobavljači - povezana pravna lica</v>
      </c>
      <c r="E142" s="412"/>
      <c r="F142" s="412"/>
      <c r="G142" s="412"/>
      <c r="H142" s="413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8" t="str">
        <f>VLOOKUP( $B143, T_Aop[], 6, 1)</f>
        <v xml:space="preserve">        v) Dobavljači u zemlji</v>
      </c>
      <c r="E143" s="409"/>
      <c r="F143" s="409"/>
      <c r="G143" s="409"/>
      <c r="H143" s="410"/>
      <c r="I143" s="169">
        <f>VLOOKUP( $B143, T_Aop[], 4, 1)</f>
        <v>153</v>
      </c>
      <c r="J143" s="255"/>
      <c r="K143" s="256"/>
      <c r="L143" s="332">
        <v>84560</v>
      </c>
      <c r="M143" s="333">
        <v>105130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1" t="str">
        <f>VLOOKUP( $B144, T_Aop[], 6, 1)</f>
        <v xml:space="preserve">        g) Dobavljači iz inostranstva</v>
      </c>
      <c r="E144" s="412"/>
      <c r="F144" s="412"/>
      <c r="G144" s="412"/>
      <c r="H144" s="413"/>
      <c r="I144" s="167">
        <f>VLOOKUP( $B144, T_Aop[], 4, 1)</f>
        <v>154</v>
      </c>
      <c r="J144" s="253"/>
      <c r="K144" s="254"/>
      <c r="L144" s="334">
        <v>2076</v>
      </c>
      <c r="M144" s="335">
        <v>452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8" t="str">
        <f>VLOOKUP( $B145, T_Aop[], 6, 1)</f>
        <v xml:space="preserve">        d) Ostale obaveze iz poslovanja</v>
      </c>
      <c r="E145" s="409"/>
      <c r="F145" s="409"/>
      <c r="G145" s="409"/>
      <c r="H145" s="410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1" t="str">
        <f>VLOOKUP( $B146, T_Aop[], 6, 1)</f>
        <v xml:space="preserve">      3. Obaveze iz specifičnih poslova</v>
      </c>
      <c r="E146" s="412"/>
      <c r="F146" s="412"/>
      <c r="G146" s="412"/>
      <c r="H146" s="413"/>
      <c r="I146" s="167">
        <f>VLOOKUP( $B146, T_Aop[], 4, 1)</f>
        <v>156</v>
      </c>
      <c r="J146" s="253"/>
      <c r="K146" s="254"/>
      <c r="L146" s="334">
        <v>49074</v>
      </c>
      <c r="M146" s="335">
        <v>72393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8" t="str">
        <f>VLOOKUP( $B147, T_Aop[], 6, 1)</f>
        <v xml:space="preserve">      4. Obaveze za zarade i naknade zarada</v>
      </c>
      <c r="E147" s="409"/>
      <c r="F147" s="409"/>
      <c r="G147" s="409"/>
      <c r="H147" s="410"/>
      <c r="I147" s="169">
        <f>VLOOKUP( $B147, T_Aop[], 4, 1)</f>
        <v>157</v>
      </c>
      <c r="J147" s="255"/>
      <c r="K147" s="256"/>
      <c r="L147" s="332"/>
      <c r="M147" s="333">
        <v>951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1" t="str">
        <f>VLOOKUP( $B148, T_Aop[], 6, 1)</f>
        <v xml:space="preserve">      5. Druge obaveze</v>
      </c>
      <c r="E148" s="412"/>
      <c r="F148" s="412"/>
      <c r="G148" s="412"/>
      <c r="H148" s="413"/>
      <c r="I148" s="167">
        <f>VLOOKUP( $B148, T_Aop[], 4, 1)</f>
        <v>158</v>
      </c>
      <c r="J148" s="253"/>
      <c r="K148" s="254"/>
      <c r="L148" s="334">
        <v>14011</v>
      </c>
      <c r="M148" s="335">
        <v>19114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8" t="str">
        <f>VLOOKUP( $B149, T_Aop[], 6, 1)</f>
        <v xml:space="preserve">      6. Porez na dodatu vrijednost</v>
      </c>
      <c r="E149" s="409"/>
      <c r="F149" s="409"/>
      <c r="G149" s="409"/>
      <c r="H149" s="410"/>
      <c r="I149" s="169">
        <f>VLOOKUP( $B149, T_Aop[], 4, 1)</f>
        <v>159</v>
      </c>
      <c r="J149" s="255"/>
      <c r="K149" s="256"/>
      <c r="L149" s="332">
        <v>2946</v>
      </c>
      <c r="M149" s="333">
        <v>809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1" t="str">
        <f>VLOOKUP( $B150, T_Aop[], 6, 1)</f>
        <v xml:space="preserve">      7. Obaveze za ostale poreze, doprinose i druge dažbine</v>
      </c>
      <c r="E150" s="412"/>
      <c r="F150" s="412"/>
      <c r="G150" s="412"/>
      <c r="H150" s="413"/>
      <c r="I150" s="167">
        <f>VLOOKUP( $B150, T_Aop[], 4, 1)</f>
        <v>160</v>
      </c>
      <c r="J150" s="253"/>
      <c r="K150" s="254"/>
      <c r="L150" s="334">
        <v>3687</v>
      </c>
      <c r="M150" s="335">
        <v>13436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8" t="str">
        <f>VLOOKUP( $B151, T_Aop[], 6, 1)</f>
        <v xml:space="preserve">      8. Obaveze za porez na dobitak</v>
      </c>
      <c r="E151" s="409"/>
      <c r="F151" s="409"/>
      <c r="G151" s="409"/>
      <c r="H151" s="410"/>
      <c r="I151" s="169">
        <f>VLOOKUP( $B151, T_Aop[], 4, 1)</f>
        <v>161</v>
      </c>
      <c r="J151" s="255"/>
      <c r="K151" s="256"/>
      <c r="L151" s="332">
        <v>6676</v>
      </c>
      <c r="M151" s="333">
        <v>0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1" t="str">
        <f>VLOOKUP( $B152, T_Aop[], 6, 1)</f>
        <v xml:space="preserve">      9. Pasivna vremenska razgraničenja i kratkoročna rezervisanja</v>
      </c>
      <c r="E152" s="412"/>
      <c r="F152" s="412"/>
      <c r="G152" s="412"/>
      <c r="H152" s="413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8" t="str">
        <f>VLOOKUP( $B153, T_Aop[], 6, 1)</f>
        <v xml:space="preserve">      10. Odložene poreske obaveze</v>
      </c>
      <c r="E153" s="409"/>
      <c r="F153" s="409"/>
      <c r="G153" s="409"/>
      <c r="H153" s="410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8" t="str">
        <f>VLOOKUP( $B154, T_Aop[], 6, 1)</f>
        <v xml:space="preserve">  G. POSLOVNA PASIVA (101 + 126 + 135)</v>
      </c>
      <c r="E154" s="419"/>
      <c r="F154" s="419"/>
      <c r="G154" s="419"/>
      <c r="H154" s="420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2937378</v>
      </c>
      <c r="M154" s="71">
        <f>SUBTOTAL( 9, M91:M98, M100, M102:M107, M109:M112, M116:M153) - SUBTOTAL( 9, M99, M101, M108, M113:M115)</f>
        <v>2935048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4" t="str">
        <f>VLOOKUP( $B155, T_Aop[], 6, 1)</f>
        <v xml:space="preserve">  D. VANBILANSNA PASIVA</v>
      </c>
      <c r="E155" s="415"/>
      <c r="F155" s="415"/>
      <c r="G155" s="415"/>
      <c r="H155" s="416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1" t="str">
        <f>VLOOKUP( $B156, T_Aop[], 6, 1)</f>
        <v xml:space="preserve">  Đ. UKUPNA PASIVA (164 + 165)</v>
      </c>
      <c r="E156" s="422"/>
      <c r="F156" s="422"/>
      <c r="G156" s="422"/>
      <c r="H156" s="423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2937378</v>
      </c>
      <c r="M156" s="268">
        <f>SUBTOTAL( 9, M91:M98, M100, M102:M107, M109:M112, M116:M155) - SUBTOTAL( 9, M99, M101, M108, M113:M115)</f>
        <v>2935048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Banjoj 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Dragana Barac, SR-1652/17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24.02.2017.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Dragana Garača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="95" zoomScaleNormal="95" zoomScaleSheetLayoutView="100" workbookViewId="0">
      <pane ySplit="4" topLeftCell="A95" activePane="bottomLeft" state="frozen"/>
      <selection activeCell="D15" sqref="D15"/>
      <selection pane="bottomLeft" activeCell="J124" sqref="J12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2" t="str">
        <f>Podatak_MB</f>
        <v>11189511</v>
      </c>
      <c r="E5" s="472"/>
      <c r="I5" s="17" t="str">
        <f>Zaglavlje_Ziro_racun</f>
        <v>Poslovni računi:</v>
      </c>
      <c r="J5" s="468" t="str">
        <f>Podatak_Ziro_racun_1</f>
        <v>562-099-00000966-21</v>
      </c>
      <c r="K5" s="468"/>
    </row>
    <row r="6" spans="3:13" ht="12.75" customHeight="1" x14ac:dyDescent="0.2">
      <c r="C6" s="16" t="str">
        <f>Zaglavlje_Sifra_djelatnosti</f>
        <v>Šifra djelatnosti:</v>
      </c>
      <c r="D6" s="472" t="str">
        <f>Podatak_Sifra_djelatnosti</f>
        <v>68.20</v>
      </c>
      <c r="E6" s="472"/>
      <c r="F6" s="9"/>
      <c r="J6" s="468" t="str">
        <f>Podatak_Ziro_racun_2</f>
        <v/>
      </c>
      <c r="K6" s="468"/>
    </row>
    <row r="7" spans="3:13" ht="12.75" customHeight="1" x14ac:dyDescent="0.2">
      <c r="C7" s="473" t="str">
        <f>Zaglavlje_Naziv_preduzeca</f>
        <v>Naziv privrednog društva, zadruge, drugog pravnog lica ili preduzetnika:</v>
      </c>
      <c r="D7" s="473"/>
      <c r="E7" s="473"/>
      <c r="F7" s="19"/>
      <c r="J7" s="468" t="str">
        <f>Podatak_Ziro_racun_3</f>
        <v/>
      </c>
      <c r="K7" s="468"/>
    </row>
    <row r="8" spans="3:13" ht="12.75" customHeight="1" x14ac:dyDescent="0.2">
      <c r="C8" s="473"/>
      <c r="D8" s="473"/>
      <c r="E8" s="473"/>
      <c r="F8" s="19"/>
      <c r="J8" s="468" t="str">
        <f>Podatak_Ziro_racun_4</f>
        <v/>
      </c>
      <c r="K8" s="468"/>
    </row>
    <row r="9" spans="3:13" ht="12.75" customHeight="1" x14ac:dyDescent="0.2">
      <c r="C9" s="475" t="str">
        <f>Podatak_Naziv_preduzeca</f>
        <v>"ČAJAVEC SERVIS I PROMET" AD BANJA LUKA</v>
      </c>
      <c r="D9" s="475"/>
      <c r="E9" s="475"/>
      <c r="F9" s="475"/>
      <c r="J9" s="468" t="str">
        <f>Podatak_Ziro_racun_5</f>
        <v/>
      </c>
      <c r="K9" s="468"/>
    </row>
    <row r="10" spans="3:13" ht="12.75" customHeight="1" x14ac:dyDescent="0.2">
      <c r="C10" s="16" t="str">
        <f>Zaglavlje_Sjediste</f>
        <v>Sjedište:</v>
      </c>
      <c r="D10" s="472" t="str">
        <f>Podatak_Sjediste</f>
        <v>Veselina Masleše 1/IX, Banja Luka</v>
      </c>
      <c r="E10" s="472"/>
      <c r="F10" s="16"/>
      <c r="J10" s="468" t="str">
        <f>Podatak_Ziro_racun_6</f>
        <v/>
      </c>
      <c r="K10" s="468"/>
    </row>
    <row r="11" spans="3:13" ht="12.75" customHeight="1" x14ac:dyDescent="0.2">
      <c r="C11" s="16" t="str">
        <f>Zaglavlje_JIB</f>
        <v>JIB:</v>
      </c>
      <c r="D11" s="472" t="str">
        <f>Podatak_JIB</f>
        <v>4400893570007</v>
      </c>
      <c r="E11" s="472"/>
      <c r="F11" s="20"/>
      <c r="G11" s="20"/>
      <c r="H11" s="20"/>
      <c r="I11" s="20"/>
      <c r="J11"/>
      <c r="K11"/>
    </row>
    <row r="12" spans="3:13" ht="15.75" customHeight="1" x14ac:dyDescent="0.2">
      <c r="C12" s="455" t="str">
        <f>IF( Id_Konsolidovani, Nazivi_bilansa_Konsolidovani_naziv &amp; LOWER( Nazivi_bilansa_BUa), Nazivi_bilansa_BUa)</f>
        <v>Bilans uspjeha</v>
      </c>
      <c r="D12" s="455"/>
      <c r="E12" s="455"/>
      <c r="F12" s="455"/>
      <c r="G12" s="455"/>
      <c r="H12" s="455"/>
      <c r="I12" s="455"/>
      <c r="J12" s="455"/>
      <c r="K12" s="455"/>
      <c r="L12" s="54"/>
    </row>
    <row r="13" spans="3:13" ht="12.75" customHeight="1" x14ac:dyDescent="0.2">
      <c r="C13" s="471" t="str">
        <f>Nazivi_bilansa_BUa1</f>
        <v>(Izvještaj o ukupnom rezultatu u periodu)</v>
      </c>
      <c r="D13" s="471"/>
      <c r="E13" s="471"/>
      <c r="F13" s="471"/>
      <c r="G13" s="471"/>
      <c r="H13" s="471"/>
      <c r="I13" s="471"/>
      <c r="J13" s="471"/>
      <c r="K13" s="471"/>
      <c r="L13" s="54"/>
    </row>
    <row r="14" spans="3:13" ht="12.75" customHeight="1" x14ac:dyDescent="0.2">
      <c r="C14" s="471" t="str">
        <f>Datumi_Datum_BU</f>
        <v>za period od 01.01. do 31.12.2016. godine</v>
      </c>
      <c r="D14" s="471"/>
      <c r="E14" s="471"/>
      <c r="F14" s="471"/>
      <c r="G14" s="471"/>
      <c r="H14" s="471"/>
      <c r="I14" s="471"/>
      <c r="J14" s="471"/>
      <c r="K14" s="471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9" t="str">
        <f>Tabele_zaglavlje_Grupa_racuna</f>
        <v>Grupa računa, račun</v>
      </c>
      <c r="D16" s="460" t="str">
        <f>Tabele_zaglavlje_Pozicija</f>
        <v>POZICIJA</v>
      </c>
      <c r="E16" s="460"/>
      <c r="F16" s="460"/>
      <c r="G16" s="460"/>
      <c r="H16" s="460"/>
      <c r="I16" s="458" t="str">
        <f>Tabele_zaglavlje_Oznaka_aop</f>
        <v>Oznaka za AOP</v>
      </c>
      <c r="J16" s="460" t="str">
        <f>Tabele_zaglavlje_Iznos</f>
        <v>Iznos</v>
      </c>
      <c r="K16" s="461"/>
      <c r="M16" s="57"/>
    </row>
    <row r="17" spans="2:15" ht="25.5" customHeight="1" x14ac:dyDescent="0.2">
      <c r="C17" s="470"/>
      <c r="D17" s="474"/>
      <c r="E17" s="474"/>
      <c r="F17" s="474"/>
      <c r="G17" s="474"/>
      <c r="H17" s="474"/>
      <c r="I17" s="459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6">
        <v>2</v>
      </c>
      <c r="E18" s="476"/>
      <c r="F18" s="476"/>
      <c r="G18" s="476"/>
      <c r="H18" s="476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7" t="str">
        <f>VLOOKUP( $B19, T_Aop[], 6, 1)</f>
        <v>A. POSLOVNI PRIHODI I RASHODI</v>
      </c>
      <c r="E19" s="477"/>
      <c r="F19" s="477"/>
      <c r="G19" s="477"/>
      <c r="H19" s="477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2" t="str">
        <f>VLOOKUP( $B20, T_Aop[], 6, 1)</f>
        <v xml:space="preserve">    I - POSLOVNI PRIHODI (202 + 206 + 210 + 211 - 212 + 213 - 214 + 215)</v>
      </c>
      <c r="E20" s="462"/>
      <c r="F20" s="462"/>
      <c r="G20" s="462"/>
      <c r="H20" s="462"/>
      <c r="I20" s="265">
        <f>VLOOKUP( $B20, T_Aop[], 4, 1)</f>
        <v>201</v>
      </c>
      <c r="J20" s="84">
        <f>SUBTOTAL( 9, J21:J30, J32, J34) - SUBTOTAL( 9, J31, J33)</f>
        <v>265145</v>
      </c>
      <c r="K20" s="85">
        <f>SUBTOTAL( 9, K21:K30, K32, K34) - SUBTOTAL( 9, K31, K33)</f>
        <v>246854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6" t="str">
        <f>VLOOKUP( $B21, T_Aop[], 6, 1)</f>
        <v xml:space="preserve">      1. Prihodi od prodaje robe (203 do 205)</v>
      </c>
      <c r="E21" s="456"/>
      <c r="F21" s="456"/>
      <c r="G21" s="456"/>
      <c r="H21" s="456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6" t="str">
        <f>VLOOKUP( $B23, T_Aop[], 6, 1)</f>
        <v xml:space="preserve">        b) Prihodi od prodaje robe na domaćem tržištu</v>
      </c>
      <c r="E23" s="456"/>
      <c r="F23" s="456"/>
      <c r="G23" s="456"/>
      <c r="H23" s="456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6" t="str">
        <f>VLOOKUP( $B25, T_Aop[], 6, 1)</f>
        <v xml:space="preserve">      2. Prihodi od prodaje učinaka (207 do 209)</v>
      </c>
      <c r="E25" s="456"/>
      <c r="F25" s="456"/>
      <c r="G25" s="456"/>
      <c r="H25" s="456"/>
      <c r="I25" s="264">
        <f>VLOOKUP( $B25, T_Aop[], 4, 1)</f>
        <v>206</v>
      </c>
      <c r="J25" s="205">
        <f>SUBTOTAL( 9, J26:J28)</f>
        <v>0</v>
      </c>
      <c r="K25" s="207">
        <f>SUBTOTAL( 9, K26:K28)</f>
        <v>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6" t="str">
        <f>VLOOKUP( $B27, T_Aop[], 6, 1)</f>
        <v xml:space="preserve">        b) Prihodi od prodaje učinaka na domaćem tržištu</v>
      </c>
      <c r="E27" s="456"/>
      <c r="F27" s="456"/>
      <c r="G27" s="456"/>
      <c r="H27" s="456"/>
      <c r="I27" s="264">
        <f>VLOOKUP( $B27, T_Aop[], 4, 1)</f>
        <v>208</v>
      </c>
      <c r="J27" s="217"/>
      <c r="K27" s="218"/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6" t="str">
        <f>VLOOKUP( $B29, T_Aop[], 6, 1)</f>
        <v xml:space="preserve">      3. Prihodi od aktiviranja ili potrošnje robe i učinaka</v>
      </c>
      <c r="E29" s="456"/>
      <c r="F29" s="456"/>
      <c r="G29" s="456"/>
      <c r="H29" s="456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6" t="str">
        <f>VLOOKUP( $B31, T_Aop[], 6, 1)</f>
        <v xml:space="preserve">      5. Smanjenje vrijednosti zaliha učinaka</v>
      </c>
      <c r="E31" s="456"/>
      <c r="F31" s="456"/>
      <c r="G31" s="456"/>
      <c r="H31" s="456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6" t="str">
        <f>VLOOKUP( $B33, T_Aop[], 6, 1)</f>
        <v xml:space="preserve">      7. Smanjenje vrijednosti investicionih nekretnina i bioloških sredstava koja se ne amortizuju</v>
      </c>
      <c r="E33" s="456"/>
      <c r="F33" s="456"/>
      <c r="G33" s="456"/>
      <c r="H33" s="456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265145</v>
      </c>
      <c r="K34" s="216">
        <v>246854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7" t="str">
        <f>VLOOKUP( $B35, T_Aop[], 6, 1)</f>
        <v xml:space="preserve">    II - POSLOVNI RASHODI (217 + 218 + 219 + 222 + 223 + 226 + 227 + 228)</v>
      </c>
      <c r="E35" s="467"/>
      <c r="F35" s="467"/>
      <c r="G35" s="467"/>
      <c r="H35" s="467"/>
      <c r="I35" s="266">
        <f>VLOOKUP( $B35, T_Aop[], 4, 1)</f>
        <v>216</v>
      </c>
      <c r="J35" s="88">
        <f>SUBTOTAL( 9, J36:J47)</f>
        <v>172985</v>
      </c>
      <c r="K35" s="89">
        <f>SUBTOTAL( 9, K36:K47)</f>
        <v>134329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6" t="str">
        <f>VLOOKUP( $B37, T_Aop[], 6, 1)</f>
        <v xml:space="preserve">      2. Troškovi materijala</v>
      </c>
      <c r="E37" s="456"/>
      <c r="F37" s="456"/>
      <c r="G37" s="456"/>
      <c r="H37" s="456"/>
      <c r="I37" s="264">
        <f>VLOOKUP( $B37, T_Aop[], 4, 1)</f>
        <v>218</v>
      </c>
      <c r="J37" s="217">
        <v>7465</v>
      </c>
      <c r="K37" s="218">
        <v>1376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1859</v>
      </c>
      <c r="K38" s="206">
        <f>SUBTOTAL( 9, K39:K40)</f>
        <v>37050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6" t="str">
        <f>VLOOKUP( $B39, T_Aop[], 6, 1)</f>
        <v xml:space="preserve">        a) Troškovi bruto zarada i bruto naknada zarada</v>
      </c>
      <c r="E39" s="456"/>
      <c r="F39" s="456"/>
      <c r="G39" s="456"/>
      <c r="H39" s="456"/>
      <c r="I39" s="264">
        <f>VLOOKUP( $B39, T_Aop[], 4, 1)</f>
        <v>220</v>
      </c>
      <c r="J39" s="217">
        <v>0</v>
      </c>
      <c r="K39" s="218">
        <v>27112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1859</v>
      </c>
      <c r="K40" s="216">
        <v>9938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6" t="str">
        <f>VLOOKUP( $B41, T_Aop[], 6, 1)</f>
        <v xml:space="preserve">      4. Troškovi proizvodnih usluga</v>
      </c>
      <c r="E41" s="456"/>
      <c r="F41" s="456"/>
      <c r="G41" s="456"/>
      <c r="H41" s="456"/>
      <c r="I41" s="264">
        <f>VLOOKUP( $B41, T_Aop[], 4, 1)</f>
        <v>222</v>
      </c>
      <c r="J41" s="217">
        <v>72008</v>
      </c>
      <c r="K41" s="218">
        <v>13770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35329</v>
      </c>
      <c r="K42" s="206">
        <f>SUBTOTAL( 9, K43:K44)</f>
        <v>30280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6" t="str">
        <f>VLOOKUP( $B43, T_Aop[], 6, 1)</f>
        <v xml:space="preserve">        a) Troškovi amortizacije</v>
      </c>
      <c r="E43" s="456"/>
      <c r="F43" s="456"/>
      <c r="G43" s="456"/>
      <c r="H43" s="456"/>
      <c r="I43" s="264">
        <f>VLOOKUP( $B43, T_Aop[], 4, 1)</f>
        <v>224</v>
      </c>
      <c r="J43" s="217">
        <v>35329</v>
      </c>
      <c r="K43" s="218">
        <v>30280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>
        <v>0</v>
      </c>
      <c r="K44" s="216">
        <v>0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6" t="str">
        <f>VLOOKUP( $B45, T_Aop[], 6, 1)</f>
        <v xml:space="preserve">      6. Nematerijalni troškovi (bez poreza i doprinosa)</v>
      </c>
      <c r="E45" s="456"/>
      <c r="F45" s="456"/>
      <c r="G45" s="456"/>
      <c r="H45" s="456"/>
      <c r="I45" s="264">
        <f>VLOOKUP( $B45, T_Aop[], 4, 1)</f>
        <v>226</v>
      </c>
      <c r="J45" s="217">
        <v>46685</v>
      </c>
      <c r="K45" s="218">
        <v>43777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9639</v>
      </c>
      <c r="K46" s="216">
        <v>7864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6" t="str">
        <f>VLOOKUP( $B47, T_Aop[], 6, 1)</f>
        <v xml:space="preserve">      8. Troškovi doprinosa</v>
      </c>
      <c r="E47" s="456"/>
      <c r="F47" s="456"/>
      <c r="G47" s="456"/>
      <c r="H47" s="456"/>
      <c r="I47" s="264">
        <f>VLOOKUP( $B47, T_Aop[], 4, 1)</f>
        <v>228</v>
      </c>
      <c r="J47" s="217">
        <v>0</v>
      </c>
      <c r="K47" s="218">
        <v>212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2" t="str">
        <f>VLOOKUP( $B48, T_Aop[], 6, 1)</f>
        <v xml:space="preserve">  B. POSLOVNI DOBITAK (201 - 216)</v>
      </c>
      <c r="E48" s="462"/>
      <c r="F48" s="462"/>
      <c r="G48" s="462"/>
      <c r="H48" s="462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92160</v>
      </c>
      <c r="K48" s="85">
        <f>IF( SUBTOTAL( 9, K20:K30, K32, K34) - SUBTOTAL( 9, K31, K33, K35:K47) &lt;= 0, 0, ABS( SUBTOTAL( 9, K20:K30, K32, K34) - SUBTOTAL( 9, K31, K33, K35:K47)) )</f>
        <v>112525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7" t="str">
        <f>VLOOKUP( $B49, T_Aop[], 6, 1)</f>
        <v xml:space="preserve">  V. POSLOVNI GUBITAK (216 - 201)</v>
      </c>
      <c r="E49" s="467"/>
      <c r="F49" s="467"/>
      <c r="G49" s="467"/>
      <c r="H49" s="467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2" t="str">
        <f>VLOOKUP( $B50, T_Aop[], 6, 1)</f>
        <v>G. FINANSIJSKI PRIHODI I RASHODI</v>
      </c>
      <c r="E50" s="462"/>
      <c r="F50" s="462"/>
      <c r="G50" s="462"/>
      <c r="H50" s="462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7" t="str">
        <f>VLOOKUP( $B51, T_Aop[], 6, 1)</f>
        <v xml:space="preserve">    I - FINANSIJSKI PRIHODI (232 do 237)</v>
      </c>
      <c r="E51" s="467"/>
      <c r="F51" s="467"/>
      <c r="G51" s="467"/>
      <c r="H51" s="467"/>
      <c r="I51" s="266">
        <f>VLOOKUP( $B51, T_Aop[], 4, 1)</f>
        <v>231</v>
      </c>
      <c r="J51" s="88">
        <f>SUBTOTAL( 9, J52:J57)</f>
        <v>51</v>
      </c>
      <c r="K51" s="89">
        <f>SUBTOTAL( 9, K52:K57)</f>
        <v>3670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6" t="str">
        <f>VLOOKUP( $B53, T_Aop[], 6, 1)</f>
        <v xml:space="preserve">      2. Prihodi od kamata</v>
      </c>
      <c r="E53" s="456"/>
      <c r="F53" s="456"/>
      <c r="G53" s="456"/>
      <c r="H53" s="456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>
        <v>51</v>
      </c>
      <c r="K54" s="216">
        <v>20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6" t="str">
        <f>VLOOKUP( $B55, T_Aop[], 6, 1)</f>
        <v xml:space="preserve">      4. Prihodi od efekata valutne klauzule</v>
      </c>
      <c r="E55" s="456"/>
      <c r="F55" s="456"/>
      <c r="G55" s="456"/>
      <c r="H55" s="456"/>
      <c r="I55" s="264">
        <f>VLOOKUP( $B55, T_Aop[], 4, 1)</f>
        <v>235</v>
      </c>
      <c r="J55" s="217">
        <v>0</v>
      </c>
      <c r="K55" s="218">
        <v>3650</v>
      </c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6" t="str">
        <f>VLOOKUP( $B57, T_Aop[], 6, 1)</f>
        <v xml:space="preserve">      6. Ostali finansijski prihodi</v>
      </c>
      <c r="E57" s="456"/>
      <c r="F57" s="456"/>
      <c r="G57" s="456"/>
      <c r="H57" s="456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2" t="str">
        <f>VLOOKUP( $B58, T_Aop[], 6, 1)</f>
        <v xml:space="preserve">    II - FINANSIJSKI RASHODI (239 do 243)</v>
      </c>
      <c r="E58" s="462"/>
      <c r="F58" s="462"/>
      <c r="G58" s="462"/>
      <c r="H58" s="462"/>
      <c r="I58" s="265">
        <f>VLOOKUP( $B58, T_Aop[], 4, 1)</f>
        <v>238</v>
      </c>
      <c r="J58" s="84">
        <f>SUBTOTAL( 9, J59:J63)</f>
        <v>22969</v>
      </c>
      <c r="K58" s="85">
        <f>SUBTOTAL( 9, K59:K63)</f>
        <v>9304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6" t="str">
        <f>VLOOKUP( $B59, T_Aop[], 6, 1)</f>
        <v xml:space="preserve">      1. Finansijski rashodi po osnovu odnosa povezanih pravnih lica</v>
      </c>
      <c r="E59" s="456"/>
      <c r="F59" s="456"/>
      <c r="G59" s="456"/>
      <c r="H59" s="456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22701</v>
      </c>
      <c r="K60" s="216">
        <v>9255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6" t="str">
        <f>VLOOKUP( $B61, T_Aop[], 6, 1)</f>
        <v xml:space="preserve">      3. Negativne kursne razlike</v>
      </c>
      <c r="E61" s="456"/>
      <c r="F61" s="456"/>
      <c r="G61" s="456"/>
      <c r="H61" s="456"/>
      <c r="I61" s="264">
        <f>VLOOKUP( $B61, T_Aop[], 4, 1)</f>
        <v>241</v>
      </c>
      <c r="J61" s="217">
        <v>268</v>
      </c>
      <c r="K61" s="218">
        <v>49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6" t="str">
        <f>VLOOKUP( $B63, T_Aop[], 6, 1)</f>
        <v xml:space="preserve">      5. Ostali finansijski rashodi</v>
      </c>
      <c r="E63" s="456"/>
      <c r="F63" s="456"/>
      <c r="G63" s="456"/>
      <c r="H63" s="456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2" t="str">
        <f>VLOOKUP( $B64, T_Aop[], 6, 1)</f>
        <v xml:space="preserve">  D. DOBITAK REDOVNE AKTIVNOSTI (229 + 231 - 238) ili (231 - 238 - 230)</v>
      </c>
      <c r="E64" s="462"/>
      <c r="F64" s="462"/>
      <c r="G64" s="462"/>
      <c r="H64" s="462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69242</v>
      </c>
      <c r="K64" s="85">
        <f>IF( SUBTOTAL( 9,K20:K30, K32, K34, K51:K57) - SUBTOTAL( 9, K31, K33, K35:K47, K58:K63) &lt;= 0, 0, ABS( SUBTOTAL( 9,K20:K30, K32, K34, K51:K57) - SUBTOTAL( 9, K31, K33, K35:K47, K58:K63)))</f>
        <v>106891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7" t="str">
        <f>VLOOKUP( $B65, T_Aop[], 6, 1)</f>
        <v xml:space="preserve">  Đ. GUBITAK REDOVNE AKTIVNOSTI (230 + 238 - 231) ili (238 - 229 - 231)</v>
      </c>
      <c r="E65" s="467"/>
      <c r="F65" s="467"/>
      <c r="G65" s="467"/>
      <c r="H65" s="467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2" t="str">
        <f>VLOOKUP( $B66, T_Aop[], 6, 1)</f>
        <v>E. OSTALI PRIHODI I RASHODI</v>
      </c>
      <c r="E66" s="462"/>
      <c r="F66" s="462"/>
      <c r="G66" s="462"/>
      <c r="H66" s="462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7" t="str">
        <f>VLOOKUP( $B67, T_Aop[], 6, 1)</f>
        <v xml:space="preserve">    I - OSTALI PRIHODI (247 do 256)</v>
      </c>
      <c r="E67" s="467"/>
      <c r="F67" s="467"/>
      <c r="G67" s="467"/>
      <c r="H67" s="467"/>
      <c r="I67" s="266">
        <f>VLOOKUP( $B67, T_Aop[], 4, 1)</f>
        <v>246</v>
      </c>
      <c r="J67" s="88">
        <f>SUBTOTAL( 9, J68:J77)</f>
        <v>29564</v>
      </c>
      <c r="K67" s="89">
        <f>SUBTOTAL( 9, K68:K77)</f>
        <v>258836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>
        <v>0</v>
      </c>
      <c r="K68" s="216">
        <v>27454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6" t="str">
        <f>VLOOKUP( $B69, T_Aop[], 6, 1)</f>
        <v xml:space="preserve">      2. Dobici po osnovu prodaje investicionih nekretnina</v>
      </c>
      <c r="E69" s="456"/>
      <c r="F69" s="456"/>
      <c r="G69" s="456"/>
      <c r="H69" s="456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6" t="str">
        <f>VLOOKUP( $B71, T_Aop[], 6, 1)</f>
        <v xml:space="preserve">      4. Dobici po osnovu prodaje sredstava obustavljenog poslovanja</v>
      </c>
      <c r="E71" s="456"/>
      <c r="F71" s="456"/>
      <c r="G71" s="456"/>
      <c r="H71" s="456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6" t="str">
        <f>VLOOKUP( $B73, T_Aop[], 6, 1)</f>
        <v xml:space="preserve">      6. Dobici po osnovu prodaje materijala</v>
      </c>
      <c r="E73" s="456"/>
      <c r="F73" s="456"/>
      <c r="G73" s="456"/>
      <c r="H73" s="456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6" t="str">
        <f>VLOOKUP( $B75, T_Aop[], 6, 1)</f>
        <v xml:space="preserve">      8. Naplaćena otpisana potraživanja</v>
      </c>
      <c r="E75" s="456"/>
      <c r="F75" s="456"/>
      <c r="G75" s="456"/>
      <c r="H75" s="456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6" t="str">
        <f>VLOOKUP( $B77, T_Aop[], 6, 1)</f>
        <v xml:space="preserve">      10. Prihodi od smanjenja obaveza, ukidanja neiskorišćenih dugoročnih rezervisanja i ostali nepomenuti prihodi</v>
      </c>
      <c r="E77" s="456"/>
      <c r="F77" s="456"/>
      <c r="G77" s="456"/>
      <c r="H77" s="456"/>
      <c r="I77" s="264">
        <f>VLOOKUP( $B77, T_Aop[], 4, 1)</f>
        <v>256</v>
      </c>
      <c r="J77" s="217">
        <v>29564</v>
      </c>
      <c r="K77" s="218">
        <v>231382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2" t="str">
        <f>VLOOKUP( $B78, T_Aop[], 6, 1)</f>
        <v xml:space="preserve">    II - OSTALI RASHODI (258 do 267)</v>
      </c>
      <c r="E78" s="462"/>
      <c r="F78" s="462"/>
      <c r="G78" s="462"/>
      <c r="H78" s="462"/>
      <c r="I78" s="265">
        <f>VLOOKUP( $B78, T_Aop[], 4, 1)</f>
        <v>257</v>
      </c>
      <c r="J78" s="84">
        <f>SUBTOTAL( 9, J79:J88)</f>
        <v>600</v>
      </c>
      <c r="K78" s="85">
        <f>SUBTOTAL( 9, K79:K88)</f>
        <v>203901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6" t="str">
        <f>VLOOKUP( $B79, T_Aop[], 6, 1)</f>
        <v xml:space="preserve">      1. Gubici po osnovu prodaje i rashodovanja nematerijalnih sredstava, nekretnina, postrojenja i opreme</v>
      </c>
      <c r="E79" s="456"/>
      <c r="F79" s="456"/>
      <c r="G79" s="456"/>
      <c r="H79" s="456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6" t="str">
        <f>VLOOKUP( $B81, T_Aop[], 6, 1)</f>
        <v xml:space="preserve">      3. Gubici po osnovu prodaje i rashodovanja bioloških sredstava</v>
      </c>
      <c r="E81" s="456"/>
      <c r="F81" s="456"/>
      <c r="G81" s="456"/>
      <c r="H81" s="456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6" t="str">
        <f>VLOOKUP( $B83, T_Aop[], 6, 1)</f>
        <v xml:space="preserve">      5. Gubici po osnovu prodaje učešća u kapitalu i HOV</v>
      </c>
      <c r="E83" s="456"/>
      <c r="F83" s="456"/>
      <c r="G83" s="456"/>
      <c r="H83" s="456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6" t="str">
        <f>VLOOKUP( $B85, T_Aop[], 6, 1)</f>
        <v xml:space="preserve">      7. Manjkovi, izuzimajući manjkove zaliha učinaka</v>
      </c>
      <c r="E85" s="456"/>
      <c r="F85" s="456"/>
      <c r="G85" s="456"/>
      <c r="H85" s="456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6" t="str">
        <f>VLOOKUP( $B87, T_Aop[], 6, 1)</f>
        <v xml:space="preserve">      9. Rashodi po osnovu ispravke vrijednosti i otpisa potraživanja</v>
      </c>
      <c r="E87" s="456"/>
      <c r="F87" s="456"/>
      <c r="G87" s="456"/>
      <c r="H87" s="456"/>
      <c r="I87" s="264">
        <f>VLOOKUP( $B87, T_Aop[], 4, 1)</f>
        <v>266</v>
      </c>
      <c r="J87" s="217">
        <v>0</v>
      </c>
      <c r="K87" s="218">
        <v>27876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600</v>
      </c>
      <c r="K88" s="216">
        <v>176025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7" t="str">
        <f>VLOOKUP( $B89, T_Aop[], 6, 1)</f>
        <v xml:space="preserve">  Ž. DOBITAK PO OSNOVU OSTALIH PRIHODA I RASHODA (246 - 257)</v>
      </c>
      <c r="E89" s="467"/>
      <c r="F89" s="467"/>
      <c r="G89" s="467"/>
      <c r="H89" s="467"/>
      <c r="I89" s="266">
        <f>VLOOKUP( $B89, T_Aop[], 4, 1)</f>
        <v>268</v>
      </c>
      <c r="J89" s="88">
        <f>IF( SUBTOTAL( 9, J67:J77) - SUBTOTAL( 9, J78:J88) &lt;= 0, 0, ABS( SUBTOTAL( 9, J67:J77) - SUBTOTAL( 9, J78:J88)) )</f>
        <v>28964</v>
      </c>
      <c r="K89" s="89">
        <f>IF( SUBTOTAL( 9, K67:K77) - SUBTOTAL( 9, K78:K88) &lt;= 0, 0, ABS( SUBTOTAL( 9, K67:K77) - SUBTOTAL( 9, K78:K88)) )</f>
        <v>54935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2" t="str">
        <f>VLOOKUP( $B90, T_Aop[], 6, 1)</f>
        <v xml:space="preserve">  Z. GUBITAK PO OSNOVU OSTALIH PRIHODA I RASHODA (257 - 246)</v>
      </c>
      <c r="E90" s="462"/>
      <c r="F90" s="462"/>
      <c r="G90" s="462"/>
      <c r="H90" s="462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7" t="str">
        <f>VLOOKUP( $B91, T_Aop[], 6, 1)</f>
        <v>I. PRIHODI I RASHODI OD USKLAĐIVANJA VRIJEDNOSTI IMOVINE</v>
      </c>
      <c r="E91" s="467"/>
      <c r="F91" s="467"/>
      <c r="G91" s="467"/>
      <c r="H91" s="467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2" t="str">
        <f>VLOOKUP( $B92, T_Aop[], 6, 1)</f>
        <v xml:space="preserve">    I - PRIHODI OD USKLAĐIVANJA VRIJEDNOSTI IMOVINE (271 do 279)</v>
      </c>
      <c r="E92" s="462"/>
      <c r="F92" s="462"/>
      <c r="G92" s="462"/>
      <c r="H92" s="462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6" t="str">
        <f>VLOOKUP( $B93, T_Aop[], 6, 1)</f>
        <v xml:space="preserve">      1. Prihodi od usklađivanja vrijednosti nematerijalnih sredstava</v>
      </c>
      <c r="E93" s="456"/>
      <c r="F93" s="456"/>
      <c r="G93" s="456"/>
      <c r="H93" s="456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6" t="str">
        <f>VLOOKUP( $B95, T_Aop[], 6, 1)</f>
        <v xml:space="preserve">      3. Prihodi od usklađivanja vrijednosti investicionih nekretnina za koje se obračunava amortizacija</v>
      </c>
      <c r="E95" s="456"/>
      <c r="F95" s="456"/>
      <c r="G95" s="456"/>
      <c r="H95" s="456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6" t="str">
        <f>VLOOKUP( $B97, T_Aop[], 6, 1)</f>
        <v xml:space="preserve">      5. Prihodi od usklađivanja vrijednosti dugoročnih finansijskih plasmana i finansijskih sredstava raspoloživih za prodaju</v>
      </c>
      <c r="E97" s="456"/>
      <c r="F97" s="456"/>
      <c r="G97" s="456"/>
      <c r="H97" s="456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6" t="str">
        <f>VLOOKUP( $B99, T_Aop[], 6, 1)</f>
        <v xml:space="preserve">      7. Prihodi od usklađivanja vrijednosti kratkoročnih finansijskih plasmana</v>
      </c>
      <c r="E99" s="456"/>
      <c r="F99" s="456"/>
      <c r="G99" s="456"/>
      <c r="H99" s="456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6" t="str">
        <f>VLOOKUP( $B101, T_Aop[], 6, 1)</f>
        <v xml:space="preserve">      9. Prihodi od usklađivanja vrijednosti ostale imovine</v>
      </c>
      <c r="E101" s="456"/>
      <c r="F101" s="456"/>
      <c r="G101" s="456"/>
      <c r="H101" s="456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2" t="str">
        <f>VLOOKUP( $B102, T_Aop[], 6, 1)</f>
        <v xml:space="preserve">    II - RASHODI OD USKLAĐIVANJA VRIJEDNOSTI IMOVINE (281 do 289)</v>
      </c>
      <c r="E102" s="462"/>
      <c r="F102" s="462"/>
      <c r="G102" s="462"/>
      <c r="H102" s="462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6" t="str">
        <f>VLOOKUP( $B103, T_Aop[], 6, 1)</f>
        <v xml:space="preserve">      1. Obezvrjeđenje nematerijalnih sredstava</v>
      </c>
      <c r="E103" s="456"/>
      <c r="F103" s="456"/>
      <c r="G103" s="456"/>
      <c r="H103" s="456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6" t="str">
        <f>VLOOKUP( $B105, T_Aop[], 6, 1)</f>
        <v xml:space="preserve">      3. Obezvrjeđenje investicionih nekretnina za koje se obračunava amortizacija</v>
      </c>
      <c r="E105" s="456"/>
      <c r="F105" s="456"/>
      <c r="G105" s="456"/>
      <c r="H105" s="456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6" t="str">
        <f>VLOOKUP( $B107, T_Aop[], 6, 1)</f>
        <v xml:space="preserve">      5. Obezvrjeđenje dugoročnih finansijskih plasmana i finansijskih sredstava raspoloživih za prodaju</v>
      </c>
      <c r="E107" s="456"/>
      <c r="F107" s="456"/>
      <c r="G107" s="456"/>
      <c r="H107" s="456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6" t="str">
        <f>VLOOKUP( $B109, T_Aop[], 6, 1)</f>
        <v xml:space="preserve">      7. Obezvrjeđenje kratkoročnih finansijskih plasmana</v>
      </c>
      <c r="E109" s="456"/>
      <c r="F109" s="456"/>
      <c r="G109" s="456"/>
      <c r="H109" s="456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6" t="str">
        <f>VLOOKUP( $B111, T_Aop[], 6, 1)</f>
        <v xml:space="preserve">      9. Obezvrjeđenje ostale imovine</v>
      </c>
      <c r="E111" s="456"/>
      <c r="F111" s="456"/>
      <c r="G111" s="456"/>
      <c r="H111" s="456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2" t="str">
        <f>VLOOKUP( $B112, T_Aop[], 6, 1)</f>
        <v xml:space="preserve">  J. DOBITAK PO OSNOVU USKLAĐIVANJA VRIJEDNOSTI IMOVINE (270 - 280)</v>
      </c>
      <c r="E112" s="462"/>
      <c r="F112" s="462"/>
      <c r="G112" s="462"/>
      <c r="H112" s="462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7" t="str">
        <f>VLOOKUP( $B113, T_Aop[], 6, 1)</f>
        <v xml:space="preserve">  K. GUBITAK PO OSNOVU USKLAĐIVANJA VRIJEDNOSTI IMOVINE (280 - 270)</v>
      </c>
      <c r="E113" s="467"/>
      <c r="F113" s="467"/>
      <c r="G113" s="467"/>
      <c r="H113" s="467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2" t="str">
        <f>VLOOKUP( $B114, T_Aop[], 6, 1)</f>
        <v xml:space="preserve">  L. PRIHODI PO OSNOVU PROMJENE RAČUNOVODSTVENIH POLITIKA I ISPRAVKE GREŠAKA IZ RANIJIH GODINA</v>
      </c>
      <c r="E114" s="462"/>
      <c r="F114" s="462"/>
      <c r="G114" s="462"/>
      <c r="H114" s="462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7" t="str">
        <f>VLOOKUP( $B115, T_Aop[], 6, 1)</f>
        <v xml:space="preserve">  LJ. RASHODI PO OSNOVU PROMJENE RAČUNOVODSTVENIH POLITIKA I ISPRAVKE GREŠAKA IZ RANIJIH GODINA</v>
      </c>
      <c r="E115" s="467"/>
      <c r="F115" s="467"/>
      <c r="G115" s="467"/>
      <c r="H115" s="467"/>
      <c r="I115" s="266">
        <f>VLOOKUP( $B115, T_Aop[], 4, 1)</f>
        <v>293</v>
      </c>
      <c r="J115" s="340">
        <v>1768</v>
      </c>
      <c r="K115" s="341">
        <v>0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2" t="str">
        <f>VLOOKUP( $B116, T_Aop[], 6, 1)</f>
        <v>M. DOBITAK I GUBITAK PRIJE OPOREZIVANJA</v>
      </c>
      <c r="E116" s="462"/>
      <c r="F116" s="462"/>
      <c r="G116" s="462"/>
      <c r="H116" s="462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6" t="str">
        <f>VLOOKUP( $B117, T_Aop[], 6, 1)</f>
        <v xml:space="preserve">    1. Dobitak prije oporezivanja (244 + 268 + 290 + 292 - 293 - 245 - 269 - 291)</v>
      </c>
      <c r="E117" s="456"/>
      <c r="F117" s="456"/>
      <c r="G117" s="456"/>
      <c r="H117" s="456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96438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161826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7" t="str">
        <f>VLOOKUP( $B119, T_Aop[], 6, 1)</f>
        <v>N. TEKUĆI I ODLOŽENI POREZ NA DOBIT</v>
      </c>
      <c r="E119" s="467"/>
      <c r="F119" s="467"/>
      <c r="G119" s="467"/>
      <c r="H119" s="467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>
        <v>6676</v>
      </c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6" t="str">
        <f>VLOOKUP( $B121, T_Aop[], 6, 1)</f>
        <v xml:space="preserve">    2. Odloženi poreski rashodi perioda</v>
      </c>
      <c r="E121" s="456"/>
      <c r="F121" s="456"/>
      <c r="G121" s="456"/>
      <c r="H121" s="456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7" t="str">
        <f>VLOOKUP( $B123, T_Aop[], 6, 1)</f>
        <v>NJ. NETO DOBITAK I NETO GUBITAK PERIODA</v>
      </c>
      <c r="E123" s="467"/>
      <c r="F123" s="467"/>
      <c r="G123" s="467"/>
      <c r="H123" s="467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89762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161826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6" t="str">
        <f>VLOOKUP( $B125, T_Aop[], 6, 1)</f>
        <v xml:space="preserve">    2. Neto gubitak tekuće godine (295 - 294 + 296 + 297 - 298)</v>
      </c>
      <c r="E125" s="456"/>
      <c r="F125" s="456"/>
      <c r="G125" s="456"/>
      <c r="H125" s="456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2" t="str">
        <f>VLOOKUP( $B126, T_Aop[], 6, 1)</f>
        <v>UKUPNI PRIHODI (201 + 231 + 246 + 270 + 292)</v>
      </c>
      <c r="E126" s="462"/>
      <c r="F126" s="462"/>
      <c r="G126" s="462"/>
      <c r="H126" s="462"/>
      <c r="I126" s="265">
        <f>VLOOKUP( $B126, T_Aop[], 4, 1)</f>
        <v>301</v>
      </c>
      <c r="J126" s="84">
        <f>SUBTOTAL( 9, J20:J30, J32, J34, J51:J57, J67:J77, J92:J101, J114) - SUBTOTAL( 9, J31, J33)</f>
        <v>294760</v>
      </c>
      <c r="K126" s="85">
        <f>SUBTOTAL( 9, K20:K30, K32, K34, K51:K57, K67:K77, K92:K101, K114) - SUBTOTAL( 9, K31, K33)</f>
        <v>509360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4" t="str">
        <f>VLOOKUP( $B127, T_Aop[], 6, 1)</f>
        <v>UKUPNI RASHODI (216 + 238 + 257 + 280 + 293)</v>
      </c>
      <c r="E127" s="465"/>
      <c r="F127" s="465"/>
      <c r="G127" s="465"/>
      <c r="H127" s="466"/>
      <c r="I127" s="266">
        <f>VLOOKUP( $B127, T_Aop[], 4, 1)</f>
        <v>302</v>
      </c>
      <c r="J127" s="91">
        <f>SUBTOTAL( 9, J35:J47, J58:J63, J78:J88, J102:J111, J115)</f>
        <v>198322</v>
      </c>
      <c r="K127" s="92">
        <f>SUBTOTAL( 9, K35:K47, K58:K63, K78:K88, K102:K111, K115)</f>
        <v>347534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2" t="str">
        <f>VLOOKUP( $B128, T_Aop[], 6, 1)</f>
        <v xml:space="preserve">  O. MEĐUDIVIDENDE I DRUGI VIDOVI RASPODJELE DOBITKA U TOKU PERIODA</v>
      </c>
      <c r="E128" s="462"/>
      <c r="F128" s="462"/>
      <c r="G128" s="462"/>
      <c r="H128" s="462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6" t="str">
        <f>VLOOKUP( $B129, T_Aop[], 6, 1)</f>
        <v>Dio neto dobitka/gubitka koji pripada većinskim vlasnicima</v>
      </c>
      <c r="E129" s="456"/>
      <c r="F129" s="456"/>
      <c r="G129" s="456"/>
      <c r="H129" s="456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6" t="str">
        <f>VLOOKUP( $B131, T_Aop[], 6, 1)</f>
        <v>Obična zarada po akciji</v>
      </c>
      <c r="E131" s="456"/>
      <c r="F131" s="456"/>
      <c r="G131" s="456"/>
      <c r="H131" s="456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6" t="str">
        <f>VLOOKUP( $B133, T_Aop[], 6, 1)</f>
        <v>Prosječan broj zaposlenih po osnovu časova rada</v>
      </c>
      <c r="E133" s="456"/>
      <c r="F133" s="456"/>
      <c r="G133" s="456"/>
      <c r="H133" s="456"/>
      <c r="I133" s="264">
        <f>VLOOKUP( $B133, T_Aop[], 4, 1)</f>
        <v>308</v>
      </c>
      <c r="J133" s="344">
        <v>0</v>
      </c>
      <c r="K133" s="345">
        <v>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7" t="str">
        <f>VLOOKUP( $B134, T_Aop[], 6, 1)</f>
        <v>Prosječan broj zaposlenih po osnovu stanja na kraju mjeseca</v>
      </c>
      <c r="E134" s="457"/>
      <c r="F134" s="457"/>
      <c r="G134" s="457"/>
      <c r="H134" s="457"/>
      <c r="I134" s="304">
        <f>VLOOKUP( $B134, T_Aop[], 4, 1)</f>
        <v>309</v>
      </c>
      <c r="J134" s="348">
        <v>0</v>
      </c>
      <c r="K134" s="349">
        <v>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Banjoj Luci</v>
      </c>
      <c r="E136"/>
      <c r="G136"/>
      <c r="H136" s="154" t="str">
        <f>Podnozje_Lice_sa_licencom</f>
        <v>Lice sa licencom:</v>
      </c>
      <c r="I136" s="270" t="str">
        <f>Podatak_Lice_sa_licencom</f>
        <v>Dragana Barac, SR-1652/17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24.02.2017.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Dragana Garača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D29" sqref="D29:H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2" t="str">
        <f>Podatak_MB</f>
        <v>11189511</v>
      </c>
      <c r="E5" s="472"/>
      <c r="I5" s="17" t="str">
        <f>Zaglavlje_Ziro_racun</f>
        <v>Poslovni računi:</v>
      </c>
      <c r="J5" s="468" t="str">
        <f>Podatak_Ziro_racun_1</f>
        <v>562-099-00000966-21</v>
      </c>
      <c r="K5" s="468"/>
    </row>
    <row r="6" spans="2:11" ht="12.75" customHeight="1" x14ac:dyDescent="0.2">
      <c r="B6" s="17"/>
      <c r="C6" s="16" t="str">
        <f>Zaglavlje_Sifra_djelatnosti</f>
        <v>Šifra djelatnosti:</v>
      </c>
      <c r="D6" s="472" t="str">
        <f>Podatak_Sifra_djelatnosti</f>
        <v>68.20</v>
      </c>
      <c r="E6" s="472"/>
      <c r="F6" s="9"/>
      <c r="J6" s="468" t="str">
        <f>Podatak_Ziro_racun_2</f>
        <v/>
      </c>
      <c r="K6" s="468"/>
    </row>
    <row r="7" spans="2:11" ht="12.75" customHeight="1" x14ac:dyDescent="0.2">
      <c r="B7" s="17"/>
      <c r="C7" s="473" t="str">
        <f>Zaglavlje_Naziv_preduzeca</f>
        <v>Naziv privrednog društva, zadruge, drugog pravnog lica ili preduzetnika:</v>
      </c>
      <c r="D7" s="473"/>
      <c r="E7" s="473"/>
      <c r="F7" s="19"/>
      <c r="J7" s="468" t="str">
        <f>Podatak_Ziro_racun_3</f>
        <v/>
      </c>
      <c r="K7" s="468"/>
    </row>
    <row r="8" spans="2:11" ht="12.75" customHeight="1" x14ac:dyDescent="0.2">
      <c r="B8" s="17"/>
      <c r="C8" s="473"/>
      <c r="D8" s="473"/>
      <c r="E8" s="473"/>
      <c r="F8" s="19"/>
      <c r="J8" s="468" t="str">
        <f>Podatak_Ziro_racun_4</f>
        <v/>
      </c>
      <c r="K8" s="468"/>
    </row>
    <row r="9" spans="2:11" ht="12.75" customHeight="1" x14ac:dyDescent="0.2">
      <c r="B9" s="17"/>
      <c r="C9" s="475" t="str">
        <f>Podatak_Naziv_preduzeca</f>
        <v>"ČAJAVEC SERVIS I PROMET" AD BANJA LUKA</v>
      </c>
      <c r="D9" s="475"/>
      <c r="E9" s="475"/>
      <c r="F9" s="475"/>
      <c r="J9" s="468" t="str">
        <f>Podatak_Ziro_racun_5</f>
        <v/>
      </c>
      <c r="K9" s="468"/>
    </row>
    <row r="10" spans="2:11" ht="12.75" customHeight="1" x14ac:dyDescent="0.2">
      <c r="B10" s="17"/>
      <c r="C10" s="16" t="str">
        <f>Zaglavlje_Sjediste</f>
        <v>Sjedište:</v>
      </c>
      <c r="D10" s="472" t="str">
        <f>Podatak_Sjediste</f>
        <v>Veselina Masleše 1/IX, Banja Luka</v>
      </c>
      <c r="E10" s="472"/>
      <c r="F10" s="16"/>
      <c r="J10" s="468" t="str">
        <f>Podatak_Ziro_racun_6</f>
        <v/>
      </c>
      <c r="K10" s="468"/>
    </row>
    <row r="11" spans="2:11" ht="12.75" customHeight="1" x14ac:dyDescent="0.2">
      <c r="B11" s="17"/>
      <c r="C11" s="16" t="str">
        <f>Zaglavlje_JIB</f>
        <v>JIB:</v>
      </c>
      <c r="D11" s="472" t="str">
        <f>Podatak_JIB</f>
        <v>4400893570007</v>
      </c>
      <c r="E11" s="472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5" t="str">
        <f>IF( Id_Konsolidovani, Nazivi_bilansa_Konsolidovani_naziv &amp; LOWER( Nazivi_bilansa_BUb), Nazivi_bilansa_BUb)</f>
        <v>Izvještaj</v>
      </c>
      <c r="D12" s="455"/>
      <c r="E12" s="455"/>
      <c r="F12" s="455"/>
      <c r="G12" s="455"/>
      <c r="H12" s="455"/>
      <c r="I12" s="455"/>
      <c r="J12" s="455"/>
      <c r="K12" s="455"/>
    </row>
    <row r="13" spans="2:11" ht="14.25" x14ac:dyDescent="0.2">
      <c r="B13" s="17"/>
      <c r="C13" s="478" t="str">
        <f>Nazivi_bilansa_BUb1</f>
        <v>o ostalim dobicima i gubicima perioda</v>
      </c>
      <c r="D13" s="478"/>
      <c r="E13" s="478"/>
      <c r="F13" s="478"/>
      <c r="G13" s="478"/>
      <c r="H13" s="478"/>
      <c r="I13" s="478"/>
      <c r="J13" s="478"/>
      <c r="K13" s="478"/>
    </row>
    <row r="14" spans="2:11" ht="12.75" customHeight="1" x14ac:dyDescent="0.2">
      <c r="B14" s="17"/>
      <c r="C14" s="471" t="str">
        <f>Datumi_Datum_BU</f>
        <v>za period od 01.01. do 31.12.2016. godine</v>
      </c>
      <c r="D14" s="471"/>
      <c r="E14" s="471"/>
      <c r="F14" s="471"/>
      <c r="G14" s="471"/>
      <c r="H14" s="471"/>
      <c r="I14" s="471"/>
      <c r="J14" s="471"/>
      <c r="K14" s="471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9" t="str">
        <f>Tabele_zaglavlje_Grupa_racuna</f>
        <v>Grupa računa, račun</v>
      </c>
      <c r="D16" s="460" t="str">
        <f>Tabele_zaglavlje_Pozicija</f>
        <v>POZICIJA</v>
      </c>
      <c r="E16" s="460"/>
      <c r="F16" s="460"/>
      <c r="G16" s="460"/>
      <c r="H16" s="460"/>
      <c r="I16" s="458" t="str">
        <f>Tabele_zaglavlje_Oznaka_aop</f>
        <v>Oznaka za AOP</v>
      </c>
      <c r="J16" s="460" t="str">
        <f>Tabele_zaglavlje_Iznos</f>
        <v>Iznos</v>
      </c>
      <c r="K16" s="461"/>
    </row>
    <row r="17" spans="2:15" ht="25.5" customHeight="1" x14ac:dyDescent="0.2">
      <c r="B17" s="17"/>
      <c r="C17" s="470"/>
      <c r="D17" s="474"/>
      <c r="E17" s="474"/>
      <c r="F17" s="474"/>
      <c r="G17" s="474"/>
      <c r="H17" s="474"/>
      <c r="I17" s="459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6">
        <v>2</v>
      </c>
      <c r="E18" s="476"/>
      <c r="F18" s="476"/>
      <c r="G18" s="476"/>
      <c r="H18" s="476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9" t="str">
        <f>VLOOKUP( $B19, T_Aop[], 6, 1)</f>
        <v>A. NETO DOBITAK ILI NETO GUBITAK PERIODA (299 ili 300)</v>
      </c>
      <c r="E19" s="479"/>
      <c r="F19" s="479"/>
      <c r="G19" s="479"/>
      <c r="H19" s="479"/>
      <c r="I19" s="102">
        <f>VLOOKUP( $B19, T_Aop[], 4, 1)</f>
        <v>400</v>
      </c>
      <c r="J19" s="103">
        <f>'02a'!J124 - '02a'!J125</f>
        <v>89762</v>
      </c>
      <c r="K19" s="104">
        <f>'02a'!K124 - '02a'!K125</f>
        <v>161826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1" t="str">
        <f>VLOOKUP( $B22, T_Aop[], 6, 1)</f>
        <v xml:space="preserve">    2. Dobici po osnovu promjene fer vrijednosti HOV raspoloživih za prodaju</v>
      </c>
      <c r="E22" s="481"/>
      <c r="F22" s="481"/>
      <c r="G22" s="481"/>
      <c r="H22" s="481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1" t="str">
        <f>VLOOKUP( $B24, T_Aop[], 6, 1)</f>
        <v xml:space="preserve">    4. Aktuarski dobici od planova definisanih primanja</v>
      </c>
      <c r="E24" s="481"/>
      <c r="F24" s="481"/>
      <c r="G24" s="481"/>
      <c r="H24" s="481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1" t="str">
        <f>VLOOKUP( $B26, T_Aop[], 6, 1)</f>
        <v xml:space="preserve">    6. Ostali dobici utvrđeni direktno u kapitalu</v>
      </c>
      <c r="E26" s="481"/>
      <c r="F26" s="481"/>
      <c r="G26" s="481"/>
      <c r="H26" s="481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2" t="str">
        <f>VLOOKUP( $B27, T_Aop[], 6, 1)</f>
        <v xml:space="preserve">  II - GUBICI UTVRĐENI DIREKTNO U KAPITALU (409 do 413)</v>
      </c>
      <c r="E27" s="462"/>
      <c r="F27" s="462"/>
      <c r="G27" s="462"/>
      <c r="H27" s="462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1" t="str">
        <f>VLOOKUP( $B28, T_Aop[], 6, 1)</f>
        <v xml:space="preserve">    1. Gubici po osnovu promjene fer vrijednosti HOV raspoloživih za prodaju</v>
      </c>
      <c r="E28" s="481"/>
      <c r="F28" s="481"/>
      <c r="G28" s="481"/>
      <c r="H28" s="481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1" t="str">
        <f>VLOOKUP( $B30, T_Aop[], 6, 1)</f>
        <v xml:space="preserve">    3. Aktuarski gubici od planova definisanih primanja</v>
      </c>
      <c r="E30" s="481"/>
      <c r="F30" s="481"/>
      <c r="G30" s="481"/>
      <c r="H30" s="481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1" t="str">
        <f>VLOOKUP( $B32, T_Aop[], 6, 1)</f>
        <v xml:space="preserve">    5. Ostali gubici utvrđeni direktno u kapitalu</v>
      </c>
      <c r="E32" s="481"/>
      <c r="F32" s="481"/>
      <c r="G32" s="481"/>
      <c r="H32" s="481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2" t="str">
        <f>VLOOKUP( $B33, T_Aop[], 6, 1)</f>
        <v>B. OSTALI DOBICI ILI GUBICI U PERIODU (401 - 408) ili (408 - 401)</v>
      </c>
      <c r="E33" s="462"/>
      <c r="F33" s="462"/>
      <c r="G33" s="462"/>
      <c r="H33" s="462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2" t="str">
        <f>VLOOKUP( $B35, T_Aop[], 6, 1)</f>
        <v>G. NETO REZULTAT PO OSNOVU OSTALIH DOBITAKA I GUBITAKA U PERIODU (414 ± 415)</v>
      </c>
      <c r="E35" s="462"/>
      <c r="F35" s="462"/>
      <c r="G35" s="462"/>
      <c r="H35" s="462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2" t="str">
        <f>VLOOKUP( $B37, T_Aop[], 6, 1)</f>
        <v xml:space="preserve">  I - UKUPAN NETO DOBITAK U OBRAČUNSKOM PERIODU (400 ± 416)</v>
      </c>
      <c r="E37" s="462"/>
      <c r="F37" s="462"/>
      <c r="G37" s="462"/>
      <c r="H37" s="462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89762</v>
      </c>
      <c r="K37" s="108">
        <f>IF( SUBTOTAL( 9, K19, K20:K26) - SUBTOTAL( 9, K27:K32, K34) &lt;= 0, 0, ABS( SUBTOTAL( 9, K19, K20:K26) - SUBTOTAL( 9, K27:K32, K34) ))</f>
        <v>161826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2" t="str">
        <f>VLOOKUP( $B38, T_Aop[], 6, 1)</f>
        <v xml:space="preserve">  II - UKUPAN NETO GUBITAK U OBRAČUNSKOM PERIODU (400 ± 416)</v>
      </c>
      <c r="E38" s="482"/>
      <c r="F38" s="482"/>
      <c r="G38" s="482"/>
      <c r="H38" s="482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Banjoj Luci</v>
      </c>
      <c r="E40"/>
      <c r="G40"/>
      <c r="H40" s="154" t="str">
        <f>Podnozje_Lice_sa_licencom</f>
        <v>Lice sa licencom:</v>
      </c>
      <c r="I40" s="270" t="str">
        <f>Podatak_Lice_sa_licencom</f>
        <v>Dragana Barac, SR-1652/17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24.02.2017.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Dragana Garača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5" activePane="bottomLeft" state="frozen"/>
      <selection activeCell="D15" sqref="D15"/>
      <selection pane="bottomLeft" activeCell="J55" sqref="J5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2" t="str">
        <f>Podatak_MB</f>
        <v>11189511</v>
      </c>
      <c r="E5" s="472"/>
      <c r="I5" s="17" t="str">
        <f>Zaglavlje_Ziro_racun</f>
        <v>Poslovni računi:</v>
      </c>
      <c r="J5" s="468" t="str">
        <f>Podatak_Ziro_racun_1</f>
        <v>562-099-00000966-21</v>
      </c>
      <c r="K5" s="468"/>
    </row>
    <row r="6" spans="3:13" x14ac:dyDescent="0.2">
      <c r="C6" s="16" t="str">
        <f>Zaglavlje_Sifra_djelatnosti</f>
        <v>Šifra djelatnosti:</v>
      </c>
      <c r="D6" s="472" t="str">
        <f>Podatak_Sifra_djelatnosti</f>
        <v>68.20</v>
      </c>
      <c r="E6" s="472"/>
      <c r="F6" s="9"/>
      <c r="J6" s="468" t="str">
        <f>Podatak_Ziro_racun_2</f>
        <v/>
      </c>
      <c r="K6" s="468"/>
    </row>
    <row r="7" spans="3:13" x14ac:dyDescent="0.2">
      <c r="C7" s="473" t="str">
        <f>Zaglavlje_Naziv_preduzeca</f>
        <v>Naziv privrednog društva, zadruge, drugog pravnog lica ili preduzetnika:</v>
      </c>
      <c r="D7" s="473"/>
      <c r="E7" s="473"/>
      <c r="F7" s="19"/>
      <c r="J7" s="468" t="str">
        <f>Podatak_Ziro_racun_3</f>
        <v/>
      </c>
      <c r="K7" s="468"/>
    </row>
    <row r="8" spans="3:13" x14ac:dyDescent="0.2">
      <c r="C8" s="473"/>
      <c r="D8" s="473"/>
      <c r="E8" s="473"/>
      <c r="F8" s="19"/>
      <c r="J8" s="468" t="str">
        <f>Podatak_Ziro_racun_4</f>
        <v/>
      </c>
      <c r="K8" s="468"/>
    </row>
    <row r="9" spans="3:13" x14ac:dyDescent="0.2">
      <c r="C9" s="475" t="str">
        <f>Podatak_Naziv_preduzeca</f>
        <v>"ČAJAVEC SERVIS I PROMET" AD BANJA LUKA</v>
      </c>
      <c r="D9" s="475"/>
      <c r="E9" s="475"/>
      <c r="F9" s="475"/>
      <c r="J9" s="468" t="str">
        <f>Podatak_Ziro_racun_5</f>
        <v/>
      </c>
      <c r="K9" s="468"/>
    </row>
    <row r="10" spans="3:13" x14ac:dyDescent="0.2">
      <c r="C10" s="16" t="str">
        <f>Zaglavlje_Sjediste</f>
        <v>Sjedište:</v>
      </c>
      <c r="D10" s="472" t="str">
        <f>Podatak_Sjediste</f>
        <v>Veselina Masleše 1/IX, Banja Luka</v>
      </c>
      <c r="E10" s="472"/>
      <c r="F10" s="16"/>
      <c r="J10" s="468" t="str">
        <f>Podatak_Ziro_racun_6</f>
        <v/>
      </c>
      <c r="K10" s="468"/>
    </row>
    <row r="11" spans="3:13" x14ac:dyDescent="0.2">
      <c r="C11" s="16" t="str">
        <f>Zaglavlje_JIB</f>
        <v>JIB:</v>
      </c>
      <c r="D11" s="472" t="str">
        <f>Podatak_JIB</f>
        <v>4400893570007</v>
      </c>
      <c r="E11" s="472"/>
      <c r="F11" s="20"/>
      <c r="G11" s="20"/>
      <c r="H11" s="20"/>
      <c r="I11" s="20"/>
      <c r="J11"/>
      <c r="K11"/>
    </row>
    <row r="12" spans="3:13" ht="15.75" x14ac:dyDescent="0.2">
      <c r="C12" s="484" t="str">
        <f>IF( Id_Konsolidovani, Nazivi_bilansa_Konsolidovani_naziv &amp; LOWER( Nazivi_bilansa_BTG), Nazivi_bilansa_BTG)</f>
        <v>Bilans tokova gotovine</v>
      </c>
      <c r="D12" s="484"/>
      <c r="E12" s="484"/>
      <c r="F12" s="484"/>
      <c r="G12" s="484"/>
      <c r="H12" s="484"/>
      <c r="I12" s="484"/>
      <c r="J12" s="484"/>
      <c r="K12" s="484"/>
    </row>
    <row r="13" spans="3:13" x14ac:dyDescent="0.2">
      <c r="C13" s="485" t="str">
        <f>Nazivi_bilansa_BTG1</f>
        <v>(Izvještaj o tokovima gotovine)</v>
      </c>
      <c r="D13" s="485"/>
      <c r="E13" s="485"/>
      <c r="F13" s="485"/>
      <c r="G13" s="485"/>
      <c r="H13" s="485"/>
      <c r="I13" s="485"/>
      <c r="J13" s="485"/>
      <c r="K13" s="485"/>
    </row>
    <row r="14" spans="3:13" x14ac:dyDescent="0.2">
      <c r="C14" s="485" t="str">
        <f>Datumi_Datum_BTG</f>
        <v>za period od 01.01. do 31.12.2016. godine</v>
      </c>
      <c r="D14" s="485"/>
      <c r="E14" s="485"/>
      <c r="F14" s="485"/>
      <c r="G14" s="485"/>
      <c r="H14" s="485"/>
      <c r="I14" s="485"/>
      <c r="J14" s="485"/>
      <c r="K14" s="485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9" t="str">
        <f>Tabele_zaglavlje_Redni_broj</f>
        <v>Redni broj</v>
      </c>
      <c r="D16" s="460" t="str">
        <f>Tabele_zaglavlje_Pozicija</f>
        <v>POZICIJA</v>
      </c>
      <c r="E16" s="460"/>
      <c r="F16" s="460"/>
      <c r="G16" s="460"/>
      <c r="H16" s="460"/>
      <c r="I16" s="458" t="str">
        <f>Tabele_zaglavlje_Oznaka_aop</f>
        <v>Oznaka za AOP</v>
      </c>
      <c r="J16" s="460" t="str">
        <f>Tabele_zaglavlje_Iznos</f>
        <v>Iznos</v>
      </c>
      <c r="K16" s="461"/>
      <c r="M16" s="57"/>
    </row>
    <row r="17" spans="2:15" ht="25.5" x14ac:dyDescent="0.2">
      <c r="C17" s="470"/>
      <c r="D17" s="474"/>
      <c r="E17" s="474"/>
      <c r="F17" s="474"/>
      <c r="G17" s="474"/>
      <c r="H17" s="474"/>
      <c r="I17" s="459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6">
        <v>2</v>
      </c>
      <c r="E18" s="476"/>
      <c r="F18" s="476"/>
      <c r="G18" s="476"/>
      <c r="H18" s="476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7" t="str">
        <f>VLOOKUP( $B19, T_Aop[], 6, 1)</f>
        <v>A. TOKOVI GOTOVINE IZ POSLOVNIH AKTIVNOSTI</v>
      </c>
      <c r="E19" s="477"/>
      <c r="F19" s="477"/>
      <c r="G19" s="477"/>
      <c r="H19" s="477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2" t="str">
        <f>VLOOKUP( $B20, T_Aop[], 6, 1)</f>
        <v xml:space="preserve">  I - PRILIVI GOTOVINE IZ POSLOVNIH AKTIVNOSTI (502 do 504)</v>
      </c>
      <c r="E20" s="462"/>
      <c r="F20" s="462"/>
      <c r="G20" s="462"/>
      <c r="H20" s="462"/>
      <c r="I20" s="83">
        <f>VLOOKUP( $B20, T_Aop[], 4, 1)</f>
        <v>501</v>
      </c>
      <c r="J20" s="84">
        <f>SUBTOTAL( 9, J21:J23)</f>
        <v>341907</v>
      </c>
      <c r="K20" s="85">
        <f>SUBTOTAL( 9, K21:K23)</f>
        <v>447891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6" t="str">
        <f>VLOOKUP( $B21, T_Aop[], 6, 1)</f>
        <v xml:space="preserve">    1. Prilivi od kupaca i primljeni avansi</v>
      </c>
      <c r="E21" s="456"/>
      <c r="F21" s="456"/>
      <c r="G21" s="456"/>
      <c r="H21" s="456"/>
      <c r="I21" s="114">
        <f>VLOOKUP( $B21, T_Aop[], 4, 1)</f>
        <v>502</v>
      </c>
      <c r="J21" s="217">
        <v>318598</v>
      </c>
      <c r="K21" s="218">
        <v>393673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6" t="str">
        <f>VLOOKUP( $B23, T_Aop[], 6, 1)</f>
        <v xml:space="preserve">    3. Ostali prilivi iz poslovnih aktivnosti</v>
      </c>
      <c r="E23" s="456"/>
      <c r="F23" s="456"/>
      <c r="G23" s="456"/>
      <c r="H23" s="456"/>
      <c r="I23" s="114">
        <f>VLOOKUP( $B23, T_Aop[], 4, 1)</f>
        <v>504</v>
      </c>
      <c r="J23" s="219">
        <v>23309</v>
      </c>
      <c r="K23" s="220">
        <v>54218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62" t="str">
        <f>VLOOKUP( $B24, T_Aop[], 6, 1)</f>
        <v xml:space="preserve">  II - ODLIVI GOTOVINE IZ POSLOVNIH AKTIVNOSTI (506 do 510)</v>
      </c>
      <c r="E24" s="462"/>
      <c r="F24" s="462"/>
      <c r="G24" s="462"/>
      <c r="H24" s="462"/>
      <c r="I24" s="83">
        <f>VLOOKUP( $B24, T_Aop[], 4, 1)</f>
        <v>505</v>
      </c>
      <c r="J24" s="84">
        <f>SUBTOTAL( 9, J25:J29)</f>
        <v>306597</v>
      </c>
      <c r="K24" s="85">
        <f>SUBTOTAL( 9, K25:K29)</f>
        <v>693618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6" t="str">
        <f>VLOOKUP( $B25, T_Aop[], 6, 1)</f>
        <v xml:space="preserve">    1. Odlivi po osnovu isplata dobavljačima i dati avansi</v>
      </c>
      <c r="E25" s="456"/>
      <c r="F25" s="456"/>
      <c r="G25" s="456"/>
      <c r="H25" s="456"/>
      <c r="I25" s="114">
        <f>VLOOKUP( $B25, T_Aop[], 4, 1)</f>
        <v>506</v>
      </c>
      <c r="J25" s="217">
        <v>167377</v>
      </c>
      <c r="K25" s="218">
        <v>353480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951</v>
      </c>
      <c r="K26" s="216">
        <v>22801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6" t="str">
        <f>VLOOKUP( $B27, T_Aop[], 6, 1)</f>
        <v xml:space="preserve">    3. Odlivi po osnovu plaćenih kamata</v>
      </c>
      <c r="E27" s="456"/>
      <c r="F27" s="456"/>
      <c r="G27" s="456"/>
      <c r="H27" s="456"/>
      <c r="I27" s="114">
        <f>VLOOKUP( $B27, T_Aop[], 4, 1)</f>
        <v>508</v>
      </c>
      <c r="J27" s="217">
        <v>22643</v>
      </c>
      <c r="K27" s="218">
        <v>8008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6" t="str">
        <f>VLOOKUP( $B29, T_Aop[], 6, 1)</f>
        <v xml:space="preserve">    5. Ostali odlivi iz poslovnih aktivnosti</v>
      </c>
      <c r="E29" s="456"/>
      <c r="F29" s="456"/>
      <c r="G29" s="456"/>
      <c r="H29" s="456"/>
      <c r="I29" s="114">
        <f>VLOOKUP( $B29, T_Aop[], 4, 1)</f>
        <v>510</v>
      </c>
      <c r="J29" s="217">
        <v>115626</v>
      </c>
      <c r="K29" s="218">
        <v>309329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2" t="str">
        <f>VLOOKUP( $B30, T_Aop[], 6, 1)</f>
        <v xml:space="preserve">  III - NETO PRILIV GOTOVINE IZ POSLOVNIH AKTIVNOSTI (501 - 505)</v>
      </c>
      <c r="E30" s="462"/>
      <c r="F30" s="462"/>
      <c r="G30" s="462"/>
      <c r="H30" s="462"/>
      <c r="I30" s="83">
        <f>VLOOKUP( $B30, T_Aop[], 4, 1)</f>
        <v>511</v>
      </c>
      <c r="J30" s="84">
        <f>IF( SUBTOTAL( 9, J20:J23) - SUBTOTAL( 9, J24:J29) &lt;= 0, 0, ABS( SUBTOTAL( 9, J20:J23) - SUBTOTAL( 9, J24:J29)) )</f>
        <v>35310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7" t="str">
        <f>VLOOKUP( $B31, T_Aop[], 6, 1)</f>
        <v xml:space="preserve">  IV - NETO ODLIV GOTOVINE IZ POSLOVNIH AKTIVNOSTI (505 - 501)</v>
      </c>
      <c r="E31" s="467"/>
      <c r="F31" s="467"/>
      <c r="G31" s="467"/>
      <c r="H31" s="467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245727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2" t="str">
        <f>VLOOKUP( $B32, T_Aop[], 6, 1)</f>
        <v>B. TOKOVI GOTOVINE IZ AKTIVNOSTI INVESTIRANJA</v>
      </c>
      <c r="E32" s="462"/>
      <c r="F32" s="462"/>
      <c r="G32" s="462"/>
      <c r="H32" s="462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7" t="str">
        <f>VLOOKUP( $B33, T_Aop[], 6, 1)</f>
        <v xml:space="preserve">  I - PRILIVI GOTOVINE IZ AKTIVNOSTI INVESTIRANJA (514 do 519)</v>
      </c>
      <c r="E33" s="467"/>
      <c r="F33" s="467"/>
      <c r="G33" s="467"/>
      <c r="H33" s="467"/>
      <c r="I33" s="114">
        <f>VLOOKUP( $B33, T_Aop[], 4, 1)</f>
        <v>513</v>
      </c>
      <c r="J33" s="91">
        <f>SUBTOTAL( 9, J34:J39)</f>
        <v>0</v>
      </c>
      <c r="K33" s="92">
        <f>SUBTOTAL( 9, K34:K39)</f>
        <v>27454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6" t="str">
        <f>VLOOKUP( $B35, T_Aop[], 6, 1)</f>
        <v xml:space="preserve">    2. Prilivi po osnovu prodaje akcija i udjela</v>
      </c>
      <c r="E35" s="456"/>
      <c r="F35" s="456"/>
      <c r="G35" s="456"/>
      <c r="H35" s="456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>
        <v>0</v>
      </c>
      <c r="K36" s="216">
        <v>27454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6" t="str">
        <f>VLOOKUP( $B37, T_Aop[], 6, 1)</f>
        <v xml:space="preserve">    4. Prilivi po osnovu kamata</v>
      </c>
      <c r="E37" s="456"/>
      <c r="F37" s="456"/>
      <c r="G37" s="456"/>
      <c r="H37" s="456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6" t="str">
        <f>VLOOKUP( $B39, T_Aop[], 6, 1)</f>
        <v xml:space="preserve">    6. Prilivi po osnovu ostalih dugoročnih finansijskih plasmana</v>
      </c>
      <c r="E39" s="456"/>
      <c r="F39" s="456"/>
      <c r="G39" s="456"/>
      <c r="H39" s="456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62" t="str">
        <f>VLOOKUP( $B40, T_Aop[], 6, 1)</f>
        <v xml:space="preserve">  II - ODLIVI GOTOVINE IZ AKTIVNOSTI INVESTIRANJA (521 do 524)</v>
      </c>
      <c r="E40" s="462"/>
      <c r="F40" s="462"/>
      <c r="G40" s="462"/>
      <c r="H40" s="462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6" t="str">
        <f>VLOOKUP( $B41, T_Aop[], 6, 1)</f>
        <v xml:space="preserve">    1. Odlivi po osnovu kratkoročnih finansijskih plasmana</v>
      </c>
      <c r="E41" s="456"/>
      <c r="F41" s="456"/>
      <c r="G41" s="456"/>
      <c r="H41" s="456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6" t="str">
        <f>VLOOKUP( $B43, T_Aop[], 6, 1)</f>
        <v xml:space="preserve">    3. Odlivi po osnovu kupovine nematerijalnih sredstava, nekretnina, postrojenja, opreme, investicionih nekretnina i bioloških sredstava</v>
      </c>
      <c r="E43" s="456"/>
      <c r="F43" s="456"/>
      <c r="G43" s="456"/>
      <c r="H43" s="456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7" t="str">
        <f>VLOOKUP( $B45, T_Aop[], 6, 1)</f>
        <v xml:space="preserve">  III - NETO PRILIV GOTOVINE IZ AKTIVNOSTI INVESTIRANJA (513 - 520)</v>
      </c>
      <c r="E45" s="467"/>
      <c r="F45" s="467"/>
      <c r="G45" s="467"/>
      <c r="H45" s="467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27454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2" t="str">
        <f>VLOOKUP( $B46, T_Aop[], 6, 1)</f>
        <v xml:space="preserve">  IV - NETO ODLIV GOTOVINE IZ AKTIVNOSTI INVESTIRANJA (520 - 513)</v>
      </c>
      <c r="E46" s="462"/>
      <c r="F46" s="462"/>
      <c r="G46" s="462"/>
      <c r="H46" s="462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7" t="str">
        <f>VLOOKUP( $B47, T_Aop[], 6, 1)</f>
        <v>V. TOKOVI GOTOVINE IZ AKTIVNOSTI FINANSIRANJA</v>
      </c>
      <c r="E47" s="467"/>
      <c r="F47" s="467"/>
      <c r="G47" s="467"/>
      <c r="H47" s="467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2" t="str">
        <f>VLOOKUP( $B48, T_Aop[], 6, 1)</f>
        <v xml:space="preserve">  I - PRILIV GOTOVINE IZ AKTIVNOSTI FINANSIRANJA (528 do 531)</v>
      </c>
      <c r="E48" s="462"/>
      <c r="F48" s="462"/>
      <c r="G48" s="462"/>
      <c r="H48" s="462"/>
      <c r="I48" s="83">
        <f>VLOOKUP( $B48, T_Aop[], 4, 1)</f>
        <v>527</v>
      </c>
      <c r="J48" s="84">
        <f>SUBTOTAL( 9, J49:J52)</f>
        <v>210000</v>
      </c>
      <c r="K48" s="85">
        <f>SUBTOTAL( 9, K49:K52)</f>
        <v>363300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6" t="str">
        <f>VLOOKUP( $B49, T_Aop[], 6, 1)</f>
        <v xml:space="preserve">    1. Prilivi po osnovu povećanja osnovnog kapitala</v>
      </c>
      <c r="E49" s="456"/>
      <c r="F49" s="456"/>
      <c r="G49" s="456"/>
      <c r="H49" s="456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>
        <v>190000</v>
      </c>
      <c r="K50" s="216">
        <v>160000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6" t="str">
        <f>VLOOKUP( $B51, T_Aop[], 6, 1)</f>
        <v xml:space="preserve">    3. Prilivi po osnovu kratkoročnih kredita</v>
      </c>
      <c r="E51" s="456"/>
      <c r="F51" s="456"/>
      <c r="G51" s="456"/>
      <c r="H51" s="456"/>
      <c r="I51" s="114">
        <f>VLOOKUP( $B51, T_Aop[], 4, 1)</f>
        <v>530</v>
      </c>
      <c r="J51" s="219">
        <v>20000</v>
      </c>
      <c r="K51" s="220">
        <v>203300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7" t="str">
        <f>VLOOKUP( $B53, T_Aop[], 6, 1)</f>
        <v xml:space="preserve">  II - ODLIVI GOTOVINE IZ AKTIVNOSTI FINANSIRANJA (533 do 538)</v>
      </c>
      <c r="E53" s="467"/>
      <c r="F53" s="467"/>
      <c r="G53" s="467"/>
      <c r="H53" s="467"/>
      <c r="I53" s="114">
        <f>VLOOKUP( $B53, T_Aop[], 4, 1)</f>
        <v>532</v>
      </c>
      <c r="J53" s="88">
        <f>SUBTOTAL( 9, J54:J59)</f>
        <v>246813</v>
      </c>
      <c r="K53" s="89">
        <f>SUBTOTAL( 9, K54:K59)</f>
        <v>145323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6" t="str">
        <f>VLOOKUP( $B55, T_Aop[], 6, 1)</f>
        <v xml:space="preserve">    2. Odlivi po osnovu dugoročnih kredita</v>
      </c>
      <c r="E55" s="456"/>
      <c r="F55" s="456"/>
      <c r="G55" s="456"/>
      <c r="H55" s="456"/>
      <c r="I55" s="114">
        <f>VLOOKUP( $B55, T_Aop[], 4, 1)</f>
        <v>534</v>
      </c>
      <c r="J55" s="219">
        <v>65814</v>
      </c>
      <c r="K55" s="220">
        <v>83823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>
        <v>58999</v>
      </c>
      <c r="K56" s="216">
        <v>61500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6" t="str">
        <f>VLOOKUP( $B57, T_Aop[], 6, 1)</f>
        <v xml:space="preserve">    4. Odlivi po osnovu finansijskog lizinga</v>
      </c>
      <c r="E57" s="456"/>
      <c r="F57" s="456"/>
      <c r="G57" s="456"/>
      <c r="H57" s="456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6" t="str">
        <f>VLOOKUP( $B59, T_Aop[], 6, 1)</f>
        <v xml:space="preserve">    6. Odlivi po osnovu ostalih dugoročnih i kratkoročnih obaveza</v>
      </c>
      <c r="E59" s="456"/>
      <c r="F59" s="456"/>
      <c r="G59" s="456"/>
      <c r="H59" s="456"/>
      <c r="I59" s="114">
        <f>VLOOKUP( $B59, T_Aop[], 4, 1)</f>
        <v>538</v>
      </c>
      <c r="J59" s="219">
        <v>122000</v>
      </c>
      <c r="K59" s="220">
        <v>0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62" t="str">
        <f>VLOOKUP( $B60, T_Aop[], 6, 1)</f>
        <v xml:space="preserve">  III - NETO PRILIV GOTOVINE IZ AKTIVNOST FINANSIRANJA (527 - 532)</v>
      </c>
      <c r="E60" s="462"/>
      <c r="F60" s="462"/>
      <c r="G60" s="462"/>
      <c r="H60" s="462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217977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7" t="str">
        <f>VLOOKUP( $B61, T_Aop[], 6, 1)</f>
        <v xml:space="preserve">  IV - NETO ODLIV GOTOVINE IZ AKTIVNOSTI FINANSIRANJA (532 - 527)</v>
      </c>
      <c r="E61" s="467"/>
      <c r="F61" s="467"/>
      <c r="G61" s="467"/>
      <c r="H61" s="467"/>
      <c r="I61" s="114">
        <f>VLOOKUP( $B61, T_Aop[], 4, 1)</f>
        <v>540</v>
      </c>
      <c r="J61" s="91">
        <f>IF( SUBTOTAL( 9, J48:J52) - SUBTOTAL( 9, J53:J59) &gt;= 0, 0, ABS( SUBTOTAL( 9, J48:J52) - SUBTOTAL( 9, J53:J59)) )</f>
        <v>36813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2" t="str">
        <f>VLOOKUP( $B62, T_Aop[], 6, 1)</f>
        <v>G. UKUPNI PRILIVI GOTOVINE (501 + 513 + 527)</v>
      </c>
      <c r="E62" s="462"/>
      <c r="F62" s="462"/>
      <c r="G62" s="462"/>
      <c r="H62" s="462"/>
      <c r="I62" s="83">
        <f>VLOOKUP( $B62, T_Aop[], 4, 1)</f>
        <v>541</v>
      </c>
      <c r="J62" s="84">
        <f>SUBTOTAL( 9, J20:J23, J33:J39, J48:J52)</f>
        <v>551907</v>
      </c>
      <c r="K62" s="85">
        <f>SUBTOTAL( 9, K20:K23, K33:K39, K48:K52)</f>
        <v>838645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7" t="str">
        <f>VLOOKUP( $B63, T_Aop[], 6, 1)</f>
        <v>D. UKUPNI ODLIVI GOTOVINE (505 + 520 + 532)</v>
      </c>
      <c r="E63" s="467"/>
      <c r="F63" s="467"/>
      <c r="G63" s="467"/>
      <c r="H63" s="467"/>
      <c r="I63" s="114">
        <f>VLOOKUP( $B63, T_Aop[], 4, 1)</f>
        <v>542</v>
      </c>
      <c r="J63" s="91">
        <f>SUBTOTAL( 9, J24:J29, J40:J44, J53:J59)</f>
        <v>553410</v>
      </c>
      <c r="K63" s="92">
        <f>SUBTOTAL( 9, K24:K29, K40:K44, K53:K59)</f>
        <v>838941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2" t="str">
        <f>VLOOKUP( $B64, T_Aop[], 6, 1)</f>
        <v>Đ. NETO PRILIV GOTOVINE (541 - 542)</v>
      </c>
      <c r="E64" s="462"/>
      <c r="F64" s="462"/>
      <c r="G64" s="462"/>
      <c r="H64" s="462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7" t="str">
        <f>VLOOKUP( $B65, T_Aop[], 6, 1)</f>
        <v>E. NETO ODLIV GOTOVINE (542 - 541)</v>
      </c>
      <c r="E65" s="467"/>
      <c r="F65" s="467"/>
      <c r="G65" s="467"/>
      <c r="H65" s="467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1503</v>
      </c>
      <c r="K65" s="92">
        <f>IF( SUBTOTAL( 9, K20:K23, K33:K39, K48:K52) - SUBTOTAL( 9, K24:K29, K40:K44, K53:K59) &gt;= 0, 0, ABS( SUBTOTAL( 9, K20:K23, K33:K39, K48:K52) - SUBTOTAL( 9, K24:K29, K40:K44, K53:K59)) )</f>
        <v>296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2" t="str">
        <f>VLOOKUP( $B66, T_Aop[], 6, 1)</f>
        <v>Ž. GOTOVINA NA POČETKU OBRAČUNSKOG PERIODA</v>
      </c>
      <c r="E66" s="462"/>
      <c r="F66" s="462"/>
      <c r="G66" s="462"/>
      <c r="H66" s="462"/>
      <c r="I66" s="83">
        <f>VLOOKUP( $B66, T_Aop[], 4, 1)</f>
        <v>545</v>
      </c>
      <c r="J66" s="122">
        <v>53558</v>
      </c>
      <c r="K66" s="123">
        <v>53854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7" t="str">
        <f>VLOOKUP( $B67, T_Aop[], 6, 1)</f>
        <v>Z. POZITIVNE KURSNE RAZLIKE PO OSNOVU PRERAČUNA GOTOVINE</v>
      </c>
      <c r="E67" s="467"/>
      <c r="F67" s="467"/>
      <c r="G67" s="467"/>
      <c r="H67" s="467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2" t="str">
        <f>VLOOKUP( $B68, T_Aop[], 6, 1)</f>
        <v>I. NEGATIVNE KURSNE RAZLIKE PO OSNOVU PRERAČUNA GOTOVINE</v>
      </c>
      <c r="E68" s="462"/>
      <c r="F68" s="462"/>
      <c r="G68" s="462"/>
      <c r="H68" s="462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3" t="str">
        <f>VLOOKUP( $B69, T_Aop[], 6, 1)</f>
        <v>J. GOTOVINA NA KRAJU OBRAČUNSKOG PERIODA (545 + 543 - 544 + 546 - 547)</v>
      </c>
      <c r="E69" s="483"/>
      <c r="F69" s="483"/>
      <c r="G69" s="483"/>
      <c r="H69" s="483"/>
      <c r="I69" s="116">
        <f>VLOOKUP( $B69, T_Aop[], 4, 1)</f>
        <v>548</v>
      </c>
      <c r="J69" s="321">
        <f>SUBTOTAL( 9, J20:J23, J33:J39, J48:J52, J66, J67) - SUBTOTAL( 9, J24:J29, J40:J44, J53:J59, J68)</f>
        <v>52055</v>
      </c>
      <c r="K69" s="322">
        <f>SUBTOTAL( 9, K20:K23, K33:K39, K48:K52, K66, K67) - SUBTOTAL( 9, K24:K29, K40:K44, K53:K59, K68)</f>
        <v>53558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Banjoj Luci</v>
      </c>
      <c r="E71" s="52"/>
      <c r="G71"/>
      <c r="H71" s="154" t="str">
        <f>Podnozje_Lice_sa_licencom</f>
        <v>Lice sa licencom:</v>
      </c>
      <c r="I71" s="270" t="str">
        <f>Podatak_Lice_sa_licencom</f>
        <v>Dragana Barac, SR-1652/17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24.02.2017.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Dragana Garača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54" activePane="bottomLeft" state="frozen"/>
      <selection activeCell="D15" sqref="D15"/>
      <selection pane="bottomLeft" activeCell="J88" sqref="J8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2" t="str">
        <f>Podatak_MB</f>
        <v>11189511</v>
      </c>
      <c r="E5" s="472"/>
      <c r="I5" s="17" t="str">
        <f>Zaglavlje_Ziro_racun</f>
        <v>Poslovni računi:</v>
      </c>
      <c r="J5" s="468" t="str">
        <f>Podatak_Ziro_racun_1</f>
        <v>562-099-00000966-21</v>
      </c>
      <c r="K5" s="468"/>
    </row>
    <row r="6" spans="3:13" x14ac:dyDescent="0.2">
      <c r="C6" s="16" t="str">
        <f>Zaglavlje_Sifra_djelatnosti</f>
        <v>Šifra djelatnosti:</v>
      </c>
      <c r="D6" s="472" t="str">
        <f>Podatak_Sifra_djelatnosti</f>
        <v>68.20</v>
      </c>
      <c r="E6" s="472"/>
      <c r="F6" s="9"/>
      <c r="J6" s="468" t="str">
        <f>Podatak_Ziro_racun_2</f>
        <v/>
      </c>
      <c r="K6" s="468"/>
    </row>
    <row r="7" spans="3:13" x14ac:dyDescent="0.2">
      <c r="C7" s="473" t="str">
        <f>Zaglavlje_Naziv_preduzeca</f>
        <v>Naziv privrednog društva, zadruge, drugog pravnog lica ili preduzetnika:</v>
      </c>
      <c r="D7" s="473"/>
      <c r="E7" s="473"/>
      <c r="F7" s="19"/>
      <c r="J7" s="468" t="str">
        <f>Podatak_Ziro_racun_3</f>
        <v/>
      </c>
      <c r="K7" s="468"/>
    </row>
    <row r="8" spans="3:13" x14ac:dyDescent="0.2">
      <c r="C8" s="473"/>
      <c r="D8" s="473"/>
      <c r="E8" s="473"/>
      <c r="F8" s="19"/>
      <c r="J8" s="468" t="str">
        <f>Podatak_Ziro_racun_4</f>
        <v/>
      </c>
      <c r="K8" s="468"/>
    </row>
    <row r="9" spans="3:13" x14ac:dyDescent="0.2">
      <c r="C9" s="475" t="str">
        <f>Podatak_Naziv_preduzeca</f>
        <v>"ČAJAVEC SERVIS I PROMET" AD BANJA LUKA</v>
      </c>
      <c r="D9" s="475"/>
      <c r="E9" s="475"/>
      <c r="F9" s="475"/>
      <c r="J9" s="468" t="str">
        <f>Podatak_Ziro_racun_5</f>
        <v/>
      </c>
      <c r="K9" s="468"/>
    </row>
    <row r="10" spans="3:13" x14ac:dyDescent="0.2">
      <c r="C10" s="16" t="str">
        <f>Zaglavlje_Sjediste</f>
        <v>Sjedište:</v>
      </c>
      <c r="D10" s="472" t="str">
        <f>Podatak_Sjediste</f>
        <v>Veselina Masleše 1/IX, Banja Luka</v>
      </c>
      <c r="E10" s="472"/>
      <c r="F10" s="16"/>
      <c r="J10" s="468" t="str">
        <f>Podatak_Ziro_racun_6</f>
        <v/>
      </c>
      <c r="K10" s="468"/>
    </row>
    <row r="11" spans="3:13" x14ac:dyDescent="0.2">
      <c r="C11" s="16" t="str">
        <f>Zaglavlje_JIB</f>
        <v>JIB:</v>
      </c>
      <c r="D11" s="472" t="str">
        <f>Podatak_JIB</f>
        <v>4400893570007</v>
      </c>
      <c r="E11" s="472"/>
      <c r="F11" s="20"/>
      <c r="G11" s="20"/>
      <c r="H11" s="20"/>
      <c r="I11" s="20"/>
      <c r="J11"/>
      <c r="K11"/>
    </row>
    <row r="12" spans="3:13" ht="15.75" x14ac:dyDescent="0.2">
      <c r="C12" s="484" t="str">
        <f>IF( Id_Konsolidovani, Nazivi_bilansa_Konsolidovani_naziv &amp; LOWER( Nazivi_bilansa_Aneks), Nazivi_bilansa_Aneks)</f>
        <v>Aneks</v>
      </c>
      <c r="D12" s="484"/>
      <c r="E12" s="484"/>
      <c r="F12" s="484"/>
      <c r="G12" s="484"/>
      <c r="H12" s="484"/>
      <c r="I12" s="484"/>
      <c r="J12" s="484"/>
      <c r="K12" s="484"/>
    </row>
    <row r="13" spans="3:13" x14ac:dyDescent="0.2">
      <c r="C13" s="485" t="str">
        <f>Nazivi_bilansa_Aneks1</f>
        <v>(Dodatni računovodstveni izvještaj)</v>
      </c>
      <c r="D13" s="485"/>
      <c r="E13" s="485"/>
      <c r="F13" s="485"/>
      <c r="G13" s="485"/>
      <c r="H13" s="485"/>
      <c r="I13" s="485"/>
      <c r="J13" s="485"/>
      <c r="K13" s="485"/>
    </row>
    <row r="14" spans="3:13" x14ac:dyDescent="0.2">
      <c r="C14" s="485" t="str">
        <f>Datumi_Datum_Aneks</f>
        <v>za period od 01.01. do 31.12.2016. godine</v>
      </c>
      <c r="D14" s="485"/>
      <c r="E14" s="485"/>
      <c r="F14" s="485"/>
      <c r="G14" s="485"/>
      <c r="H14" s="485"/>
      <c r="I14" s="485"/>
      <c r="J14" s="485"/>
      <c r="K14" s="485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9" t="str">
        <f>Tabele_zaglavlje_Grupa_racuna</f>
        <v>Grupa računa, račun</v>
      </c>
      <c r="D16" s="460" t="str">
        <f>Tabele_zaglavlje_Pozicija</f>
        <v>POZICIJA</v>
      </c>
      <c r="E16" s="460"/>
      <c r="F16" s="460"/>
      <c r="G16" s="460"/>
      <c r="H16" s="460"/>
      <c r="I16" s="458" t="str">
        <f>Tabele_zaglavlje_Oznaka_aop</f>
        <v>Oznaka za AOP</v>
      </c>
      <c r="J16" s="460" t="str">
        <f>Tabele_zaglavlje_Iznos</f>
        <v>Iznos</v>
      </c>
      <c r="K16" s="461"/>
      <c r="M16" s="57"/>
    </row>
    <row r="17" spans="2:15" ht="25.5" x14ac:dyDescent="0.2">
      <c r="C17" s="470"/>
      <c r="D17" s="474"/>
      <c r="E17" s="474"/>
      <c r="F17" s="474"/>
      <c r="G17" s="474"/>
      <c r="H17" s="474"/>
      <c r="I17" s="459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6">
        <v>2</v>
      </c>
      <c r="E18" s="476"/>
      <c r="F18" s="476"/>
      <c r="G18" s="476"/>
      <c r="H18" s="476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8" t="str">
        <f>VLOOKUP( $B19, T_Aop[], 6, 1)</f>
        <v>Ulaganja u istraživanje i razvoj (dugovni promet bez početnog stanja)</v>
      </c>
      <c r="E19" s="498"/>
      <c r="F19" s="498"/>
      <c r="G19" s="498"/>
      <c r="H19" s="498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256796</v>
      </c>
      <c r="K20" s="216">
        <v>289507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6" t="str">
        <f>VLOOKUP( $B21, T_Aop[], 6, 1)</f>
        <v>Kupci iz Federacije BiH i kupci - povezana pravna lica iz FBiH (dugovni promet bez početnog stanja)</v>
      </c>
      <c r="E21" s="487"/>
      <c r="F21" s="487"/>
      <c r="G21" s="487"/>
      <c r="H21" s="488"/>
      <c r="I21" s="315">
        <f>VLOOKUP( $B21, T_Aop[], 4, 1)</f>
        <v>603</v>
      </c>
      <c r="J21" s="217">
        <v>5616</v>
      </c>
      <c r="K21" s="218">
        <v>6187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9" t="str">
        <f>VLOOKUP( $B22, T_Aop[], 6, 1)</f>
        <v>Kupci iz Brčko Distrikta BiH i kupci - povezana pravna lica iz BD (dugovni promet bez početnog stanja)</v>
      </c>
      <c r="E22" s="490"/>
      <c r="F22" s="490"/>
      <c r="G22" s="490"/>
      <c r="H22" s="491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6" t="str">
        <f>VLOOKUP( $B23, T_Aop[], 6, 1)</f>
        <v>Dobavljači iz Republike Srpske i dobavljači - povezana pravna lica iz RS (potražni promet bez početnog stanja)</v>
      </c>
      <c r="E23" s="487"/>
      <c r="F23" s="487"/>
      <c r="G23" s="487"/>
      <c r="H23" s="488"/>
      <c r="I23" s="315">
        <f>VLOOKUP( $B23, T_Aop[], 4, 1)</f>
        <v>605</v>
      </c>
      <c r="J23" s="217">
        <v>161715</v>
      </c>
      <c r="K23" s="218">
        <v>266792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9" t="str">
        <f>VLOOKUP( $B24, T_Aop[], 6, 1)</f>
        <v>Dobavljači iz Federacije BiH i dobavljači - povezana pravna lica iz FBiH (potražni promet bez početnog stanja)</v>
      </c>
      <c r="E24" s="490"/>
      <c r="F24" s="490"/>
      <c r="G24" s="490"/>
      <c r="H24" s="491"/>
      <c r="I24" s="263">
        <f>VLOOKUP( $B24, T_Aop[], 4, 1)</f>
        <v>606</v>
      </c>
      <c r="J24" s="215">
        <v>0</v>
      </c>
      <c r="K24" s="216">
        <v>3488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6" t="str">
        <f>VLOOKUP( $B25, T_Aop[], 6, 1)</f>
        <v>Dobavljači iz Brčko Distrikta BiH i dobavljači - povezana pravna lica iz DB (potražni promet bez početnog stanja)</v>
      </c>
      <c r="E25" s="487"/>
      <c r="F25" s="487"/>
      <c r="G25" s="487"/>
      <c r="H25" s="488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9" t="str">
        <f>VLOOKUP( $B26, T_Aop[], 6, 1)</f>
        <v>Prihodi od prodaje robe u Republici Srpskoj i prihodi od prodaje robe povezanim pravnim licima u RS</v>
      </c>
      <c r="E26" s="490"/>
      <c r="F26" s="490"/>
      <c r="G26" s="490"/>
      <c r="H26" s="491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6" t="str">
        <f>VLOOKUP( $B27, T_Aop[], 6, 1)</f>
        <v>Prihodi od prodaje robe u Federaciji BiH i prihodi od prodaje robe povezanim pravnim licima u FBiH</v>
      </c>
      <c r="E27" s="487"/>
      <c r="F27" s="487"/>
      <c r="G27" s="487"/>
      <c r="H27" s="488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9" t="str">
        <f>VLOOKUP( $B28, T_Aop[], 6, 1)</f>
        <v>Prihodi od prodaje robe u Brčko Distriktu BiH i prihodi od prodaje robe povezanim pravnim licima u BD</v>
      </c>
      <c r="E28" s="490"/>
      <c r="F28" s="490"/>
      <c r="G28" s="490"/>
      <c r="H28" s="491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6" t="str">
        <f>VLOOKUP( $B29, T_Aop[], 6, 1)</f>
        <v>Prihodi od prodaje proizvoda</v>
      </c>
      <c r="E29" s="487"/>
      <c r="F29" s="487"/>
      <c r="G29" s="487"/>
      <c r="H29" s="488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9" t="str">
        <f>VLOOKUP( $B30, T_Aop[], 6, 1)</f>
        <v>Prihodi od prodaje usluga</v>
      </c>
      <c r="E30" s="490"/>
      <c r="F30" s="490"/>
      <c r="G30" s="490"/>
      <c r="H30" s="491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6" t="str">
        <f>VLOOKUP( $B31, T_Aop[], 6, 1)</f>
        <v>Prihodi od prodaje učinaka u Republici Srpskoj i prihodi od prodaje učinaka povezanim pravnim licima u RS</v>
      </c>
      <c r="E31" s="487"/>
      <c r="F31" s="487"/>
      <c r="G31" s="487"/>
      <c r="H31" s="488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9" t="str">
        <f>VLOOKUP( $B32, T_Aop[], 6, 1)</f>
        <v>Prihodi od prodaje učinaka u Federaciji BiH i prihodi od prodaje učinaka povezanim pravnim licima u FBiH</v>
      </c>
      <c r="E32" s="490"/>
      <c r="F32" s="490"/>
      <c r="G32" s="490"/>
      <c r="H32" s="491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6" t="str">
        <f>VLOOKUP( $B33, T_Aop[], 6, 1)</f>
        <v>Prihodi od prodaje učinaka u Brčko Distriktu BiH i prihodi od prodaje učinaka povezanim pravnim licima u BD</v>
      </c>
      <c r="E33" s="487"/>
      <c r="F33" s="487"/>
      <c r="G33" s="487"/>
      <c r="H33" s="488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9" t="str">
        <f>VLOOKUP( $B34, T_Aop[], 6, 1)</f>
        <v>Prihodi od prodaje usluga u Republici Srpskoj</v>
      </c>
      <c r="E34" s="490"/>
      <c r="F34" s="490"/>
      <c r="G34" s="490"/>
      <c r="H34" s="491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6" t="str">
        <f>VLOOKUP( $B35, T_Aop[], 6, 1)</f>
        <v>Prihodi od prodaje usluga u Federaciji BiH</v>
      </c>
      <c r="E35" s="487"/>
      <c r="F35" s="487"/>
      <c r="G35" s="487"/>
      <c r="H35" s="488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9" t="str">
        <f>VLOOKUP( $B36, T_Aop[], 6, 1)</f>
        <v>Prihodi od prodaje usluga u Brčko Distriktu BiH</v>
      </c>
      <c r="E36" s="490"/>
      <c r="F36" s="490"/>
      <c r="G36" s="490"/>
      <c r="H36" s="491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4" t="str">
        <f>VLOOKUP( $B37, T_Aop[], 6, 1)</f>
        <v>OSTALI POSLOVNI PRIHODI (620 + 623 + 624 + 625 + 626 + 627 + 628)</v>
      </c>
      <c r="E37" s="465"/>
      <c r="F37" s="465"/>
      <c r="G37" s="465"/>
      <c r="H37" s="466"/>
      <c r="I37" s="310">
        <f>VLOOKUP( $B37, T_Aop[], 4, 1)</f>
        <v>619</v>
      </c>
      <c r="J37" s="88">
        <f>SUBTOTAL( 9, J38, J41:J46)</f>
        <v>265145</v>
      </c>
      <c r="K37" s="89">
        <f>SUBTOTAL( 9, K38, K41:K46)</f>
        <v>246854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9" t="str">
        <f>VLOOKUP( $B38, T_Aop[], 6, 1)</f>
        <v xml:space="preserve">  a) Prihodi od premija, subvencija, dotacija, regresa, podsticaja i slično</v>
      </c>
      <c r="E38" s="490"/>
      <c r="F38" s="490"/>
      <c r="G38" s="490"/>
      <c r="H38" s="491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6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7"/>
      <c r="F39" s="487"/>
      <c r="G39" s="487"/>
      <c r="H39" s="488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9" t="str">
        <f>VLOOKUP( $B40, T_Aop[], 6, 1)</f>
        <v xml:space="preserve">    Od toga: prihodi po osnovu subvencija na proizvodnju (na zapošljavanje, platu, kamatnu stopu, za smanjenje zagađenja i dr.)</v>
      </c>
      <c r="E40" s="490"/>
      <c r="F40" s="490"/>
      <c r="G40" s="490"/>
      <c r="H40" s="491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6" t="str">
        <f>VLOOKUP( $B41, T_Aop[], 6, 1)</f>
        <v xml:space="preserve">  b) Prihod od zakupnina</v>
      </c>
      <c r="E41" s="487"/>
      <c r="F41" s="487"/>
      <c r="G41" s="487"/>
      <c r="H41" s="488"/>
      <c r="I41" s="315">
        <f>VLOOKUP( $B41, T_Aop[], 4, 1)</f>
        <v>623</v>
      </c>
      <c r="J41" s="215">
        <v>265145</v>
      </c>
      <c r="K41" s="218">
        <v>246854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9" t="str">
        <f>VLOOKUP( $B42, T_Aop[], 6, 1)</f>
        <v xml:space="preserve">  v) Prihod od donacija</v>
      </c>
      <c r="E42" s="490"/>
      <c r="F42" s="490"/>
      <c r="G42" s="490"/>
      <c r="H42" s="491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6" t="str">
        <f>VLOOKUP( $B43, T_Aop[], 6, 1)</f>
        <v xml:space="preserve">  g) Prihod od članarina</v>
      </c>
      <c r="E43" s="487"/>
      <c r="F43" s="487"/>
      <c r="G43" s="487"/>
      <c r="H43" s="488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9" t="str">
        <f>VLOOKUP( $B44, T_Aop[], 6, 1)</f>
        <v xml:space="preserve">  d) Prihod od tantijema i licencnih prava</v>
      </c>
      <c r="E44" s="490"/>
      <c r="F44" s="490"/>
      <c r="G44" s="490"/>
      <c r="H44" s="491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6" t="str">
        <f>VLOOKUP( $B45, T_Aop[], 6, 1)</f>
        <v xml:space="preserve">  đ) Prihod iz namjenskih izvora finansiranja (iz budžeta, fondova i dr.)</v>
      </c>
      <c r="E45" s="487"/>
      <c r="F45" s="487"/>
      <c r="G45" s="487"/>
      <c r="H45" s="488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9" t="str">
        <f>VLOOKUP( $B46, T_Aop[], 6, 1)</f>
        <v xml:space="preserve">  e) Ostali poslovni prihodi po drugim osnovima</v>
      </c>
      <c r="E46" s="490"/>
      <c r="F46" s="490"/>
      <c r="G46" s="490"/>
      <c r="H46" s="491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4" t="str">
        <f>VLOOKUP( $B47, T_Aop[], 6, 1)</f>
        <v>FINANSIJSKI I OSTALI PRIHODI</v>
      </c>
      <c r="E47" s="465"/>
      <c r="F47" s="465"/>
      <c r="G47" s="465"/>
      <c r="H47" s="466"/>
      <c r="I47" s="310">
        <f>VLOOKUP( $B47, T_Aop[], 4, 1)</f>
        <v>629</v>
      </c>
      <c r="J47" s="340">
        <v>29615</v>
      </c>
      <c r="K47" s="341">
        <v>262507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9" t="str">
        <f>VLOOKUP( $B48, T_Aop[], 6, 1)</f>
        <v xml:space="preserve">    Od toga: prihodi od učešća u dobiti (dividendi)</v>
      </c>
      <c r="E48" s="490"/>
      <c r="F48" s="490"/>
      <c r="G48" s="490"/>
      <c r="H48" s="491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6" t="str">
        <f>VLOOKUP( $B49, T_Aop[], 6, 1)</f>
        <v xml:space="preserve">  Dobici po osnovu prodaje nekretnina, postrojenja i opreme</v>
      </c>
      <c r="E49" s="487"/>
      <c r="F49" s="487"/>
      <c r="G49" s="487"/>
      <c r="H49" s="488"/>
      <c r="I49" s="315">
        <f>VLOOKUP( $B49, T_Aop[], 4, 1)</f>
        <v>631</v>
      </c>
      <c r="J49" s="217"/>
      <c r="K49" s="218">
        <v>27454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9" t="str">
        <f>VLOOKUP( $B50, T_Aop[], 6, 1)</f>
        <v xml:space="preserve">  Prihodi po osnovu ugovorene zaštite od rizika koji ne ispunjavaju uslove da se iskažu u okviru revalorizacionih rezervi</v>
      </c>
      <c r="E50" s="490"/>
      <c r="F50" s="490"/>
      <c r="G50" s="490"/>
      <c r="H50" s="491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4" t="str">
        <f>VLOOKUP( $B51, T_Aop[], 6, 1)</f>
        <v>TROŠKOVI MATERIJALA</v>
      </c>
      <c r="E51" s="465"/>
      <c r="F51" s="465"/>
      <c r="G51" s="465"/>
      <c r="H51" s="466"/>
      <c r="I51" s="310">
        <f>VLOOKUP( $B51, T_Aop[], 4, 1)</f>
        <v>633</v>
      </c>
      <c r="J51" s="217">
        <v>7465</v>
      </c>
      <c r="K51" s="341">
        <v>1376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9" t="str">
        <f>VLOOKUP( $B52, T_Aop[], 6, 1)</f>
        <v xml:space="preserve">    Od toga: troškovi goriva i energije</v>
      </c>
      <c r="E52" s="490"/>
      <c r="F52" s="490"/>
      <c r="G52" s="490"/>
      <c r="H52" s="491"/>
      <c r="I52" s="263">
        <f>VLOOKUP( $B52, T_Aop[], 4, 1)</f>
        <v>634</v>
      </c>
      <c r="J52" s="215">
        <v>5351</v>
      </c>
      <c r="K52" s="216">
        <v>21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4" t="str">
        <f>VLOOKUP( $B53, T_Aop[], 6, 1)</f>
        <v>TROŠKOVI ZARADA, NAKNADA ZARADA I OSTALIH LIČNIH RASHODA</v>
      </c>
      <c r="E53" s="465"/>
      <c r="F53" s="465"/>
      <c r="G53" s="465"/>
      <c r="H53" s="466"/>
      <c r="I53" s="310">
        <f>VLOOKUP( $B53, T_Aop[], 4, 1)</f>
        <v>635</v>
      </c>
      <c r="J53" s="378">
        <v>1859</v>
      </c>
      <c r="K53" s="341">
        <v>37050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9" t="str">
        <f>VLOOKUP( $B54, T_Aop[], 6, 1)</f>
        <v xml:space="preserve">  Troškovi bruto naknada članovima upravnog, nadzornog, odbora za reviziju i dr.</v>
      </c>
      <c r="E54" s="490"/>
      <c r="F54" s="490"/>
      <c r="G54" s="490"/>
      <c r="H54" s="491"/>
      <c r="I54" s="263">
        <f>VLOOKUP( $B54, T_Aop[], 4, 1)</f>
        <v>636</v>
      </c>
      <c r="J54" s="215">
        <v>0</v>
      </c>
      <c r="K54" s="216">
        <v>5970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6" t="str">
        <f>VLOOKUP( $B55, T_Aop[], 6, 1)</f>
        <v xml:space="preserve">  Troškovi zaposlenih na službenom putu</v>
      </c>
      <c r="E55" s="487"/>
      <c r="F55" s="487"/>
      <c r="G55" s="487"/>
      <c r="H55" s="488"/>
      <c r="I55" s="315">
        <f>VLOOKUP( $B55, T_Aop[], 4, 1)</f>
        <v>637</v>
      </c>
      <c r="J55" s="217">
        <v>1526</v>
      </c>
      <c r="K55" s="218">
        <v>7131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9" t="str">
        <f>VLOOKUP( $B56, T_Aop[], 6, 1)</f>
        <v xml:space="preserve">    Od toga: dnevnice</v>
      </c>
      <c r="E56" s="490"/>
      <c r="F56" s="490"/>
      <c r="G56" s="490"/>
      <c r="H56" s="491"/>
      <c r="I56" s="263">
        <f>VLOOKUP( $B56, T_Aop[], 4, 1)</f>
        <v>638</v>
      </c>
      <c r="J56" s="215">
        <v>333</v>
      </c>
      <c r="K56" s="216">
        <v>1068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4" t="str">
        <f>VLOOKUP( $B57, T_Aop[], 6, 1)</f>
        <v>TROŠKOVI PROIZVODNIH USLUGA (640 + 641 + 642 + 643 + 644 + 645 + 646 + 647)</v>
      </c>
      <c r="E57" s="465"/>
      <c r="F57" s="465"/>
      <c r="G57" s="465"/>
      <c r="H57" s="466"/>
      <c r="I57" s="310">
        <f>VLOOKUP( $B57, T_Aop[], 4, 1)</f>
        <v>639</v>
      </c>
      <c r="J57" s="88">
        <f>SUBTOTAL( 9, J58:J65)</f>
        <v>72008</v>
      </c>
      <c r="K57" s="89">
        <f>SUBTOTAL( 9, K58:K65)</f>
        <v>13770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9" t="str">
        <f>VLOOKUP( $B58, T_Aop[], 6, 1)</f>
        <v xml:space="preserve">  a) Troškovi usluga na izradi učinaka</v>
      </c>
      <c r="E58" s="490"/>
      <c r="F58" s="490"/>
      <c r="G58" s="490"/>
      <c r="H58" s="491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6" t="str">
        <f>VLOOKUP( $B59, T_Aop[], 6, 1)</f>
        <v xml:space="preserve">  b) Troškovi transportnih usluga</v>
      </c>
      <c r="E59" s="487"/>
      <c r="F59" s="487"/>
      <c r="G59" s="487"/>
      <c r="H59" s="488"/>
      <c r="I59" s="315">
        <f>VLOOKUP( $B59, T_Aop[], 4, 1)</f>
        <v>641</v>
      </c>
      <c r="J59" s="217">
        <v>1088</v>
      </c>
      <c r="K59" s="218">
        <v>1292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9" t="str">
        <f>VLOOKUP( $B60, T_Aop[], 6, 1)</f>
        <v xml:space="preserve">  v) Troškovi za usluge tekućeg održavanja osnovnih sredstava</v>
      </c>
      <c r="E60" s="490"/>
      <c r="F60" s="490"/>
      <c r="G60" s="490"/>
      <c r="H60" s="491"/>
      <c r="I60" s="263">
        <f>VLOOKUP( $B60, T_Aop[], 4, 1)</f>
        <v>642</v>
      </c>
      <c r="J60" s="215">
        <v>8995</v>
      </c>
      <c r="K60" s="216">
        <v>6573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6" t="str">
        <f>VLOOKUP( $B61, T_Aop[], 6, 1)</f>
        <v xml:space="preserve">  g) Troškovi za usluge investicionog održavanja osnovnih sredstava</v>
      </c>
      <c r="E61" s="487"/>
      <c r="F61" s="487"/>
      <c r="G61" s="487"/>
      <c r="H61" s="488"/>
      <c r="I61" s="315">
        <f>VLOOKUP( $B61, T_Aop[], 4, 1)</f>
        <v>643</v>
      </c>
      <c r="J61" s="217">
        <v>40873</v>
      </c>
      <c r="K61" s="218">
        <v>0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9" t="str">
        <f>VLOOKUP( $B62, T_Aop[], 6, 1)</f>
        <v xml:space="preserve">  d) Troškovi zakupa</v>
      </c>
      <c r="E62" s="490"/>
      <c r="F62" s="490"/>
      <c r="G62" s="490"/>
      <c r="H62" s="491"/>
      <c r="I62" s="263">
        <f>VLOOKUP( $B62, T_Aop[], 4, 1)</f>
        <v>644</v>
      </c>
      <c r="J62" s="215">
        <v>16087</v>
      </c>
      <c r="K62" s="216">
        <v>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6" t="str">
        <f>VLOOKUP( $B63, T_Aop[], 6, 1)</f>
        <v xml:space="preserve">  đ) Troškovi sajmova, reklame i propagande</v>
      </c>
      <c r="E63" s="487"/>
      <c r="F63" s="487"/>
      <c r="G63" s="487"/>
      <c r="H63" s="488"/>
      <c r="I63" s="315">
        <f>VLOOKUP( $B63, T_Aop[], 4, 1)</f>
        <v>645</v>
      </c>
      <c r="J63" s="217"/>
      <c r="K63" s="218">
        <v>1800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9" t="str">
        <f>VLOOKUP( $B64, T_Aop[], 6, 1)</f>
        <v xml:space="preserve">  e) Troškovi istraživanja i razvoja koji se ne kapitalizuju</v>
      </c>
      <c r="E64" s="490"/>
      <c r="F64" s="490"/>
      <c r="G64" s="490"/>
      <c r="H64" s="491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6" t="str">
        <f>VLOOKUP( $B65, T_Aop[], 6, 1)</f>
        <v xml:space="preserve">  ž) Troškovi ostalih usluga</v>
      </c>
      <c r="E65" s="487"/>
      <c r="F65" s="487"/>
      <c r="G65" s="487"/>
      <c r="H65" s="488"/>
      <c r="I65" s="315">
        <f>VLOOKUP( $B65, T_Aop[], 4, 1)</f>
        <v>647</v>
      </c>
      <c r="J65" s="217">
        <v>4965</v>
      </c>
      <c r="K65" s="218">
        <v>4105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9" t="str">
        <f>VLOOKUP( $B66, T_Aop[], 6, 1)</f>
        <v xml:space="preserve">    Od toga: bruto iznosi naknada po ugovorima sa fizičkim licima van radnog odnosa</v>
      </c>
      <c r="E66" s="490"/>
      <c r="F66" s="490"/>
      <c r="G66" s="490"/>
      <c r="H66" s="491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4" t="str">
        <f>VLOOKUP( $B67, T_Aop[], 6, 1)</f>
        <v>NEMATERIJALNI TROŠKOVI (650 + 653 + 654 + 655 + 656 + 657 + 658 + 659)</v>
      </c>
      <c r="E67" s="465"/>
      <c r="F67" s="465"/>
      <c r="G67" s="465"/>
      <c r="H67" s="466"/>
      <c r="I67" s="310">
        <f>VLOOKUP( $B67, T_Aop[], 4, 1)</f>
        <v>649</v>
      </c>
      <c r="J67" s="88">
        <f>SUBTOTAL( 9, J68, J71:J77)</f>
        <v>56324</v>
      </c>
      <c r="K67" s="89">
        <f>SUBTOTAL( 9, K68, K71:K77)</f>
        <v>51853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9" t="str">
        <f>VLOOKUP( $B68, T_Aop[], 6, 1)</f>
        <v xml:space="preserve">  a) Troškovi neproizvodnih usluga</v>
      </c>
      <c r="E68" s="490"/>
      <c r="F68" s="490"/>
      <c r="G68" s="490"/>
      <c r="H68" s="491"/>
      <c r="I68" s="263">
        <f>VLOOKUP( $B68, T_Aop[], 4, 1)</f>
        <v>650</v>
      </c>
      <c r="J68" s="215">
        <v>34918</v>
      </c>
      <c r="K68" s="216">
        <v>36655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6" t="str">
        <f>VLOOKUP( $B69, T_Aop[], 6, 1)</f>
        <v xml:space="preserve">    Od toga: troškovi stručnog obrazovanja i usavršavanja zaposlenih</v>
      </c>
      <c r="E69" s="487"/>
      <c r="F69" s="487"/>
      <c r="G69" s="487"/>
      <c r="H69" s="488"/>
      <c r="I69" s="315">
        <f>VLOOKUP( $B69, T_Aop[], 4, 1)</f>
        <v>651</v>
      </c>
      <c r="J69" s="217">
        <v>0</v>
      </c>
      <c r="K69" s="218">
        <v>0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9" t="str">
        <f>VLOOKUP( $B70, T_Aop[], 6, 1)</f>
        <v xml:space="preserve">    Od toga: bruto iznosi naknada po ugovorima sa fizičkim licima van radnog odnosa</v>
      </c>
      <c r="E70" s="490"/>
      <c r="F70" s="490"/>
      <c r="G70" s="490"/>
      <c r="H70" s="491"/>
      <c r="I70" s="263">
        <f>VLOOKUP( $B70, T_Aop[], 4, 1)</f>
        <v>652</v>
      </c>
      <c r="J70" s="215">
        <v>14580</v>
      </c>
      <c r="K70" s="216">
        <v>0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6" t="str">
        <f>VLOOKUP( $B71, T_Aop[], 6, 1)</f>
        <v xml:space="preserve">  b) Troškovi reprezentacije</v>
      </c>
      <c r="E71" s="487"/>
      <c r="F71" s="487"/>
      <c r="G71" s="487"/>
      <c r="H71" s="488"/>
      <c r="I71" s="315">
        <f>VLOOKUP( $B71, T_Aop[], 4, 1)</f>
        <v>653</v>
      </c>
      <c r="J71" s="217">
        <v>967</v>
      </c>
      <c r="K71" s="218">
        <v>77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9" t="str">
        <f>VLOOKUP( $B72, T_Aop[], 6, 1)</f>
        <v xml:space="preserve">  v) Troškovi premije osiguranja</v>
      </c>
      <c r="E72" s="490"/>
      <c r="F72" s="490"/>
      <c r="G72" s="490"/>
      <c r="H72" s="491"/>
      <c r="I72" s="263">
        <f>VLOOKUP( $B72, T_Aop[], 4, 1)</f>
        <v>654</v>
      </c>
      <c r="J72" s="215">
        <v>1337</v>
      </c>
      <c r="K72" s="216">
        <v>1369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6" t="str">
        <f>VLOOKUP( $B73, T_Aop[], 6, 1)</f>
        <v xml:space="preserve">  g) Troškovi platnog prometa</v>
      </c>
      <c r="E73" s="487"/>
      <c r="F73" s="487"/>
      <c r="G73" s="487"/>
      <c r="H73" s="488"/>
      <c r="I73" s="315">
        <f>VLOOKUP( $B73, T_Aop[], 4, 1)</f>
        <v>655</v>
      </c>
      <c r="J73" s="217">
        <v>1130</v>
      </c>
      <c r="K73" s="218">
        <v>3681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9" t="str">
        <f>VLOOKUP( $B74, T_Aop[], 6, 1)</f>
        <v xml:space="preserve">  d) Troškovi članarina</v>
      </c>
      <c r="E74" s="490"/>
      <c r="F74" s="490"/>
      <c r="G74" s="490"/>
      <c r="H74" s="491"/>
      <c r="I74" s="263">
        <f>VLOOKUP( $B74, T_Aop[], 4, 1)</f>
        <v>656</v>
      </c>
      <c r="J74" s="215">
        <v>180</v>
      </c>
      <c r="K74" s="216">
        <v>105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6" t="str">
        <f>VLOOKUP( $B75, T_Aop[], 6, 1)</f>
        <v xml:space="preserve">  đ) Troškovi poreza na proizvode, carine, boravišne takse, porez na igre na sreću i sl.</v>
      </c>
      <c r="E75" s="487"/>
      <c r="F75" s="487"/>
      <c r="G75" s="487"/>
      <c r="H75" s="488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9" t="str">
        <f>VLOOKUP( $B76, T_Aop[], 6, 1)</f>
        <v xml:space="preserve">  e) Troškovi poreza na proizvodnju: na imovinu, na zemljište, za korišćenje voda i šuma, za protivpožarnu zaštitu i sl.</v>
      </c>
      <c r="E76" s="490"/>
      <c r="F76" s="490"/>
      <c r="G76" s="490"/>
      <c r="H76" s="491"/>
      <c r="I76" s="263">
        <f>VLOOKUP( $B76, T_Aop[], 4, 1)</f>
        <v>658</v>
      </c>
      <c r="J76" s="215">
        <v>9639</v>
      </c>
      <c r="K76" s="216">
        <v>8076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6" t="str">
        <f>VLOOKUP( $B77, T_Aop[], 6, 1)</f>
        <v xml:space="preserve">  ž) Ostali nematerijalni troškovi</v>
      </c>
      <c r="E77" s="487"/>
      <c r="F77" s="487"/>
      <c r="G77" s="487"/>
      <c r="H77" s="488"/>
      <c r="I77" s="315">
        <f>VLOOKUP( $B77, T_Aop[], 4, 1)</f>
        <v>659</v>
      </c>
      <c r="J77" s="217">
        <v>8153</v>
      </c>
      <c r="K77" s="218">
        <v>1890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6" t="str">
        <f>VLOOKUP( $B79, T_Aop[], 6, 1)</f>
        <v xml:space="preserve">  Obračunati (fakturisani) porez na dodatu vrijednost (kumulativan promet konta)</v>
      </c>
      <c r="E79" s="487"/>
      <c r="F79" s="487"/>
      <c r="G79" s="487"/>
      <c r="H79" s="488"/>
      <c r="I79" s="315">
        <f>VLOOKUP( $B79, T_Aop[], 4, 1)</f>
        <v>661</v>
      </c>
      <c r="J79" s="217"/>
      <c r="K79" s="218"/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9" t="str">
        <f>VLOOKUP( $B80, T_Aop[], 6, 1)</f>
        <v xml:space="preserve">  Ulazni porez na dodatu vrijednost (kumulativan promet konta)</v>
      </c>
      <c r="E80" s="490"/>
      <c r="F80" s="490"/>
      <c r="G80" s="490"/>
      <c r="H80" s="491"/>
      <c r="I80" s="263">
        <f>VLOOKUP( $B80, T_Aop[], 4, 1)</f>
        <v>662</v>
      </c>
      <c r="J80" s="215"/>
      <c r="K80" s="216"/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6" t="str">
        <f>VLOOKUP( $B81, T_Aop[], 6, 1)</f>
        <v xml:space="preserve">  Obaveze za PDV po osnovu razlike između obračunatog i akontacionog PDV-a (saldo konta)</v>
      </c>
      <c r="E81" s="487"/>
      <c r="F81" s="487"/>
      <c r="G81" s="487"/>
      <c r="H81" s="488"/>
      <c r="I81" s="315">
        <f>VLOOKUP( $B81, T_Aop[], 4, 1)</f>
        <v>663</v>
      </c>
      <c r="J81" s="217">
        <v>2947</v>
      </c>
      <c r="K81" s="218">
        <v>809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9" t="str">
        <f>VLOOKUP( $B82, T_Aop[], 6, 1)</f>
        <v xml:space="preserve">  Potraživanja po osnovu razlike između akontacionog i obračunatog PDV-a (saldo konta)</v>
      </c>
      <c r="E82" s="490"/>
      <c r="F82" s="490"/>
      <c r="G82" s="490"/>
      <c r="H82" s="491"/>
      <c r="I82" s="263">
        <f>VLOOKUP( $B82, T_Aop[], 4, 1)</f>
        <v>664</v>
      </c>
      <c r="J82" s="215">
        <v>0</v>
      </c>
      <c r="K82" s="216">
        <v>1643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6" t="str">
        <f>VLOOKUP( $B83, T_Aop[], 6, 1)</f>
        <v xml:space="preserve">  PDV plaćen pri uvozu (kumulativan promet konta)</v>
      </c>
      <c r="E83" s="487"/>
      <c r="F83" s="487"/>
      <c r="G83" s="487"/>
      <c r="H83" s="488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9" t="str">
        <f>VLOOKUP( $B84, T_Aop[], 6, 1)</f>
        <v xml:space="preserve">  Obaveze za PDV plaćen pri uvozu (kumulativan promet konta)</v>
      </c>
      <c r="E84" s="490"/>
      <c r="F84" s="490"/>
      <c r="G84" s="490"/>
      <c r="H84" s="491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6" t="str">
        <f>VLOOKUP( $B85, T_Aop[], 6, 1)</f>
        <v xml:space="preserve">  Obaveze za akcize (kumulativan promet konta)</v>
      </c>
      <c r="E85" s="487"/>
      <c r="F85" s="487"/>
      <c r="G85" s="487"/>
      <c r="H85" s="488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9" t="str">
        <f>VLOOKUP( $B86, T_Aop[], 6, 1)</f>
        <v xml:space="preserve">  Prihodi ostvareni na bazi podugovaranja</v>
      </c>
      <c r="E86" s="490"/>
      <c r="F86" s="490"/>
      <c r="G86" s="490"/>
      <c r="H86" s="491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6" t="str">
        <f>VLOOKUP( $B87, T_Aop[], 6, 1)</f>
        <v xml:space="preserve">  Plaćanja podugovaračima za rad, isporučene proizvode i usluge</v>
      </c>
      <c r="E87" s="487"/>
      <c r="F87" s="487"/>
      <c r="G87" s="487"/>
      <c r="H87" s="488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2" t="str">
        <f>VLOOKUP( $B88, T_Aop[], 6, 1)</f>
        <v xml:space="preserve">  Ukupan broj odrađenih časova rada (efektivni časovi rada bez bolovanja, godišnjih odmora, državnih praznika i sl.)</v>
      </c>
      <c r="E88" s="493"/>
      <c r="F88" s="493"/>
      <c r="G88" s="493"/>
      <c r="H88" s="494"/>
      <c r="I88" s="304">
        <f>VLOOKUP( $B88, T_Aop[], 4, 1)</f>
        <v>670</v>
      </c>
      <c r="J88" s="352">
        <v>0</v>
      </c>
      <c r="K88" s="353">
        <v>2184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Banjoj Luci</v>
      </c>
      <c r="E90" s="52"/>
      <c r="G90"/>
      <c r="H90" s="154" t="str">
        <f>Podnozje_Lice_sa_licencom</f>
        <v>Lice sa licencom:</v>
      </c>
      <c r="I90" s="270" t="str">
        <f>Podatak_Lice_sa_licencom</f>
        <v>Dragana Barac, SR-1652/17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24.02.2017.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Dragana Garača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2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E1" zoomScale="93" zoomScaleNormal="93" zoomScaleSheetLayoutView="100" workbookViewId="0">
      <pane ySplit="4" topLeftCell="A17" activePane="bottomLeft" state="frozen"/>
      <selection activeCell="D15" sqref="D15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2" t="str">
        <f>Podatak_MB</f>
        <v>11189511</v>
      </c>
      <c r="E5" s="522"/>
      <c r="F5"/>
      <c r="M5" s="17" t="str">
        <f>Zaglavlje_Ziro_racun</f>
        <v>Poslovni računi:</v>
      </c>
      <c r="N5" s="499" t="str">
        <f>Podatak_Ziro_racun_1</f>
        <v>562-099-00000966-21</v>
      </c>
      <c r="O5" s="499"/>
    </row>
    <row r="6" spans="3:17" x14ac:dyDescent="0.2">
      <c r="C6" s="16" t="str">
        <f>Zaglavlje_Sifra_djelatnosti</f>
        <v>Šifra djelatnosti:</v>
      </c>
      <c r="D6" s="523" t="str">
        <f>Podatak_Sifra_djelatnosti</f>
        <v>68.20</v>
      </c>
      <c r="E6" s="523"/>
      <c r="F6"/>
      <c r="H6" s="9"/>
      <c r="N6" s="499" t="str">
        <f>Podatak_Ziro_racun_2</f>
        <v/>
      </c>
      <c r="O6" s="499"/>
    </row>
    <row r="7" spans="3:17" ht="15" customHeight="1" x14ac:dyDescent="0.2">
      <c r="C7" s="506" t="str">
        <f>Zaglavlje_Naziv_preduzeca</f>
        <v>Naziv privrednog društva, zadruge, drugog pravnog lica ili preduzetnika:</v>
      </c>
      <c r="D7" s="506"/>
      <c r="E7" s="231"/>
      <c r="F7"/>
      <c r="H7" s="19"/>
      <c r="N7" s="499" t="str">
        <f>Podatak_Ziro_racun_3</f>
        <v/>
      </c>
      <c r="O7" s="499"/>
    </row>
    <row r="8" spans="3:17" x14ac:dyDescent="0.2">
      <c r="C8" s="506"/>
      <c r="D8" s="506"/>
      <c r="E8" s="231"/>
      <c r="F8"/>
      <c r="H8" s="19"/>
      <c r="N8" s="499" t="str">
        <f>Podatak_Ziro_racun_4</f>
        <v/>
      </c>
      <c r="O8" s="499"/>
    </row>
    <row r="9" spans="3:17" x14ac:dyDescent="0.2">
      <c r="C9" s="507" t="str">
        <f>Podatak_Naziv_preduzeca</f>
        <v>"ČAJAVEC SERVIS I PROMET" AD BANJA LUKA</v>
      </c>
      <c r="D9" s="507"/>
      <c r="E9" s="232"/>
      <c r="F9"/>
      <c r="H9" s="16"/>
      <c r="N9" s="499" t="str">
        <f>Podatak_Ziro_racun_5</f>
        <v/>
      </c>
      <c r="O9" s="499"/>
    </row>
    <row r="10" spans="3:17" x14ac:dyDescent="0.2">
      <c r="C10" s="16" t="str">
        <f>Zaglavlje_Sjediste</f>
        <v>Sjedište:</v>
      </c>
      <c r="D10" s="67" t="str">
        <f>Podatak_Sjediste</f>
        <v>Veselina Masleše 1/IX, Banja Luka</v>
      </c>
      <c r="E10" s="67"/>
      <c r="F10"/>
      <c r="H10" s="16"/>
      <c r="N10" s="499" t="str">
        <f>Podatak_Ziro_racun_6</f>
        <v/>
      </c>
      <c r="O10" s="499"/>
    </row>
    <row r="11" spans="3:17" x14ac:dyDescent="0.2">
      <c r="C11" s="16" t="str">
        <f>Zaglavlje_JIB</f>
        <v>JIB:</v>
      </c>
      <c r="D11" s="67" t="str">
        <f>Podatak_JIB</f>
        <v>4400893570007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5" t="str">
        <f>IF( Id_Konsolidovani, Nazivi_bilansa_Konsolidovani_naziv &amp; LOWER( Nazivi_bilansa_BPK), Nazivi_bilansa_BPK)</f>
        <v>Izvještaj o promjenama u kapitalu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</row>
    <row r="13" spans="3:17" x14ac:dyDescent="0.2">
      <c r="C13" s="452" t="str">
        <f>Datumi_Datum_BPK</f>
        <v>za period koji se završava na dan 31.12.2016. godine</v>
      </c>
      <c r="D13" s="452"/>
      <c r="E13" s="452"/>
      <c r="F13" s="452"/>
      <c r="G13" s="452"/>
      <c r="H13" s="452"/>
      <c r="I13" s="452"/>
      <c r="J13" s="452"/>
      <c r="K13" s="452"/>
      <c r="L13" s="452"/>
      <c r="M13" s="452"/>
      <c r="N13" s="452"/>
      <c r="O13" s="452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08" t="str">
        <f>Tabele_zaglavlje_Redni_broj</f>
        <v>Redni broj</v>
      </c>
      <c r="D15" s="437" t="str">
        <f>Tabele_zaglavlje_BPK1</f>
        <v>Vrsta promjene u kapitalu</v>
      </c>
      <c r="E15" s="501"/>
      <c r="F15" s="438"/>
      <c r="G15" s="451" t="str">
        <f>Tabele_zaglavlje_BPK0</f>
        <v>Dio kapitala koji pripada vlasnicima matičnog privrednog društva</v>
      </c>
      <c r="H15" s="451"/>
      <c r="I15" s="451"/>
      <c r="J15" s="451"/>
      <c r="K15" s="451"/>
      <c r="L15" s="451"/>
      <c r="M15" s="451"/>
      <c r="N15" s="405" t="str">
        <f>Tabele_zaglavlje_BPK9</f>
        <v>Manjinski interes</v>
      </c>
      <c r="O15" s="429" t="str">
        <f>Tabele_zaglavlje_BPK10</f>
        <v>UKUPNI KAPITAL</v>
      </c>
    </row>
    <row r="16" spans="3:17" ht="89.25" x14ac:dyDescent="0.2">
      <c r="C16" s="509"/>
      <c r="D16" s="439"/>
      <c r="E16" s="502"/>
      <c r="F16" s="440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0"/>
      <c r="O16" s="430"/>
      <c r="Q16" s="185" t="s">
        <v>824</v>
      </c>
    </row>
    <row r="17" spans="2:17" x14ac:dyDescent="0.2">
      <c r="B17" s="60" t="s">
        <v>408</v>
      </c>
      <c r="C17" s="69"/>
      <c r="D17" s="524">
        <v>1</v>
      </c>
      <c r="E17" s="525"/>
      <c r="F17" s="526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7" t="str">
        <f>VLOOKUP($B18,Aop!$A$2:$L$415,6,1)</f>
        <v>Stanje na dan 01.01.2015. god.</v>
      </c>
      <c r="E18" s="528"/>
      <c r="F18" s="529"/>
      <c r="G18" s="292">
        <f>VLOOKUP($B18,Aop!$A$2:$L$415,4,1)</f>
        <v>901</v>
      </c>
      <c r="H18" s="354">
        <v>1945000</v>
      </c>
      <c r="I18" s="354"/>
      <c r="J18" s="354"/>
      <c r="K18" s="354">
        <v>194249</v>
      </c>
      <c r="L18" s="354">
        <v>-144285</v>
      </c>
      <c r="M18" s="214">
        <f>SUM(H18:L18)</f>
        <v>1994964</v>
      </c>
      <c r="N18" s="354"/>
      <c r="O18" s="100">
        <f>SUM(M18:N18)</f>
        <v>1994964</v>
      </c>
    </row>
    <row r="19" spans="2:17" x14ac:dyDescent="0.2">
      <c r="B19" s="66">
        <v>393</v>
      </c>
      <c r="C19" s="299" t="str">
        <f>VLOOKUP($B19,Aop!$A$2:$L$415,5,1)</f>
        <v>2.</v>
      </c>
      <c r="D19" s="510" t="str">
        <f>VLOOKUP($B19,Aop!$A$2:$L$415,6,1)</f>
        <v xml:space="preserve">    Efekti promjena u računovodstvenim politikama </v>
      </c>
      <c r="E19" s="511"/>
      <c r="F19" s="512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3" t="str">
        <f>VLOOKUP($B20,Aop!$A$2:$L$415,6,1)</f>
        <v xml:space="preserve">    Efekti ispravke grešaka</v>
      </c>
      <c r="E20" s="504"/>
      <c r="F20" s="505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6" t="str">
        <f>VLOOKUP($B21,Aop!$A$2:$L$415,6,1)</f>
        <v>Ponovo iskazano stanje na dan 01.01.2015. god. (901 ± 902 ± 903)</v>
      </c>
      <c r="E21" s="517"/>
      <c r="F21" s="518"/>
      <c r="G21" s="294">
        <f>VLOOKUP($B21,Aop!$A$2:$L$415,4,1)</f>
        <v>904</v>
      </c>
      <c r="H21" s="84">
        <f>SUM(H18:H20)</f>
        <v>1945000</v>
      </c>
      <c r="I21" s="84">
        <f>SUM(I18:I20)</f>
        <v>0</v>
      </c>
      <c r="J21" s="84">
        <f>SUM(J18:J20)</f>
        <v>0</v>
      </c>
      <c r="K21" s="84">
        <f>SUM(K18:K20)</f>
        <v>194249</v>
      </c>
      <c r="L21" s="84">
        <f>SUM(L18:L20)</f>
        <v>-144285</v>
      </c>
      <c r="M21" s="204">
        <f t="shared" si="0"/>
        <v>1994964</v>
      </c>
      <c r="N21" s="84">
        <f>SUM(N18:N20)</f>
        <v>0</v>
      </c>
      <c r="O21" s="85">
        <f t="shared" si="1"/>
        <v>1994964</v>
      </c>
    </row>
    <row r="22" spans="2:17" x14ac:dyDescent="0.2">
      <c r="B22" s="66">
        <v>396</v>
      </c>
      <c r="C22" s="301" t="str">
        <f>VLOOKUP($B22,Aop!$A$2:$L$415,5,1)</f>
        <v>5.</v>
      </c>
      <c r="D22" s="503" t="str">
        <f>VLOOKUP($B22,Aop!$A$2:$L$415,6,1)</f>
        <v xml:space="preserve">    Efekti revalorizacije materijalnih i nematerijalnih sredstava</v>
      </c>
      <c r="E22" s="504"/>
      <c r="F22" s="505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0" t="str">
        <f>VLOOKUP($B23,Aop!$A$2:$L$415,6,1)</f>
        <v xml:space="preserve">    Nerealizovani dobici/gubici po osnovu finansijskih sredstava raspoloživih za prodaju</v>
      </c>
      <c r="E23" s="511"/>
      <c r="F23" s="512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3" t="str">
        <f>VLOOKUP($B24,Aop!$A$2:$L$415,6,1)</f>
        <v xml:space="preserve">    Kursne razlike nastale po osnovu preračuna finansijskih izvještaja u drugu funkcionalnu valutu</v>
      </c>
      <c r="E24" s="504"/>
      <c r="F24" s="505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0" t="str">
        <f>VLOOKUP($B25,Aop!$A$2:$L$415,6,1)</f>
        <v xml:space="preserve">    Neto dobitak/gubitak perioda iskazan u bilansu uspjeha</v>
      </c>
      <c r="E25" s="511"/>
      <c r="F25" s="512"/>
      <c r="G25" s="300">
        <f>VLOOKUP($B25,Aop!$A$2:$L$415,4,1)</f>
        <v>908</v>
      </c>
      <c r="H25" s="215"/>
      <c r="I25" s="215"/>
      <c r="J25" s="215"/>
      <c r="K25" s="215"/>
      <c r="L25" s="215">
        <v>161826</v>
      </c>
      <c r="M25" s="204">
        <f t="shared" si="0"/>
        <v>161826</v>
      </c>
      <c r="N25" s="215"/>
      <c r="O25" s="206">
        <f t="shared" si="1"/>
        <v>161826</v>
      </c>
    </row>
    <row r="26" spans="2:17" x14ac:dyDescent="0.2">
      <c r="B26" s="66">
        <v>400</v>
      </c>
      <c r="C26" s="301" t="str">
        <f>VLOOKUP($B26,Aop!$A$2:$L$415,5,1)</f>
        <v>9.</v>
      </c>
      <c r="D26" s="503" t="str">
        <f>VLOOKUP($B26,Aop!$A$2:$L$415,6,1)</f>
        <v xml:space="preserve">    Neto dobici/gubici perioda priznati direktno u kapitalu</v>
      </c>
      <c r="E26" s="504"/>
      <c r="F26" s="505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0" t="str">
        <f>VLOOKUP($B27,Aop!$A$2:$L$415,6,1)</f>
        <v xml:space="preserve">    Objavljene dividende i drugi vidovi raspodjele dobitka i pokriće gubitka</v>
      </c>
      <c r="E27" s="511"/>
      <c r="F27" s="512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3" t="str">
        <f>VLOOKUP($B28,Aop!$A$2:$L$415,6,1)</f>
        <v xml:space="preserve">    Emisija akcijskog kapitala i drugi vidovi povećanja ili smanjenje osnovnog kapitala</v>
      </c>
      <c r="E28" s="504"/>
      <c r="F28" s="505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6" t="str">
        <f>VLOOKUP($B29,Aop!$A$2:$L$415,6,1)</f>
        <v>Stanje na dan 31.12.2015. god. / 01.01.2016. god. (904 ± 905 ± 906 ± 907 ± 908 ± 909 - 910 + 911)</v>
      </c>
      <c r="E29" s="517"/>
      <c r="F29" s="518"/>
      <c r="G29" s="294">
        <f>VLOOKUP($B29,Aop!$A$2:$L$415,4,1)</f>
        <v>912</v>
      </c>
      <c r="H29" s="84">
        <f>SUM(H21:H26,-H27,H28)</f>
        <v>1945000</v>
      </c>
      <c r="I29" s="84">
        <f>SUM(I21:I26,-I27,I28)</f>
        <v>0</v>
      </c>
      <c r="J29" s="84">
        <f>SUM(J21:J26,-J27,J28)</f>
        <v>0</v>
      </c>
      <c r="K29" s="84">
        <f>SUM(K21:K26,-K27,K28)</f>
        <v>194249</v>
      </c>
      <c r="L29" s="84">
        <f>SUM(L21:L26,-L27,L28)</f>
        <v>17541</v>
      </c>
      <c r="M29" s="84">
        <f t="shared" si="0"/>
        <v>2156790</v>
      </c>
      <c r="N29" s="84">
        <f>SUM(N21:N26,-N27,N28)</f>
        <v>0</v>
      </c>
      <c r="O29" s="85">
        <f t="shared" si="1"/>
        <v>2156790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3" t="str">
        <f>VLOOKUP($B30,Aop!$A$2:$L$415,6,1)</f>
        <v xml:space="preserve">    Efekti promjena u računovodstvenim politikama</v>
      </c>
      <c r="E30" s="504"/>
      <c r="F30" s="505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0" t="str">
        <f>VLOOKUP($B31,Aop!$A$2:$L$415,6,1)</f>
        <v xml:space="preserve">    Efekti ispravke grešaka</v>
      </c>
      <c r="E31" s="511"/>
      <c r="F31" s="512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9" t="str">
        <f>VLOOKUP($B32,Aop!$A$2:$L$415,6,1)</f>
        <v>Ponovo iskazano stanje na dan 01.01.2016. god. (912 ± 913 ± 914)</v>
      </c>
      <c r="E32" s="520"/>
      <c r="F32" s="521"/>
      <c r="G32" s="296">
        <f>VLOOKUP($B32,Aop!$A$2:$L$415,4,1)</f>
        <v>915</v>
      </c>
      <c r="H32" s="88">
        <f>SUM(H29:H31)</f>
        <v>1945000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194249</v>
      </c>
      <c r="L32" s="88">
        <f t="shared" si="2"/>
        <v>17541</v>
      </c>
      <c r="M32" s="88">
        <f t="shared" si="0"/>
        <v>2156790</v>
      </c>
      <c r="N32" s="88">
        <f t="shared" si="2"/>
        <v>0</v>
      </c>
      <c r="O32" s="89">
        <f t="shared" si="1"/>
        <v>2156790</v>
      </c>
    </row>
    <row r="33" spans="2:17" x14ac:dyDescent="0.2">
      <c r="B33" s="66">
        <v>407</v>
      </c>
      <c r="C33" s="299" t="str">
        <f>VLOOKUP($B33,Aop!$A$2:$L$415,5,1)</f>
        <v>16.</v>
      </c>
      <c r="D33" s="510" t="str">
        <f>VLOOKUP($B33,Aop!$A$2:$L$415,6,1)</f>
        <v xml:space="preserve">    Efekti revalorizacije materijalnih i nematerijalnih sredstava</v>
      </c>
      <c r="E33" s="511"/>
      <c r="F33" s="512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3" t="str">
        <f>VLOOKUP($B34,Aop!$A$2:$L$415,6,1)</f>
        <v xml:space="preserve">    Nerealizovani dobici/gubici po osnovu finansijskih sredstava raspoloživih za prodaju</v>
      </c>
      <c r="E34" s="504"/>
      <c r="F34" s="505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0" t="str">
        <f>VLOOKUP($B35,Aop!$A$2:$L$415,6,1)</f>
        <v xml:space="preserve">    Kursne razlike nastale po osnovu preračuna finansijskih izvještaja u drugu funkcionalnu valutu</v>
      </c>
      <c r="E35" s="511"/>
      <c r="F35" s="512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3" t="str">
        <f>VLOOKUP($B36,Aop!$A$2:$L$415,6,1)</f>
        <v xml:space="preserve">    Neto dobitak/gubitak perioda iskazan u bilansu uspjeha</v>
      </c>
      <c r="E36" s="504"/>
      <c r="F36" s="505"/>
      <c r="G36" s="302">
        <f>VLOOKUP($B36,Aop!$A$2:$L$415,4,1)</f>
        <v>919</v>
      </c>
      <c r="H36" s="217"/>
      <c r="I36" s="217"/>
      <c r="J36" s="217"/>
      <c r="K36" s="217"/>
      <c r="L36" s="217">
        <v>89762</v>
      </c>
      <c r="M36" s="205">
        <f t="shared" si="0"/>
        <v>89762</v>
      </c>
      <c r="N36" s="217"/>
      <c r="O36" s="207">
        <f t="shared" si="1"/>
        <v>89762</v>
      </c>
    </row>
    <row r="37" spans="2:17" x14ac:dyDescent="0.2">
      <c r="B37" s="66">
        <v>411</v>
      </c>
      <c r="C37" s="299" t="str">
        <f>VLOOKUP($B37,Aop!$A$2:$L$415,5,1)</f>
        <v>20.</v>
      </c>
      <c r="D37" s="510" t="str">
        <f>VLOOKUP($B37,Aop!$A$2:$L$415,6,1)</f>
        <v xml:space="preserve">    Neto dobici/gubici perioda priznati direktno u kapitalu</v>
      </c>
      <c r="E37" s="511"/>
      <c r="F37" s="512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3" t="str">
        <f>VLOOKUP($B38,Aop!$A$2:$L$415,6,1)</f>
        <v xml:space="preserve">    Objavljene dividende i drugi vidovi raspodjele dobitka i pokriće gubitka</v>
      </c>
      <c r="E38" s="504"/>
      <c r="F38" s="505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0" t="str">
        <f>VLOOKUP($B39,Aop!$A$2:$L$415,6,1)</f>
        <v xml:space="preserve">    Emisija akcijskog kapitala i drugi vidovi povećanja ili smanjenje osnovnog kapitala</v>
      </c>
      <c r="E39" s="511"/>
      <c r="F39" s="512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3" t="str">
        <f>VLOOKUP($B40,Aop!$A$2:$L$415,6,1)</f>
        <v>Stanje na dan 31.12.2016. god. (915 ± 916 ± 917 ± 918 ± 919 ± 920 - 921 + 922)</v>
      </c>
      <c r="E40" s="514"/>
      <c r="F40" s="515"/>
      <c r="G40" s="298">
        <f>VLOOKUP($B40,Aop!$A$2:$L$415,4,1)</f>
        <v>923</v>
      </c>
      <c r="H40" s="317">
        <f>SUM(H32:H37,-H38,H39)</f>
        <v>1945000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194249</v>
      </c>
      <c r="L40" s="317">
        <f t="shared" si="3"/>
        <v>107303</v>
      </c>
      <c r="M40" s="317">
        <f t="shared" si="0"/>
        <v>2246552</v>
      </c>
      <c r="N40" s="317">
        <f t="shared" si="3"/>
        <v>0</v>
      </c>
      <c r="O40" s="318">
        <f t="shared" si="1"/>
        <v>2246552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Banjoj 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Dragana Barac, SR-1652/17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24.02.2017.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Dragana Garača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31.12.2016. godine</v>
      </c>
      <c r="D52" s="75" t="str">
        <f>CONCATENATE("нa дaн ",Datum_Format," гoдинe")</f>
        <v>нa дaн 31.12.2016. гoдинe</v>
      </c>
      <c r="E52" s="75" t="str">
        <f>CONCATENATE("date ",Datum_Format)</f>
        <v>date 31.12.2016.</v>
      </c>
      <c r="F52" s="3" t="str">
        <f t="shared" si="4"/>
        <v>na dan 31.12.2016.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31.12.2016. godine</v>
      </c>
      <c r="D53" s="75" t="str">
        <f>CONCATENATE("зa пeриoд oд 01.01. дo ",Datum_Format," гoдинe")</f>
        <v>зa пeриoд oд 01.01. дo 31.12.2016. гoдинe</v>
      </c>
      <c r="E53" s="75" t="str">
        <f>CONCATENATE("from 01.01. to ",Datum_Format)</f>
        <v>from 01.01. to 31.12.2016.</v>
      </c>
      <c r="F53" s="3" t="str">
        <f t="shared" si="4"/>
        <v>za period od 01.01. do 31.12.2016.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31.12.2016. godine</v>
      </c>
      <c r="D54" s="75" t="str">
        <f>CONCATENATE("зa пeриoд oд 01.01. дo ",Datum_Format," гoдинe")</f>
        <v>зa пeриoд oд 01.01. дo 31.12.2016. гoдинe</v>
      </c>
      <c r="E54" s="75" t="str">
        <f>CONCATENATE("from 01.01. to ",Datum_Format)</f>
        <v>from 01.01. to 31.12.2016.</v>
      </c>
      <c r="F54" s="3" t="str">
        <f t="shared" si="4"/>
        <v>za period od 01.01. do 31.12.2016.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31.12.2016. godine</v>
      </c>
      <c r="D55" s="75" t="str">
        <f>CONCATENATE("oд 01.01. дo ",Datum_Format," гoдинe")</f>
        <v>oд 01.01. дo 31.12.2016. гoдинe</v>
      </c>
      <c r="E55" s="75" t="str">
        <f>CONCATENATE("from 01.01. to ",Datum_Format)</f>
        <v>from 01.01. to 31.12.2016.</v>
      </c>
      <c r="F55" s="3" t="str">
        <f t="shared" si="4"/>
        <v>od 01.01. do 31.12.2016.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31.12.2016. godine</v>
      </c>
      <c r="D56" s="75" t="str">
        <f>CONCATENATE("зa пeриoд oд 01.01. дo ",Datum_Format," гoдинe")</f>
        <v>зa пeриoд oд 01.01. дo 31.12.2016. гoдинe</v>
      </c>
      <c r="E56" s="75" t="str">
        <f>CONCATENATE("from 01.01. to ",Datum_Format)</f>
        <v>from 01.01. to 31.12.2016.</v>
      </c>
      <c r="F56" s="3" t="str">
        <f t="shared" si="4"/>
        <v>za period od 01.01. do 31.12.2016.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31.12.2016. godine</v>
      </c>
      <c r="D57" s="75" t="str">
        <f>CONCATENATE("зa пeриoд кojи сe зaвршaвa нa дaн ",Datum_Format," гoдинe")</f>
        <v>зa пeриoд кojи сe зaвршaвa нa дaн 31.12.2016. гoдинe</v>
      </c>
      <c r="E57" s="75" t="str">
        <f>CONCATENATE("for period ending ",Datum_Format)</f>
        <v>for period ending 31.12.2016.</v>
      </c>
      <c r="F57" s="3" t="str">
        <f t="shared" si="4"/>
        <v>za period koji se završava na dan 31.12.2016.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62/16_x000d_
SG RS 63/16</dc:description>
  <cp:lastModifiedBy>dragana</cp:lastModifiedBy>
  <cp:lastPrinted>2016-09-01T13:17:12Z</cp:lastPrinted>
  <dcterms:created xsi:type="dcterms:W3CDTF">2007-02-19T09:55:19Z</dcterms:created>
  <dcterms:modified xsi:type="dcterms:W3CDTF">2017-02-25T17:28:56Z</dcterms:modified>
</cp:coreProperties>
</file>